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oc Fee and Commission from Con" sheetId="1" state="visible" r:id="rId3"/>
    <sheet name="Default Broker Margin Values" sheetId="2" state="visible" r:id="rId4"/>
    <sheet name="CP(F2)-PCP_Used_LCV" sheetId="3" state="visible" r:id="rId5"/>
    <sheet name="CP(F2)-CP_Used_LCV" sheetId="4" state="visible" r:id="rId6"/>
    <sheet name="HPNR(F3)-PCP_Used_LCV" sheetId="5" state="visible" r:id="rId7"/>
    <sheet name="HPNR(F3)-CP_Used_LCV" sheetId="6" state="visible" r:id="rId8"/>
    <sheet name="HPNR(F3)-HPR_Used_LCV" sheetId="7" state="visible" r:id="rId9"/>
    <sheet name="HPNR(F3)-HPNR_Used_LCV" sheetId="8" state="visible" r:id="rId10"/>
    <sheet name="BCH-F3-PCH_Used_LCV" sheetId="9" state="visible" r:id="rId11"/>
    <sheet name="BCH-F3-BCH_Used_LCV" sheetId="10" state="visible" r:id="rId12"/>
    <sheet name="CP(F3)-PCH_Used_LCV" sheetId="11" state="visible" r:id="rId13"/>
    <sheet name="CP(F3)-BCH_Used_LCV" sheetId="12" state="visible" r:id="rId14"/>
    <sheet name="FL(F3)-FL_Used_LCV" sheetId="13" state="visible" r:id="rId15"/>
    <sheet name="FL(F3)-PCH_Used_LCV" sheetId="14" state="visible" r:id="rId16"/>
    <sheet name="FL(F3)-BCH_Used_LCV" sheetId="15" state="visible" r:id="rId17"/>
    <sheet name="HPNR (F3)-FL_Used_LCV" sheetId="16" state="visible" r:id="rId18"/>
    <sheet name="HPNR (F3)-PCH_Used_LCV" sheetId="17" state="visible" r:id="rId19"/>
    <sheet name="HPNR (F3)-BCH_Used_LCV" sheetId="18" state="visible" r:id="rId20"/>
    <sheet name="PCP_used_LCV" sheetId="19" state="visible" r:id="rId21"/>
    <sheet name="CP_used_LCV" sheetId="20" state="visible" r:id="rId22"/>
    <sheet name="HPR_used_LCV" sheetId="21" state="visible" r:id="rId23"/>
    <sheet name="HPNR_used_LCV" sheetId="22" state="visible" r:id="rId24"/>
    <sheet name="Formula1-FL_Used_LCV" sheetId="23" state="visible" r:id="rId25"/>
    <sheet name="Formula1-PCH_Used_LCV" sheetId="24" state="visible" r:id="rId26"/>
    <sheet name="Formula1-BCH_Used_LCV" sheetId="25" state="visible" r:id="rId27"/>
    <sheet name="CP(F2)-PCP_Used_car" sheetId="26" state="visible" r:id="rId28"/>
    <sheet name="CP(F2)-CP_Used_car" sheetId="27" state="visible" r:id="rId29"/>
    <sheet name="HPNR(F3)-PCP_Used_car" sheetId="28" state="visible" r:id="rId30"/>
    <sheet name="HPNR(F3)-CP_Used_car" sheetId="29" state="visible" r:id="rId31"/>
    <sheet name="HPNR(F3)-HPR_Used_car" sheetId="30" state="visible" r:id="rId32"/>
    <sheet name="HPNR(F3)-HPNR_Used_car" sheetId="31" state="visible" r:id="rId33"/>
    <sheet name="CP(F3)-PCH_Used_car" sheetId="32" state="visible" r:id="rId34"/>
    <sheet name="CP(F3)-BCH_Used_car" sheetId="33" state="visible" r:id="rId35"/>
    <sheet name="FL(F3)-FL_Used_car" sheetId="34" state="visible" r:id="rId36"/>
    <sheet name="FL(F3)-PCH_Used_car" sheetId="35" state="visible" r:id="rId37"/>
    <sheet name="FL(F3)-BCH_Used_car" sheetId="36" state="visible" r:id="rId38"/>
    <sheet name="HPNR (F3)-FL_Used_car" sheetId="37" state="visible" r:id="rId39"/>
    <sheet name="HPNR (F3)-PCH_Used_car" sheetId="38" state="visible" r:id="rId40"/>
    <sheet name="HPNR (F3)-BCH_Used_car" sheetId="39" state="visible" r:id="rId41"/>
    <sheet name="PCP_used_car" sheetId="40" state="visible" r:id="rId42"/>
    <sheet name="CP_used_car" sheetId="41" state="visible" r:id="rId43"/>
    <sheet name="HPR_used_car" sheetId="42" state="visible" r:id="rId44"/>
    <sheet name="HPNR_used_car" sheetId="43" state="visible" r:id="rId45"/>
    <sheet name="BCH-F3-PCH_Used_car" sheetId="44" state="visible" r:id="rId46"/>
    <sheet name="BCH-F3-BCH_Used_car" sheetId="45" state="visible" r:id="rId47"/>
    <sheet name="Formula1-FL_Used_car" sheetId="46" state="visible" r:id="rId48"/>
    <sheet name="Formula1-PCH_Used_car" sheetId="47" state="visible" r:id="rId49"/>
    <sheet name="Formula1-BCH_Used_car" sheetId="48" state="visible" r:id="rId50"/>
    <sheet name="CP (Formula 3) - PCH" sheetId="49" state="visible" r:id="rId51"/>
    <sheet name="CP (Formula 3) - BCH" sheetId="50" state="visible" r:id="rId52"/>
    <sheet name="CP (Formula 2) - CP" sheetId="51" state="visible" r:id="rId53"/>
    <sheet name="CP (Formula 2) - PCP" sheetId="52" state="visible" r:id="rId54"/>
    <sheet name="HPNR (Formula 3) - PCP" sheetId="53" state="visible" r:id="rId55"/>
    <sheet name="HPNR (Formula 3) - CP" sheetId="54" state="visible" r:id="rId56"/>
    <sheet name="HPNR (Formula 3) - HPR" sheetId="55" state="visible" r:id="rId57"/>
    <sheet name="HPNR (Formula 3) - FL" sheetId="56" state="visible" r:id="rId58"/>
    <sheet name="HPNR (Formula 3) - PCH" sheetId="57" state="visible" r:id="rId59"/>
    <sheet name="HPNR (Formula 3) - BCH" sheetId="58" state="visible" r:id="rId60"/>
    <sheet name="FL (Formula 3) - FL" sheetId="59" state="visible" r:id="rId61"/>
    <sheet name="FL (Formula 3) - PCH" sheetId="60" state="visible" r:id="rId62"/>
    <sheet name="FL (Formula 3) - BCH" sheetId="61" state="visible" r:id="rId63"/>
    <sheet name="HPNR (Formula 3) - HPNR" sheetId="62" state="visible" r:id="rId64"/>
    <sheet name="HirePurchaseNonRegulated" sheetId="63" state="visible" r:id="rId65"/>
    <sheet name="HirePurchaseRegulated" sheetId="64" state="visible" r:id="rId66"/>
    <sheet name="PersonalContractPurchase" sheetId="65" state="visible" r:id="rId67"/>
    <sheet name="ContractPurchase" sheetId="66" state="visible" r:id="rId68"/>
    <sheet name="Formula1-FL" sheetId="67" state="visible" r:id="rId69"/>
    <sheet name="Formula1-PCH" sheetId="68" state="visible" r:id="rId70"/>
    <sheet name="Formula1-BCH" sheetId="69" state="visible" r:id="rId71"/>
    <sheet name="FL (Formula 3) - BCH, PCH, FL" sheetId="70" state="visible" r:id="rId72"/>
    <sheet name="BCH (Formula 3) - PCH" sheetId="71" state="visible" r:id="rId73"/>
    <sheet name="BCH (Formula 3) - BCH" sheetId="72" state="visible" r:id="rId7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<sst xmlns="http://schemas.openxmlformats.org/spreadsheetml/2006/main" count="33700" uniqueCount="431">
  <si>
    <t xml:space="preserve">Hire Doc Fee</t>
  </si>
  <si>
    <t xml:space="preserve">Hire Doc Fee Commission </t>
  </si>
  <si>
    <t xml:space="preserve">Purchase Doc Fee</t>
  </si>
  <si>
    <t xml:space="preserve">Purchase Doc Fee Commission </t>
  </si>
  <si>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</si>
  <si>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</si>
  <si>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</si>
  <si>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</si>
  <si>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</si>
  <si>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</si>
  <si>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</si>
  <si>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</si>
  <si>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</si>
  <si>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</si>
  <si>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</si>
  <si>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</si>
  <si>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</si>
  <si>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</si>
  <si>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</si>
  <si>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</si>
  <si>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</si>
  <si>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</si>
  <si>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</si>
  <si>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</si>
  <si>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</si>
  <si>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</si>
  <si>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</si>
  <si>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</si>
  <si>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</si>
  <si>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</si>
  <si>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</si>
  <si>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</si>
  <si>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</si>
  <si>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</si>
  <si>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</si>
  <si>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</si>
  <si>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</si>
  <si>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</si>
  <si>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</si>
  <si>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</si>
  <si>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</si>
  <si>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</si>
  <si>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</si>
  <si>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</si>
  <si>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</si>
  <si>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</si>
  <si>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</si>
  <si>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</si>
  <si>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</si>
  <si>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</si>
  <si>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</si>
  <si>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</si>
  <si>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</si>
  <si>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</si>
  <si>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</si>
  <si>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</si>
  <si>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</si>
  <si>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</si>
  <si>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</si>
  <si>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</si>
  <si>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</si>
  <si>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</si>
  <si>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</si>
  <si>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</si>
  <si>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</si>
  <si>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</si>
  <si>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</si>
  <si>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</si>
  <si>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</si>
  <si>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</si>
  <si>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</si>
  <si>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</si>
  <si>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</si>
  <si>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</si>
  <si>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</si>
  <si>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</si>
  <si>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</si>
  <si>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</si>
  <si>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</si>
  <si>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</si>
  <si>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</si>
  <si>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</si>
  <si>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</si>
  <si>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</si>
  <si>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</si>
  <si>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</si>
  <si>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</si>
  <si>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</si>
  <si>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</si>
  <si>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</si>
  <si>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</si>
  <si>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</si>
  <si>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</si>
  <si>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</si>
  <si>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</si>
  <si>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</si>
  <si>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</si>
  <si>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</si>
  <si>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</si>
  <si>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</si>
  <si>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</si>
  <si>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</si>
  <si>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</si>
  <si>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</si>
  <si>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</si>
  <si>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</si>
  <si>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</si>
  <si>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</si>
  <si>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</si>
  <si>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</si>
  <si>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</si>
  <si>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</si>
  <si>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</si>
  <si>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</si>
  <si>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</si>
  <si>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</si>
  <si>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</si>
  <si>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</si>
  <si>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</si>
  <si>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</si>
  <si>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</si>
  <si>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</si>
  <si>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</si>
  <si>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</si>
  <si>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</si>
  <si>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</si>
  <si>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</si>
  <si>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</si>
  <si>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</si>
  <si>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</si>
  <si>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</si>
  <si>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</si>
  <si>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</si>
  <si>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</si>
  <si>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</si>
  <si>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</si>
  <si>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</si>
  <si>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</si>
  <si>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</si>
  <si>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</si>
  <si>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</si>
  <si>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</si>
  <si>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</si>
  <si>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</si>
  <si>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</si>
  <si>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</si>
  <si>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</si>
  <si>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</si>
  <si>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</si>
  <si>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</si>
  <si>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</si>
  <si>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</si>
  <si>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</si>
  <si>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</si>
  <si>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</si>
  <si>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</si>
  <si>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</si>
  <si>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</si>
  <si>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</si>
  <si>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</si>
  <si>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</si>
  <si>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</si>
  <si>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</si>
  <si>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</si>
  <si>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</si>
  <si>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</si>
  <si>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</si>
  <si>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</si>
  <si>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</si>
  <si>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</si>
  <si>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</si>
  <si>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</si>
  <si>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</si>
  <si>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</si>
  <si>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</si>
  <si>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</si>
  <si>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</si>
  <si>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</si>
  <si>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</si>
  <si>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</si>
  <si>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</si>
  <si>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</si>
  <si>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</si>
  <si>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</si>
  <si>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</si>
  <si>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</si>
  <si>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</si>
  <si>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</si>
  <si>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</si>
  <si>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</si>
  <si>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</si>
  <si>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</si>
  <si>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</si>
  <si>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</si>
  <si>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</si>
  <si>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</si>
  <si>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</si>
  <si>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</si>
  <si>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</si>
  <si>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</si>
  <si>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</si>
  <si>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</si>
  <si>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</si>
  <si>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</si>
  <si>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</si>
  <si>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</si>
  <si>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</si>
  <si>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</si>
  <si>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</si>
  <si>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</si>
  <si>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</si>
  <si>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</si>
  <si>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</si>
  <si>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</si>
  <si>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</si>
  <si>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</si>
  <si>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</si>
  <si>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</si>
  <si>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</si>
  <si>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</si>
  <si>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</si>
  <si>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</si>
  <si>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</si>
  <si>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</si>
  <si>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</si>
  <si>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</si>
  <si>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</si>
  <si>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</si>
  <si>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</si>
  <si>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</si>
  <si>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</si>
  <si>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</si>
  <si>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</si>
  <si>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</si>
  <si>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</si>
  <si>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</si>
  <si>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</si>
  <si>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</si>
  <si>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</si>
  <si>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</si>
  <si>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</si>
  <si>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</si>
  <si>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</si>
  <si>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</si>
  <si>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</si>
  <si>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</si>
  <si>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</si>
  <si>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327.00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</si>
  <si>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</si>
  <si>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</si>
  <si>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</si>
  <si>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</si>
  <si>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</si>
  <si>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</si>
  <si>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</si>
  <si>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</si>
  <si>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</si>
  <si>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16850.00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</si>
  <si>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</si>
  <si>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</si>
  <si>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</si>
  <si>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</si>
  <si>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</si>
  <si>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</si>
  <si>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</si>
  <si>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</si>
  <si>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</si>
  <si>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</si>
  <si>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</si>
  <si>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</si>
  <si>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</si>
  <si>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</si>
  <si>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</si>
  <si>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</si>
  <si>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</si>
  <si>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</si>
  <si>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</si>
  <si>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</si>
  <si>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</si>
  <si>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</si>
  <si>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</si>
  <si>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</si>
  <si>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</si>
  <si>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</si>
  <si>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</si>
  <si>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Broker upsell Margin %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</si>
  <si>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</si>
  <si>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</si>
  <si>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</si>
  <si>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</si>
  <si>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</si>
  <si>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</si>
  <si>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</si>
  <si>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</si>
  <si>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</si>
  <si>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</si>
  <si>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</si>
  <si>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</si>
  <si>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</si>
  <si>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</si>
  <si>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</si>
  <si>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</si>
  <si>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</si>
  <si>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</si>
  <si>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</si>
  <si>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</si>
  <si>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</si>
  <si>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</si>
  <si>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</si>
  <si>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</si>
  <si>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</si>
  <si>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</si>
  <si>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</si>
  <si>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</si>
  <si>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</si>
  <si>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</si>
  <si>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</si>
  <si>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</si>
  <si>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</si>
  <si>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</si>
  <si>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</si>
  <si>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</si>
  <si>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</si>
  <si>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</si>
  <si>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</si>
  <si>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</si>
  <si>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</si>
  <si>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</si>
  <si>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</si>
  <si>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</si>
  <si>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</si>
  <si>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</si>
  <si>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</si>
  <si>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</si>
  <si>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</si>
  <si>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</si>
  <si>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</si>
  <si>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</si>
  <si>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</si>
  <si>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</si>
  <si>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</si>
  <si>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</si>
  <si>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</si>
  <si>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</si>
  <si>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</si>
  <si>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</si>
  <si>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</si>
  <si>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</si>
  <si>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</si>
  <si>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</si>
  <si>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</si>
  <si>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</si>
  <si>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</si>
  <si>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</si>
  <si>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</si>
  <si>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</si>
  <si>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</si>
  <si>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</si>
  <si>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</si>
  <si>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</si>
  <si>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</si>
  <si>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</si>
  <si>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</si>
  <si>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</si>
  <si>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</si>
  <si>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27.25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</si>
  <si>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</si>
  <si>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</si>
  <si>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</si>
  <si>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</si>
  <si>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</si>
  <si>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</si>
  <si>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</si>
  <si>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</si>
  <si>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</si>
  <si>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</si>
  <si>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</si>
  <si>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</si>
  <si>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</si>
  <si>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</si>
  <si>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</si>
  <si>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</si>
  <si>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</si>
  <si>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</si>
  <si>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</si>
  <si>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</si>
  <si>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</si>
  <si>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</si>
  <si>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</si>
  <si>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</si>
  <si>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</si>
  <si>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</si>
  <si>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21450.00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</si>
  <si>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</si>
  <si>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</si>
  <si>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</si>
  <si>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</si>
  <si>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</si>
  <si>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507.54</t>
  </si>
  <si>
    <t xml:space="preserve">53028.79</t>
  </si>
  <si>
    <t xml:space="preserve">6.11</t>
  </si>
  <si>
    <t xml:space="preserve">Default Broker Margin </t>
  </si>
  <si>
    <t xml:space="preserve">RFL included?</t>
  </si>
  <si>
    <t>NO</t>
  </si>
  <si>
    <t>60</t>
  </si>
  <si>
    <t>Limited Credit</t>
  </si>
  <si>
    <t>YES</t>
  </si>
  <si>
    <t>200</t>
  </si>
  <si>
    <t xml:space="preserve"> Terminal pause with 6 down </t>
  </si>
  <si>
    <t>30</t>
  </si>
  <si>
    <t>A1 Credit</t>
  </si>
  <si>
    <t>100</t>
  </si>
  <si>
    <t>0</t>
  </si>
  <si>
    <t>50</t>
  </si>
  <si>
    <t>1000</t>
  </si>
  <si>
    <t>12</t>
  </si>
  <si>
    <t>500</t>
  </si>
  <si>
    <t>6000</t>
  </si>
  <si>
    <t>20</t>
  </si>
  <si>
    <t>10</t>
  </si>
  <si>
    <t>40</t>
  </si>
  <si>
    <t>1</t>
  </si>
  <si>
    <t>21000.00</t>
  </si>
  <si>
    <t>5000</t>
  </si>
  <si>
    <t>0.00</t>
  </si>
  <si>
    <t>53028.79</t>
  </si>
  <si>
    <t>33</t>
  </si>
  <si>
    <t>507.54</t>
  </si>
  <si>
    <t>2</t>
  </si>
  <si>
    <t>70</t>
  </si>
  <si>
    <t>6.11</t>
  </si>
</sst>
</file>

<file path=xl/styles.xml><?xml version="1.0" encoding="utf-8"?>
<styleSheet xmlns="http://schemas.openxmlformats.org/spreadsheetml/2006/main">
  <numFmts count="23">
    <numFmt numFmtId="164" formatCode="General"/>
    <numFmt numFmtId="165" formatCode="&quot;TRUE&quot;;&quot;TRUE&quot;;&quot;FALSE&quot;"/>
    <numFmt numFmtId="166" formatCode="\£#,##0.00"/>
    <numFmt numFmtId="167" formatCode="0%"/>
    <numFmt numFmtId="168" formatCode="0.00%"/>
    <numFmt numFmtId="169" formatCode="#,##0.00"/>
    <numFmt numFmtId="170" formatCode="[$-409]m/d/yyyy"/>
    <numFmt numFmtId="171" formatCode="0.00"/>
    <numFmt numFmtId="172" formatCode="_(* #,##0.00_);_(* \(#,##0.00\);_(* \-??_);_(@_)"/>
    <numFmt numFmtId="173" formatCode="_(* #,##0_);_(* \(#,##0\);_(* \-??_);_(@_)"/>
    <numFmt numFmtId="174" formatCode="\£#,##0.00000"/>
    <numFmt numFmtId="175" formatCode="\£#,##0.0000"/>
    <numFmt numFmtId="176" formatCode="0.0000%"/>
    <numFmt numFmtId="177" formatCode="#,##0.0000000"/>
    <numFmt numFmtId="178" formatCode="#,##0.000000000"/>
    <numFmt numFmtId="179" formatCode="#,##0.0"/>
    <numFmt numFmtId="180" formatCode="0.0000000000000"/>
    <numFmt numFmtId="181" formatCode="0.0000"/>
    <numFmt numFmtId="182" formatCode="0.000%"/>
    <numFmt numFmtId="183" formatCode="#,##0.00000"/>
    <numFmt numFmtId="184" formatCode="#,##0.000"/>
    <numFmt numFmtId="185" formatCode="#,##0.0000000000"/>
    <numFmt numFmtId="186" formatCode="#,##0.0000"/>
  </numFmts>
  <fonts count="3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2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8"/>
      <color rgb="FF000000"/>
      <name val="Arial"/>
      <family val="2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2" fontId="31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6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8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6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6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0" borderId="4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6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33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34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5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sharedStrings.xml" Type="http://schemas.openxmlformats.org/officeDocument/2006/relationships/sharedStrings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B2" activeCellId="0" sqref="B2"/>
    </sheetView>
  </sheetViews>
  <sheetFormatPr defaultColWidth="10.2578125" defaultRowHeight="14.25" customHeight="true" zeroHeight="false" outlineLevelRow="0" outlineLevelCol="0"/>
  <cols>
    <col min="1" max="1" customWidth="true" hidden="false" style="1" width="12.5" collapsed="false" outlineLevel="0"/>
    <col min="2" max="2" customWidth="true" hidden="false" style="1" width="37.5" collapsed="false" outlineLevel="0"/>
    <col min="3" max="3" customWidth="true" hidden="false" style="1" width="34.75" collapsed="false" outlineLevel="0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1" t="n">
        <v>239.99</v>
      </c>
      <c r="B2" s="1" t="n">
        <v>250</v>
      </c>
    </row>
    <row r="4" customFormat="false" ht="14.25" hidden="false" customHeight="false" outlineLevel="0" collapsed="false">
      <c r="A4" s="1" t="s">
        <v>2</v>
      </c>
      <c r="B4" s="1" t="s">
        <v>3</v>
      </c>
    </row>
    <row r="5" customFormat="false" ht="14.25" hidden="false" customHeight="false" outlineLevel="0" collapsed="false">
      <c r="A5" s="1" t="n">
        <v>239.99</v>
      </c>
      <c r="B5" s="1" t="n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2578125" defaultRowHeight="14.25" customHeight="true" zeroHeight="false" outlineLevelRow="0" outlineLevelCol="0"/>
  <cols>
    <col min="1" max="1" customWidth="true" hidden="false" style="1" width="15.38" collapsed="false" outlineLevel="0"/>
    <col min="2" max="2" customWidth="true" hidden="false" style="1" width="22.25" collapsed="false" outlineLevel="0"/>
    <col min="3" max="3" customWidth="true" hidden="false" style="1" width="24.38" collapsed="false" outlineLevel="0"/>
  </cols>
  <sheetData>
    <row r="1" customFormat="false" ht="14.25" hidden="false" customHeight="false" outlineLevel="0" collapsed="false">
      <c r="A1" s="2" t="s">
        <v>4</v>
      </c>
      <c r="B1" s="2"/>
      <c r="C1" s="2"/>
    </row>
    <row r="2" customFormat="false" ht="14.25" hidden="false" customHeight="false" outlineLevel="0" collapsed="false">
      <c r="A2" s="1" t="s">
        <v>5</v>
      </c>
      <c r="B2" s="1" t="s">
        <v>6</v>
      </c>
      <c r="C2" s="1" t="s">
        <v>7</v>
      </c>
    </row>
    <row r="3" customFormat="false" ht="14.25" hidden="false" customHeight="false" outlineLevel="0" collapsed="false">
      <c r="A3" s="1" t="n">
        <v>12</v>
      </c>
      <c r="B3" s="1" t="n">
        <v>36</v>
      </c>
      <c r="C3" s="1" t="n">
        <v>250</v>
      </c>
    </row>
    <row r="4" customFormat="false" ht="14.25" hidden="false" customHeight="false" outlineLevel="0" collapsed="false">
      <c r="A4" s="1" t="n">
        <v>46</v>
      </c>
      <c r="B4" s="1" t="n">
        <v>75</v>
      </c>
      <c r="C4" s="1" t="n">
        <v>350</v>
      </c>
    </row>
    <row r="5" customFormat="false" ht="14.25" hidden="false" customHeight="false" outlineLevel="0" collapsed="false">
      <c r="A5" s="1" t="n">
        <v>76</v>
      </c>
      <c r="B5" s="1" t="n">
        <v>84</v>
      </c>
      <c r="C5" s="1" t="n">
        <v>400</v>
      </c>
    </row>
    <row r="6" customFormat="false" ht="14.25" hidden="false" customHeight="false" outlineLevel="0" collapsed="false">
      <c r="A6" s="1" t="n">
        <v>0</v>
      </c>
      <c r="B6" s="1" t="n">
        <v>0</v>
      </c>
      <c r="C6" s="1" t="n">
        <v>0</v>
      </c>
    </row>
    <row r="10" customFormat="false" ht="14.25" hidden="false" customHeight="false" outlineLevel="0" collapsed="false">
      <c r="A10" s="2" t="s">
        <v>8</v>
      </c>
      <c r="B10" s="2"/>
      <c r="C10" s="2"/>
    </row>
    <row r="11" customFormat="false" ht="14.25" hidden="false" customHeight="false" outlineLevel="0" collapsed="false">
      <c r="A11" s="3" t="s">
        <v>9</v>
      </c>
      <c r="B11" s="4"/>
      <c r="C11" s="4"/>
      <c r="D11" s="5" t="s">
        <v>10</v>
      </c>
    </row>
    <row r="12" customFormat="false" ht="14.25" hidden="false" customHeight="false" outlineLevel="0" collapsed="false">
      <c r="A12" s="1" t="s">
        <v>5</v>
      </c>
      <c r="B12" s="1" t="s">
        <v>6</v>
      </c>
      <c r="C12" s="1" t="s">
        <v>11</v>
      </c>
    </row>
    <row r="13" customFormat="false" ht="14.25" hidden="false" customHeight="false" outlineLevel="0" collapsed="false">
      <c r="A13" s="1" t="n">
        <v>12</v>
      </c>
      <c r="B13" s="1" t="n">
        <v>23</v>
      </c>
      <c r="C13" s="1" t="n">
        <v>0.5</v>
      </c>
    </row>
    <row r="14" customFormat="false" ht="14.25" hidden="false" customHeight="false" outlineLevel="0" collapsed="false">
      <c r="A14" s="1" t="n">
        <v>24</v>
      </c>
      <c r="B14" s="1" t="n">
        <v>35</v>
      </c>
      <c r="C14" s="1" t="n">
        <v>0.75</v>
      </c>
    </row>
    <row r="15" customFormat="false" ht="14.25" hidden="false" customHeight="false" outlineLevel="0" collapsed="false">
      <c r="A15" s="1" t="n">
        <v>36</v>
      </c>
      <c r="B15" s="1" t="n">
        <v>47</v>
      </c>
      <c r="C15" s="1" t="n">
        <v>1</v>
      </c>
    </row>
    <row r="16" customFormat="false" ht="14.25" hidden="false" customHeight="false" outlineLevel="0" collapsed="false">
      <c r="A16" s="1" t="n">
        <v>48</v>
      </c>
      <c r="B16" s="1" t="n">
        <v>60</v>
      </c>
      <c r="C16" s="1" t="n">
        <v>1.25</v>
      </c>
    </row>
    <row r="19" customFormat="false" ht="14.25" hidden="false" customHeight="false" outlineLevel="0" collapsed="false">
      <c r="A19" s="3" t="s">
        <v>12</v>
      </c>
      <c r="B19" s="4"/>
      <c r="C19" s="4"/>
    </row>
    <row r="20" customFormat="false" ht="14.25" hidden="false" customHeight="false" outlineLevel="0" collapsed="false">
      <c r="A20" s="1" t="s">
        <v>5</v>
      </c>
      <c r="B20" s="1" t="s">
        <v>6</v>
      </c>
      <c r="C20" s="1" t="s">
        <v>11</v>
      </c>
    </row>
    <row r="21" customFormat="false" ht="14.25" hidden="false" customHeight="false" outlineLevel="0" collapsed="false">
      <c r="A21" s="1" t="n">
        <v>12</v>
      </c>
      <c r="B21" s="1" t="n">
        <v>23</v>
      </c>
      <c r="C21" s="1" t="n">
        <v>0.75</v>
      </c>
    </row>
    <row r="22" customFormat="false" ht="14.25" hidden="false" customHeight="false" outlineLevel="0" collapsed="false">
      <c r="A22" s="1" t="n">
        <v>24</v>
      </c>
      <c r="B22" s="1" t="n">
        <v>35</v>
      </c>
      <c r="C22" s="1" t="n">
        <v>1.5</v>
      </c>
    </row>
    <row r="23" customFormat="false" ht="14.25" hidden="false" customHeight="false" outlineLevel="0" collapsed="false">
      <c r="A23" s="1" t="n">
        <v>36</v>
      </c>
      <c r="B23" s="1" t="n">
        <v>47</v>
      </c>
      <c r="C23" s="1" t="n">
        <v>2</v>
      </c>
    </row>
    <row r="24" customFormat="false" ht="14.25" hidden="false" customHeight="false" outlineLevel="0" collapsed="false">
      <c r="A24" s="1" t="n">
        <v>48</v>
      </c>
      <c r="B24" s="1" t="n">
        <v>60</v>
      </c>
      <c r="C24" s="1" t="n">
        <v>2.5</v>
      </c>
    </row>
    <row r="27" customFormat="false" ht="14.25" hidden="false" customHeight="false" outlineLevel="0" collapsed="false">
      <c r="A27" s="3" t="s">
        <v>13</v>
      </c>
      <c r="B27" s="4"/>
      <c r="C27" s="4"/>
    </row>
    <row r="28" customFormat="false" ht="14.25" hidden="false" customHeight="false" outlineLevel="0" collapsed="false">
      <c r="A28" s="1" t="s">
        <v>5</v>
      </c>
      <c r="B28" s="1" t="s">
        <v>6</v>
      </c>
      <c r="C28" s="1" t="s">
        <v>11</v>
      </c>
    </row>
    <row r="29" customFormat="false" ht="14.25" hidden="false" customHeight="false" outlineLevel="0" collapsed="false">
      <c r="A29" s="1" t="n">
        <v>12</v>
      </c>
      <c r="B29" s="1" t="n">
        <v>23</v>
      </c>
      <c r="C29" s="1" t="n">
        <v>1</v>
      </c>
    </row>
    <row r="30" customFormat="false" ht="14.25" hidden="false" customHeight="false" outlineLevel="0" collapsed="false">
      <c r="A30" s="1" t="n">
        <v>24</v>
      </c>
      <c r="B30" s="1" t="n">
        <v>35</v>
      </c>
      <c r="C30" s="1" t="n">
        <v>3</v>
      </c>
    </row>
    <row r="31" customFormat="false" ht="14.25" hidden="false" customHeight="false" outlineLevel="0" collapsed="false">
      <c r="A31" s="1" t="n">
        <v>36</v>
      </c>
      <c r="B31" s="1" t="n">
        <v>47</v>
      </c>
      <c r="C31" s="1" t="n">
        <v>4</v>
      </c>
    </row>
    <row r="32" customFormat="false" ht="14.25" hidden="false" customHeight="false" outlineLevel="0" collapsed="false">
      <c r="A32" s="1" t="n">
        <v>48</v>
      </c>
      <c r="B32" s="1" t="n">
        <v>60</v>
      </c>
      <c r="C32" s="1" t="n">
        <v>5</v>
      </c>
    </row>
    <row r="33" customFormat="false" ht="14.25" hidden="false" customHeight="false" outlineLevel="0" collapsed="false">
      <c r="A33" s="1" t="n">
        <v>0</v>
      </c>
      <c r="B33" s="1" t="n">
        <v>0</v>
      </c>
      <c r="C33" s="1" t="n">
        <v>0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13916.67</v>
      </c>
      <c r="C2" s="9" t="s">
        <v>16</v>
      </c>
      <c r="D2" s="10" t="n">
        <f aca="false">C9</f>
        <v>2783.334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16700.004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13916.67</v>
      </c>
      <c r="C9" s="14" t="n">
        <f aca="false">B9*0.2</f>
        <v>2783.334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13916.67</v>
      </c>
      <c r="C15" s="14" t="n">
        <f aca="false">SUM(C9:C13)</f>
        <v>2783.334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16700.004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13916.67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str">
        <f aca="false">A46</f>
        <v>50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16700.004</v>
      </c>
      <c r="B37" s="36"/>
      <c r="C37" s="45" t="s">
        <v>58</v>
      </c>
      <c r="D37" s="45"/>
      <c r="E37" s="36"/>
      <c r="F37" s="47" t="n">
        <f aca="false">A37-C37</f>
        <v>15700.004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2783.334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str">
        <f aca="false">IF(F43="Yes",A46,0)</f>
        <v>50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148.611166666667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401.388833333333</v>
      </c>
      <c r="L45" s="7"/>
    </row>
    <row r="46" customFormat="false" ht="18.75" hidden="false" customHeight="false" outlineLevel="0" collapsed="false">
      <c r="A46" s="44" t="s">
        <v>83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404.0555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354.0555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404.0555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9929.63086066534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151.8375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404.0555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404.0555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404.0555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15700.004</v>
      </c>
      <c r="C90" s="36"/>
      <c r="D90" s="36"/>
      <c r="E90" s="27"/>
      <c r="F90" s="29" t="s">
        <v>119</v>
      </c>
      <c r="G90" s="31" t="n">
        <f aca="false">F37</f>
        <v>15700.004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9345.06220012039</v>
      </c>
      <c r="C97" s="36"/>
      <c r="D97" s="36"/>
      <c r="E97" s="27"/>
      <c r="F97" s="35" t="s">
        <v>126</v>
      </c>
      <c r="G97" s="37" t="n">
        <f aca="false">G90-G95</f>
        <v>8951.93469855901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903.784623696849</v>
      </c>
      <c r="C98" s="36"/>
      <c r="D98" s="36"/>
      <c r="E98" s="27"/>
      <c r="F98" s="35" t="s">
        <v>127</v>
      </c>
      <c r="G98" s="37" t="n">
        <f aca="false">(G97/G96)</f>
        <v>840.499259585292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9941.63086066534</v>
      </c>
      <c r="C99" s="36"/>
      <c r="D99" s="36"/>
      <c r="E99" s="27"/>
      <c r="F99" s="35" t="s">
        <v>128</v>
      </c>
      <c r="G99" s="37" t="n">
        <f aca="false">((G98*(G94))+G86)</f>
        <v>9245.49185543821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9941.63086066534</v>
      </c>
      <c r="C101" s="36"/>
      <c r="D101" s="36"/>
      <c r="E101" s="27"/>
      <c r="F101" s="60" t="s">
        <v>130</v>
      </c>
      <c r="G101" s="69" t="n">
        <f aca="false">(G99+G100)</f>
        <v>9245.49185543821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85.0909090909091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903.784623696849</v>
      </c>
      <c r="C104" s="36"/>
      <c r="D104" s="36"/>
      <c r="E104" s="27"/>
      <c r="F104" s="97" t="s">
        <v>132</v>
      </c>
      <c r="G104" s="98" t="n">
        <f aca="false">G101/(G94)</f>
        <v>840.499259585292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988.875532787758</v>
      </c>
      <c r="C105" s="36"/>
      <c r="D105" s="36"/>
      <c r="E105" s="27" t="s">
        <v>31</v>
      </c>
      <c r="F105" s="99" t="s">
        <v>133</v>
      </c>
      <c r="G105" s="100" t="n">
        <f aca="false">G103+G104</f>
        <v>840.499259585292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31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0.3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16700.004</v>
      </c>
      <c r="C130" s="44" t="n">
        <v>15912.5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16700.004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16700.004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16700.004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16700.004</v>
      </c>
      <c r="C134" s="69" t="n">
        <f aca="false">C130-C133</f>
        <v>15912.5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13916.67</v>
      </c>
      <c r="H144" s="144" t="n">
        <f aca="false">C134+E134+G134+H137</f>
        <v>15912.5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2783.334</v>
      </c>
      <c r="H146" s="37" t="n">
        <f aca="false">(H144+H145)*20%</f>
        <v>3182.5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16700.004</v>
      </c>
      <c r="H150" s="147" t="n">
        <f aca="false">(H144+H145+H148+H149+H146)-H147</f>
        <v>19095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16700.004</v>
      </c>
      <c r="H156" s="154" t="n">
        <f aca="false">H150-((H153*1.2)+(H154*1.2)+(H155*1.2)+(H151*1.2))</f>
        <v>19095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1995.83</v>
      </c>
      <c r="I157" s="6" t="n">
        <f aca="false">(H157-G90)/1.2</f>
        <v>-11420.145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20245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903.784623696849</v>
      </c>
      <c r="B176" s="166" t="n">
        <f aca="false">B103</f>
        <v>85.0909090909091</v>
      </c>
      <c r="C176" s="164"/>
      <c r="D176" s="164"/>
      <c r="E176" s="166" t="n">
        <f aca="false">B105</f>
        <v>988.875532787758</v>
      </c>
      <c r="F176" s="27"/>
      <c r="G176" s="27" t="n">
        <f aca="false">ROUND(G104,2)</f>
        <v>840.5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15912.5</v>
      </c>
      <c r="B182" s="42" t="n">
        <f aca="false">H146</f>
        <v>3182.5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19095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20245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-3103.36913933466</v>
      </c>
      <c r="B191" s="42" t="n">
        <f aca="false">B123</f>
        <v>239.99</v>
      </c>
      <c r="C191" s="42"/>
      <c r="D191" s="27"/>
      <c r="E191" s="42" t="n">
        <f aca="false">E188+A191+B191+A194</f>
        <v>17391.6208606653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9.72624</v>
      </c>
      <c r="B197" s="42" t="n">
        <f aca="false">(G167*B76)</f>
        <v>151.8375</v>
      </c>
      <c r="C197" s="36"/>
      <c r="D197" s="36"/>
      <c r="E197" s="42" t="n">
        <f aca="false">IF(E114="YES",(K55*A117*0.1),0)</f>
        <v>18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189.8375</v>
      </c>
      <c r="C200" s="36"/>
      <c r="D200" s="36"/>
      <c r="E200" s="42" t="n">
        <f aca="false">H157</f>
        <v>1995.83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988.875532787758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-3799.5</v>
      </c>
      <c r="B210" s="47" t="n">
        <f aca="false">E188+A210+B191+A194</f>
        <v>16695.49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903.784623696849</v>
      </c>
      <c r="B221" s="166" t="n">
        <f aca="false">B176</f>
        <v>85.0909090909091</v>
      </c>
      <c r="C221" s="164"/>
      <c r="D221" s="164"/>
      <c r="E221" s="166" t="n">
        <f aca="false">E176</f>
        <v>988.875532787758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15912.5</v>
      </c>
      <c r="B224" s="42" t="n">
        <f aca="false">B182</f>
        <v>3182.5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19095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20245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-3103.36913933466</v>
      </c>
      <c r="B233" s="42" t="n">
        <f aca="false">B191</f>
        <v>239.99</v>
      </c>
      <c r="C233" s="42"/>
      <c r="D233" s="27"/>
      <c r="E233" s="42" t="n">
        <f aca="false">E191</f>
        <v>17391.6208606653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903.784623696849</v>
      </c>
      <c r="B239" s="42" t="n">
        <f aca="false">B176</f>
        <v>85.0909090909091</v>
      </c>
      <c r="C239" s="47"/>
      <c r="D239" s="47"/>
      <c r="E239" s="42" t="n">
        <f aca="false">E176</f>
        <v>988.875532787758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J18*0.000006*100*1.2</f>
        <v>29.17872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9.72624</v>
      </c>
      <c r="B245" s="42" t="n">
        <f aca="false">E242+A245</f>
        <v>38.90496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1995.83</v>
      </c>
      <c r="B249" s="42" t="n">
        <f aca="false">B197</f>
        <v>151.8375</v>
      </c>
      <c r="C249" s="36"/>
      <c r="D249" s="36"/>
      <c r="E249" s="42" t="n">
        <f aca="false">E197</f>
        <v>18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1035.6675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706.13086066534</v>
      </c>
      <c r="C263" s="182"/>
      <c r="D263" s="183" t="s">
        <v>230</v>
      </c>
      <c r="E263" s="183"/>
      <c r="F263" s="185" t="n">
        <f aca="false">F270+F276+F278+B279+B280</f>
        <v>151.8375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200</v>
      </c>
      <c r="C264" s="182"/>
      <c r="D264" s="183" t="s">
        <v>232</v>
      </c>
      <c r="E264" s="183"/>
      <c r="F264" s="185" t="n">
        <f aca="false">(B263-F263)+B264</f>
        <v>754.29336066534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9941.63086066534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151.8375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0.3</v>
      </c>
      <c r="C271" s="36"/>
      <c r="D271" s="156" t="s">
        <v>236</v>
      </c>
      <c r="E271" s="156"/>
      <c r="F271" s="135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754.29336066534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75" zoomScaleNormal="75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16850.004</v>
      </c>
      <c r="B37" s="36"/>
      <c r="C37" s="45" t="s">
        <v>58</v>
      </c>
      <c r="D37" s="45"/>
      <c r="E37" s="36"/>
      <c r="F37" s="47" t="n">
        <f aca="false">A37-C37</f>
        <v>15850.004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2808.334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150.6945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349.3055</v>
      </c>
      <c r="L45" s="7"/>
    </row>
    <row r="46" customFormat="false" ht="18.7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351.972166666667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351.972166666667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247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351.972166666667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10089.2065378696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102.5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351.972166666667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351.972166666667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351.972166666667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15850.004</v>
      </c>
      <c r="C90" s="36"/>
      <c r="D90" s="36"/>
      <c r="E90" s="27"/>
      <c r="F90" s="29" t="s">
        <v>119</v>
      </c>
      <c r="G90" s="31" t="n">
        <f aca="false">F37</f>
        <v>15850.004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9495.06220012039</v>
      </c>
      <c r="C97" s="36"/>
      <c r="D97" s="36"/>
      <c r="E97" s="27"/>
      <c r="F97" s="35" t="s">
        <v>126</v>
      </c>
      <c r="G97" s="37" t="n">
        <f aca="false">G90-G95</f>
        <v>9101.93469855901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918.291503442688</v>
      </c>
      <c r="C98" s="36"/>
      <c r="D98" s="36"/>
      <c r="E98" s="27"/>
      <c r="F98" s="35" t="s">
        <v>127</v>
      </c>
      <c r="G98" s="37" t="n">
        <f aca="false">(G97/G96)</f>
        <v>854.582794953137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10101.2065378696</v>
      </c>
      <c r="C99" s="36"/>
      <c r="D99" s="36"/>
      <c r="E99" s="27"/>
      <c r="F99" s="35" t="s">
        <v>128</v>
      </c>
      <c r="G99" s="37" t="n">
        <f aca="false">((G98*(G94))+G86)</f>
        <v>9400.41074448451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10101.2065378696</v>
      </c>
      <c r="C101" s="36"/>
      <c r="D101" s="36"/>
      <c r="E101" s="27"/>
      <c r="F101" s="60" t="s">
        <v>130</v>
      </c>
      <c r="G101" s="69" t="n">
        <f aca="false">(G99+G100)</f>
        <v>9400.41074448451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918.291503442688</v>
      </c>
      <c r="C104" s="36"/>
      <c r="D104" s="36"/>
      <c r="E104" s="27"/>
      <c r="F104" s="97" t="s">
        <v>132</v>
      </c>
      <c r="G104" s="98" t="n">
        <f aca="false">G101/(G94)</f>
        <v>854.582794953137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918.291503442688</v>
      </c>
      <c r="C105" s="36"/>
      <c r="D105" s="36"/>
      <c r="E105" s="27" t="s">
        <v>31</v>
      </c>
      <c r="F105" s="99" t="s">
        <v>133</v>
      </c>
      <c r="G105" s="100" t="n">
        <f aca="false">G103+G104</f>
        <v>854.582794953137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32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16850.004</v>
      </c>
      <c r="C130" s="44" t="n">
        <v>16125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16850.004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16850.004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16850.004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16850.004</v>
      </c>
      <c r="C134" s="69" t="n">
        <f aca="false">C130-C133</f>
        <v>16125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14041.67</v>
      </c>
      <c r="H144" s="144" t="n">
        <f aca="false">C134+E134+G134+H137</f>
        <v>16125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2808.334</v>
      </c>
      <c r="H146" s="37" t="n">
        <f aca="false">(H144+H145)*20%</f>
        <v>3225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16850.004</v>
      </c>
      <c r="H150" s="147" t="n">
        <f aca="false">(H144+H145+H148+H149+H146)-H147</f>
        <v>19350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16850.004</v>
      </c>
      <c r="H156" s="154" t="n">
        <f aca="false">H150-((H153*1.2)+(H154*1.2)+(H155*1.2)+(H151*1.2))</f>
        <v>19350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-11472.2283333333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20500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918.291503442688</v>
      </c>
      <c r="B176" s="166" t="n">
        <f aca="false">B103</f>
        <v>0</v>
      </c>
      <c r="C176" s="164"/>
      <c r="D176" s="164"/>
      <c r="E176" s="166" t="n">
        <f aca="false">B105</f>
        <v>918.291503442688</v>
      </c>
      <c r="F176" s="27"/>
      <c r="G176" s="27" t="n">
        <f aca="false">ROUND(G104,2)</f>
        <v>854.58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16125</v>
      </c>
      <c r="B182" s="42" t="n">
        <f aca="false">H146</f>
        <v>3225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19350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20500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-3198.79346213044</v>
      </c>
      <c r="B191" s="42" t="n">
        <f aca="false">B123</f>
        <v>199.991666666667</v>
      </c>
      <c r="C191" s="42"/>
      <c r="D191" s="27"/>
      <c r="E191" s="42" t="n">
        <f aca="false">E188+A191+(B191*1.2)+A194</f>
        <v>17551.1965378696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8.1052</v>
      </c>
      <c r="B197" s="42" t="n">
        <f aca="false">(G167*B76)</f>
        <v>102.5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122.5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918.291503442688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-3899.62</v>
      </c>
      <c r="B210" s="47" t="n">
        <f aca="false">E188+A210+(B191*1.2)+A194</f>
        <v>16850.37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918.291503442688</v>
      </c>
      <c r="B221" s="166" t="n">
        <f aca="false">B176</f>
        <v>0</v>
      </c>
      <c r="C221" s="164"/>
      <c r="D221" s="164"/>
      <c r="E221" s="166" t="n">
        <f aca="false">E176</f>
        <v>918.291503442688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16125</v>
      </c>
      <c r="B224" s="42" t="n">
        <f aca="false">B182</f>
        <v>3225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19350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20500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-3198.79346213044</v>
      </c>
      <c r="B233" s="42" t="n">
        <f aca="false">B191</f>
        <v>199.991666666667</v>
      </c>
      <c r="C233" s="42"/>
      <c r="D233" s="27"/>
      <c r="E233" s="42" t="n">
        <f aca="false">E191</f>
        <v>17551.1965378696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918.291503442688</v>
      </c>
      <c r="B239" s="42" t="n">
        <f aca="false">B176</f>
        <v>0</v>
      </c>
      <c r="C239" s="47"/>
      <c r="D239" s="47"/>
      <c r="E239" s="42" t="n">
        <f aca="false">E176</f>
        <v>918.291503442688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</f>
        <v>24.3156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8.1052</v>
      </c>
      <c r="B245" s="42" t="n">
        <f aca="false">E242+A245</f>
        <v>32.4208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102.5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1055.83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710.826537869561</v>
      </c>
      <c r="C263" s="182"/>
      <c r="D263" s="183" t="s">
        <v>230</v>
      </c>
      <c r="E263" s="183"/>
      <c r="F263" s="185" t="n">
        <f aca="false">F270+F276+F278+B279+B280</f>
        <v>102.5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628.326537869561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10101.2065378696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0.005</v>
      </c>
      <c r="C270" s="36"/>
      <c r="D270" s="156" t="s">
        <v>235</v>
      </c>
      <c r="E270" s="156"/>
      <c r="F270" s="142" t="n">
        <f aca="false">B77</f>
        <v>102.5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628.326537869561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7" colorId="64" zoomScale="75" zoomScaleNormal="75" zoomScalePageLayoutView="100" workbookViewId="0">
      <selection pane="topLeft" activeCell="B243" activeCellId="0" sqref="B24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261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93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12835.9117424855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307.5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4843.90351985787</v>
      </c>
      <c r="C86" s="36" t="n">
        <f aca="false">(B82/((1+B84)^(B85+1)))</f>
        <v>4843.90351985787</v>
      </c>
      <c r="D86" s="36"/>
      <c r="E86" s="27"/>
      <c r="F86" s="35" t="s">
        <v>124</v>
      </c>
      <c r="G86" s="37" t="n">
        <f aca="false">(G82/((1+G84)^(G85+1)))</f>
        <v>5550.34292967628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26.4088043595078</v>
      </c>
      <c r="C87" s="36" t="n">
        <f aca="false">((1-(1/((1+B84)^B85)))/B84)</f>
        <v>26.4088043595078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11006.0964801421</v>
      </c>
      <c r="C88" s="36" t="n">
        <f aca="false">B81-B86</f>
        <v>11006.0964801421</v>
      </c>
      <c r="D88" s="36"/>
      <c r="E88" s="27"/>
      <c r="F88" s="35" t="s">
        <v>126</v>
      </c>
      <c r="G88" s="37" t="n">
        <f aca="false">G81-G86</f>
        <v>10299.6570703237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416.758605589036</v>
      </c>
      <c r="C89" s="36" t="n">
        <f aca="false">(B88/B87)</f>
        <v>416.758605589036</v>
      </c>
      <c r="D89" s="36"/>
      <c r="E89" s="27"/>
      <c r="F89" s="35" t="s">
        <v>127</v>
      </c>
      <c r="G89" s="37" t="n">
        <f aca="false">(G88/G87)</f>
        <v>365.618914076158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13336.2753788491</v>
      </c>
      <c r="C90" s="36"/>
      <c r="D90" s="36"/>
      <c r="E90" s="27"/>
      <c r="F90" s="35" t="s">
        <v>128</v>
      </c>
      <c r="G90" s="37" t="n">
        <f aca="false">((G89*(G85))+G77)</f>
        <v>11699.8052504371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13336.2753788491</v>
      </c>
      <c r="C92" s="36"/>
      <c r="D92" s="36"/>
      <c r="E92" s="27"/>
      <c r="F92" s="60" t="s">
        <v>130</v>
      </c>
      <c r="G92" s="69" t="n">
        <f aca="false">(G90+G91)</f>
        <v>11699.8052504371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416.758605589036</v>
      </c>
      <c r="C95" s="36"/>
      <c r="D95" s="36"/>
      <c r="E95" s="27"/>
      <c r="F95" s="97" t="s">
        <v>132</v>
      </c>
      <c r="G95" s="98" t="n">
        <f aca="false">G92/(G85)</f>
        <v>365.618914076158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416.758605589036</v>
      </c>
      <c r="C96" s="36"/>
      <c r="D96" s="36"/>
      <c r="E96" s="27"/>
      <c r="F96" s="99" t="s">
        <v>133</v>
      </c>
      <c r="G96" s="100" t="n">
        <f aca="false">G94+G95</f>
        <v>365.618914076158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31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416.758605589036</v>
      </c>
      <c r="B167" s="166" t="n">
        <f aca="false">B94</f>
        <v>0</v>
      </c>
      <c r="C167" s="164"/>
      <c r="D167" s="164"/>
      <c r="E167" s="166" t="n">
        <f aca="false">B96</f>
        <v>416.758605589036</v>
      </c>
      <c r="F167" s="27"/>
      <c r="G167" s="27" t="n">
        <f aca="false">ROUND(G95,2)</f>
        <v>365.62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36.2753788491464</v>
      </c>
      <c r="B182" s="42" t="n">
        <f aca="false">B114</f>
        <v>239.99</v>
      </c>
      <c r="C182" s="42"/>
      <c r="D182" s="27"/>
      <c r="E182" s="42" t="n">
        <f aca="false">E179+A182+B182+A185</f>
        <v>20786.2653788491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307.5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327.5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416.758605589036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-1600.16</v>
      </c>
      <c r="B201" s="47" t="n">
        <f aca="false">E179+A201+B182+A185</f>
        <v>19149.83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416.758605589036</v>
      </c>
      <c r="B212" s="166" t="n">
        <f aca="false">B167</f>
        <v>0</v>
      </c>
      <c r="C212" s="164"/>
      <c r="D212" s="164"/>
      <c r="E212" s="166" t="n">
        <f aca="false">E167</f>
        <v>416.758605589036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36.2753788491464</v>
      </c>
      <c r="B224" s="42" t="n">
        <f aca="false">B182</f>
        <v>239.99</v>
      </c>
      <c r="C224" s="42"/>
      <c r="D224" s="27"/>
      <c r="E224" s="42" t="n">
        <f aca="false">E182</f>
        <v>20786.2653788491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416.758605589036</v>
      </c>
      <c r="B230" s="42" t="n">
        <f aca="false">B167</f>
        <v>0</v>
      </c>
      <c r="C230" s="47"/>
      <c r="D230" s="47"/>
      <c r="E230" s="42" t="n">
        <f aca="false">E167</f>
        <v>416.758605589036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9.72624</v>
      </c>
      <c r="B236" s="42" t="n">
        <f aca="false">E233+A236</f>
        <v>38.90496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307.5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1260.83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1646.43537884915</v>
      </c>
      <c r="C254" s="182"/>
      <c r="D254" s="183" t="s">
        <v>230</v>
      </c>
      <c r="E254" s="183"/>
      <c r="F254" s="185" t="n">
        <f aca="false">F261+F267+F269+B270+B271</f>
        <v>307.5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1358.93537884915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307.5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1358.93537884915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4" colorId="64" zoomScale="75" zoomScaleNormal="75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9600.20228251817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6354.94179987962</v>
      </c>
      <c r="C86" s="36" t="n">
        <f aca="false">(B82/((1+B84)^(B85+1)))</f>
        <v>6354.94179987962</v>
      </c>
      <c r="D86" s="36"/>
      <c r="E86" s="27"/>
      <c r="F86" s="35" t="s">
        <v>124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9495.05820012038</v>
      </c>
      <c r="C88" s="36" t="n">
        <f aca="false">B81-B86</f>
        <v>9495.05820012038</v>
      </c>
      <c r="D88" s="36"/>
      <c r="E88" s="27"/>
      <c r="F88" s="35" t="s">
        <v>126</v>
      </c>
      <c r="G88" s="37" t="n">
        <f aca="false">G81-G86</f>
        <v>9101.93069855901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918.291116592561</v>
      </c>
      <c r="C89" s="36" t="n">
        <f aca="false">(B88/B87)</f>
        <v>918.291116592561</v>
      </c>
      <c r="D89" s="36"/>
      <c r="E89" s="27"/>
      <c r="F89" s="35" t="s">
        <v>127</v>
      </c>
      <c r="G89" s="37" t="n">
        <f aca="false">(G88/G87)</f>
        <v>854.582419392194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10101.2022825182</v>
      </c>
      <c r="C90" s="36"/>
      <c r="D90" s="36"/>
      <c r="E90" s="27"/>
      <c r="F90" s="35" t="s">
        <v>128</v>
      </c>
      <c r="G90" s="37" t="n">
        <f aca="false">((G89*(G85))+G77)</f>
        <v>9400.40661331413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10101.2022825182</v>
      </c>
      <c r="C92" s="36"/>
      <c r="D92" s="36"/>
      <c r="E92" s="27"/>
      <c r="F92" s="60" t="s">
        <v>130</v>
      </c>
      <c r="G92" s="69" t="n">
        <f aca="false">(G90+G91)</f>
        <v>9400.40661331413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918.291116592561</v>
      </c>
      <c r="C95" s="36"/>
      <c r="D95" s="36"/>
      <c r="E95" s="27"/>
      <c r="F95" s="97" t="s">
        <v>132</v>
      </c>
      <c r="G95" s="98" t="n">
        <f aca="false">G92/(G85)</f>
        <v>854.582419392194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918.291116592561</v>
      </c>
      <c r="C96" s="36"/>
      <c r="D96" s="36"/>
      <c r="E96" s="27"/>
      <c r="F96" s="99" t="s">
        <v>133</v>
      </c>
      <c r="G96" s="100" t="n">
        <f aca="false">G94+G95</f>
        <v>854.582419392194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918.291116592561</v>
      </c>
      <c r="B167" s="166" t="str">
        <f aca="false">B94</f>
        <v>0</v>
      </c>
      <c r="C167" s="164"/>
      <c r="D167" s="164"/>
      <c r="E167" s="166" t="n">
        <f aca="false">B96</f>
        <v>918.291116592561</v>
      </c>
      <c r="F167" s="27"/>
      <c r="G167" s="27" t="n">
        <f aca="false">ROUND(G95,2)</f>
        <v>854.58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-3198.79771748183</v>
      </c>
      <c r="B182" s="42" t="n">
        <f aca="false">B114</f>
        <v>199.991666666667</v>
      </c>
      <c r="C182" s="42"/>
      <c r="D182" s="27"/>
      <c r="E182" s="42" t="n">
        <f aca="false">E179+A182+(B182*1.2)+A185</f>
        <v>17551.1922825182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918.291116592561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-3899.62</v>
      </c>
      <c r="B201" s="47" t="n">
        <f aca="false">E179+A201+(B182*1.2)+A185</f>
        <v>16850.37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918.291116592561</v>
      </c>
      <c r="B212" s="166" t="str">
        <f aca="false">B167</f>
        <v>0</v>
      </c>
      <c r="C212" s="164"/>
      <c r="D212" s="164"/>
      <c r="E212" s="166" t="n">
        <f aca="false">E167</f>
        <v>918.291116592561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-3198.79771748183</v>
      </c>
      <c r="B224" s="42" t="n">
        <f aca="false">B182</f>
        <v>199.991666666667</v>
      </c>
      <c r="C224" s="42"/>
      <c r="D224" s="27"/>
      <c r="E224" s="42" t="n">
        <f aca="false">E182</f>
        <v>17551.1922825182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918.291116592561</v>
      </c>
      <c r="B230" s="42" t="str">
        <f aca="false">B167</f>
        <v>0</v>
      </c>
      <c r="C230" s="47"/>
      <c r="D230" s="47"/>
      <c r="E230" s="42" t="n">
        <f aca="false">E167</f>
        <v>918.291116592561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710.822282518169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628.322282518169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628.322282518169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9300.06520435581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9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239.99</v>
      </c>
      <c r="C182" s="42"/>
      <c r="D182" s="27"/>
      <c r="E182" s="42" t="n">
        <f aca="false">E179+A182+B182+A185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E179+A201+B182+A185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239.99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9.72624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3" colorId="64" zoomScale="75" zoomScaleNormal="75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9300.06520435581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199.991666666667</v>
      </c>
      <c r="C182" s="42"/>
      <c r="D182" s="27"/>
      <c r="E182" s="42" t="n">
        <f aca="false">E179+A182+(B182*1.2)+A185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E179+A201+(B182*1.2)+A185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199.991666666667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0" colorId="64" zoomScale="75" zoomScaleNormal="75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10213.6591595294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10285.7604242699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72</v>
      </c>
      <c r="C89" s="199"/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857.146702022495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929.146702022495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f aca="false">199.99*1.2</f>
        <v>239.988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20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239.988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1239.988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857.146702022495</v>
      </c>
      <c r="B128" s="290" t="n">
        <f aca="false">IF(A105="YES",B89,0)</f>
        <v>72</v>
      </c>
      <c r="C128" s="295"/>
      <c r="D128" s="290" t="n">
        <f aca="false">B91</f>
        <v>929.146702022495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857.146702022495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929.146702022495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857.146702022495</v>
      </c>
      <c r="B137" s="42" t="n">
        <f aca="false">IF(A105="YES",B89,0)</f>
        <v>72</v>
      </c>
      <c r="C137" s="199"/>
      <c r="D137" s="42" t="n">
        <f aca="false">B91</f>
        <v>929.146702022495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29.17872</v>
      </c>
      <c r="B140" s="309" t="n">
        <f aca="false">G18*0.000002*1.2*100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239.988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929.146702022495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857.146702022495</v>
      </c>
      <c r="B171" s="290" t="n">
        <f aca="false">IF(A105="YES",B89,0)</f>
        <v>72</v>
      </c>
      <c r="C171" s="295"/>
      <c r="D171" s="290" t="n">
        <f aca="false">B91</f>
        <v>929.146702022495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857.146702022495</v>
      </c>
      <c r="C174" s="199"/>
      <c r="D174" s="42" t="n">
        <f aca="false">IF(A105="YES",B89*B57,0)</f>
        <v>72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929.146702022495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857.146702022495</v>
      </c>
      <c r="B180" s="42" t="n">
        <f aca="false">IF(A105="YES",B89,0)</f>
        <v>72</v>
      </c>
      <c r="C180" s="199"/>
      <c r="D180" s="42" t="n">
        <f aca="false">B91</f>
        <v>929.146702022495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29.17872</v>
      </c>
      <c r="B183" s="309" t="n">
        <f aca="false">G18*0.000002*1.2*100</f>
        <v>9.72624</v>
      </c>
      <c r="C183" s="310"/>
      <c r="D183" s="309" t="n">
        <f aca="false">A183+B183</f>
        <v>38.90496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239.988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1329.50028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1329.50028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75" zoomScaleNormal="75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332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8511.38263294118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8583.4838976817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65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715.290324806809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780.290324806809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30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((E118*1.2)+E117)-D115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715.290324806809</v>
      </c>
      <c r="B128" s="290" t="n">
        <f aca="false">IF(A105="YES",B89,0)</f>
        <v>65</v>
      </c>
      <c r="C128" s="295"/>
      <c r="D128" s="290" t="n">
        <f aca="false">B91</f>
        <v>780.290324806809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715.290324806809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780.290324806809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715.290324806809</v>
      </c>
      <c r="B137" s="42" t="n">
        <f aca="false">IF(A105="YES",B89,0)</f>
        <v>65</v>
      </c>
      <c r="C137" s="199"/>
      <c r="D137" s="42" t="n">
        <f aca="false">B91</f>
        <v>780.290324806809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24.3156</v>
      </c>
      <c r="B140" s="309" t="n">
        <f aca="false">G18*0.000002*100</f>
        <v>8.1052</v>
      </c>
      <c r="C140" s="310"/>
      <c r="D140" s="309" t="n">
        <f aca="false">A140+B140</f>
        <v>32.4208</v>
      </c>
      <c r="E140" s="333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488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780.290324806809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715.290324806809</v>
      </c>
      <c r="B171" s="290" t="n">
        <f aca="false">IF(A105="YES",B89,0)</f>
        <v>65</v>
      </c>
      <c r="C171" s="295"/>
      <c r="D171" s="290" t="n">
        <f aca="false">B91</f>
        <v>780.290324806809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715.290324806809</v>
      </c>
      <c r="C174" s="199"/>
      <c r="D174" s="42" t="n">
        <f aca="false">IF(A105="YES",B89*B57,0)</f>
        <v>65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780.290324806809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715.290324806809</v>
      </c>
      <c r="B180" s="42" t="n">
        <f aca="false">IF(A105="YES",B89,0)</f>
        <v>65</v>
      </c>
      <c r="C180" s="199"/>
      <c r="D180" s="42" t="n">
        <f aca="false">B91</f>
        <v>780.290324806809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24.3156</v>
      </c>
      <c r="B183" s="309" t="n">
        <f aca="false">G18*0.000002*100</f>
        <v>8.1052</v>
      </c>
      <c r="C183" s="310"/>
      <c r="D183" s="309" t="n">
        <f aca="false">A183+B183</f>
        <v>32.4208</v>
      </c>
      <c r="E183" s="333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18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488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460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1389.50028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1389.50028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180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345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</v>
      </c>
      <c r="B44" s="106" t="s">
        <v>348</v>
      </c>
      <c r="C44" s="106"/>
      <c r="D44" s="106" t="n">
        <v>0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351.972166666667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H49</f>
        <v>351.972166666667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351.972166666667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7597.599536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7651.233256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637.602771333333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637.602771333333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637.602771333333</v>
      </c>
      <c r="B134" s="290" t="n">
        <f aca="false">IF(A111="YES",B95,0)</f>
        <v>0</v>
      </c>
      <c r="C134" s="294"/>
      <c r="D134" s="290" t="n">
        <f aca="false">B97</f>
        <v>637.602771333333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637.602771333333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637.602771333333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637.602771333333</v>
      </c>
      <c r="B143" s="42" t="n">
        <f aca="false">IF(A111="YES",B95,0)</f>
        <v>0</v>
      </c>
      <c r="C143" s="199"/>
      <c r="D143" s="42" t="n">
        <f aca="false">B97</f>
        <v>637.602771333333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2808.334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637.602771333333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637.602771333333</v>
      </c>
      <c r="B177" s="290" t="n">
        <f aca="false">IF(A111="YES",B95,0)</f>
        <v>0</v>
      </c>
      <c r="C177" s="294"/>
      <c r="D177" s="290" t="n">
        <f aca="false">A177+B177</f>
        <v>637.602771333333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637.602771333333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637.602771333333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637.602771333333</v>
      </c>
      <c r="B186" s="42" t="n">
        <f aca="false">IF(A111="YES",B95,0)</f>
        <v>0</v>
      </c>
      <c r="C186" s="199"/>
      <c r="D186" s="42" t="n">
        <f aca="false">B97</f>
        <v>637.602771333333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333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359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83</v>
      </c>
      <c r="B44" s="106" t="s">
        <v>348</v>
      </c>
      <c r="C44" s="106"/>
      <c r="D44" s="106" t="s">
        <v>348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399.3055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401.972166666667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401.972166666667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6331.33294666667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6384.96666666667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532.080555555556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592.080555555556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532.080555555556</v>
      </c>
      <c r="B134" s="290" t="n">
        <f aca="false">IF(A111="YES",B95,0)</f>
        <v>60</v>
      </c>
      <c r="C134" s="295"/>
      <c r="D134" s="290" t="n">
        <f aca="false">B97</f>
        <v>592.080555555556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532.080555555556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592.080555555556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532.080555555556</v>
      </c>
      <c r="B143" s="42" t="n">
        <f aca="false">IF(A111="YES",B95,0)</f>
        <v>60</v>
      </c>
      <c r="C143" s="199"/>
      <c r="D143" s="42" t="n">
        <f aca="false">B97</f>
        <v>592.080555555556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2808.334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592.080555555556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532.080555555556</v>
      </c>
      <c r="B177" s="290" t="n">
        <f aca="false">IF(A111="YES",B95,0)</f>
        <v>60</v>
      </c>
      <c r="C177" s="295"/>
      <c r="D177" s="290" t="n">
        <f aca="false">B91</f>
        <v>6331.33294666667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532.080555555556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592.080555555556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532.080555555556</v>
      </c>
      <c r="B186" s="42" t="n">
        <f aca="false">IF(A111="YES",B95,0)</f>
        <v>60</v>
      </c>
      <c r="C186" s="199"/>
      <c r="D186" s="42" t="n">
        <f aca="false">B97</f>
        <v>592.080555555556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360</v>
      </c>
      <c r="B41" s="224" t="str">
        <f aca="false">IF(B38="YES",D38+A41,D38)</f>
        <v>500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360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361</v>
      </c>
      <c r="C47" s="348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6" t="n">
        <v>0</v>
      </c>
      <c r="C111" s="286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E124-100</f>
        <v>-100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160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1089.50028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-100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1089.50028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361</v>
      </c>
      <c r="C47" s="348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889.698609614899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72</v>
      </c>
      <c r="C134" s="295"/>
      <c r="D134" s="290" t="n">
        <f aca="false">B97</f>
        <v>889.698609614899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889.698609614899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72</v>
      </c>
      <c r="C143" s="199"/>
      <c r="D143" s="42" t="n">
        <f aca="false">B97</f>
        <v>889.698609614899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889.698609614899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72</v>
      </c>
      <c r="C177" s="295"/>
      <c r="D177" s="290" t="n">
        <f aca="false">B97</f>
        <v>889.698609614899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889.698609614899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72</v>
      </c>
      <c r="C186" s="199"/>
      <c r="D186" s="42" t="n">
        <f aca="false">B97</f>
        <v>889.698609614899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361</v>
      </c>
      <c r="C47" s="348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742.370827170454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60</v>
      </c>
      <c r="C134" s="295"/>
      <c r="D134" s="290" t="n">
        <f aca="false">B97</f>
        <v>742.370827170454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742.370827170454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60</v>
      </c>
      <c r="C143" s="199"/>
      <c r="D143" s="42" t="n">
        <f aca="false">B97</f>
        <v>742.370827170454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742.370827170454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60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742.370827170454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60</v>
      </c>
      <c r="C186" s="199"/>
      <c r="D186" s="42" t="n">
        <f aca="false">B97</f>
        <v>742.370827170454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24.3156</v>
      </c>
      <c r="B189" s="312" t="n">
        <f aca="false">G18*0.000002*100</f>
        <v>8.1052</v>
      </c>
      <c r="C189" s="199"/>
      <c r="D189" s="312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199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1209.50028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1209.50028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75" zoomScaleNormal="75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817.698609614899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0</v>
      </c>
      <c r="C134" s="295"/>
      <c r="D134" s="290" t="n">
        <f aca="false">B97</f>
        <v>817.698609614899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817.698609614899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0</v>
      </c>
      <c r="C143" s="199"/>
      <c r="D143" s="42" t="n">
        <f aca="false">B97</f>
        <v>817.698609614899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817.698609614899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0</v>
      </c>
      <c r="C177" s="295"/>
      <c r="D177" s="290" t="n">
        <f aca="false">B91</f>
        <v>9743.600336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817.698609614899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0</v>
      </c>
      <c r="C186" s="199"/>
      <c r="D186" s="42" t="n">
        <f aca="false">B97</f>
        <v>817.698609614899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27.25</v>
      </c>
      <c r="E32" s="211"/>
      <c r="F32" s="67"/>
      <c r="G32" s="212" t="s">
        <v>256</v>
      </c>
      <c r="H32" s="210" t="str">
        <f aca="false">A41</f>
        <v>27.25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527.25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365</v>
      </c>
      <c r="B41" s="224" t="n">
        <f aca="false">IF(B38="YES",D38+A41,D38)</f>
        <v>527.25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27.25</v>
      </c>
      <c r="I44" s="336" t="n">
        <f aca="false">((A41*(B35-1))+D32)/B35</f>
        <v>27.25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528.25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528.25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32.7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715.070827170454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32.7</v>
      </c>
      <c r="C134" s="295"/>
      <c r="D134" s="290" t="n">
        <f aca="false">B97</f>
        <v>715.070827170454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32.7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715.070827170454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32.7</v>
      </c>
      <c r="C143" s="199"/>
      <c r="D143" s="42" t="n">
        <f aca="false">B97</f>
        <v>715.070827170454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6.54</v>
      </c>
      <c r="H148" s="42" t="n">
        <f aca="false">G108-100</f>
        <v>139.988</v>
      </c>
      <c r="I148" s="42"/>
      <c r="J148" s="42" t="n">
        <f aca="false">(H145+J145+G148+H148)-H151</f>
        <v>1395.38633333333</v>
      </c>
      <c r="K148" s="107"/>
      <c r="L148" s="67"/>
      <c r="M148" s="113" t="n">
        <f aca="false">IF(M111="YES",((A41*N111)*0.1)*(M133),0)</f>
        <v>6.54</v>
      </c>
      <c r="N148" s="42" t="n">
        <f aca="false">M108-100</f>
        <v>99.99</v>
      </c>
      <c r="O148" s="42"/>
      <c r="P148" s="42" t="n">
        <f aca="false">(N145+P145+M148+N148)-N151</f>
        <v>1355.38833333333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6.54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276.54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715.070827170454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32.7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32.7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715.070827170454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32.7</v>
      </c>
      <c r="C186" s="199"/>
      <c r="D186" s="42" t="n">
        <f aca="false">B97</f>
        <v>715.070827170454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6.54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276.54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85.4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1014.90028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1014.90028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65.4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75" zoomScaleNormal="75" zoomScalePageLayoutView="100" workbookViewId="0">
      <selection pane="topLeft" activeCell="B240" activeCellId="0" sqref="B24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14375</v>
      </c>
      <c r="C2" s="9" t="s">
        <v>16</v>
      </c>
      <c r="D2" s="10" t="n">
        <f aca="false">C9</f>
        <v>2875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17250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14375</v>
      </c>
      <c r="C9" s="14" t="n">
        <f aca="false">B9*0.2</f>
        <v>2875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14375</v>
      </c>
      <c r="C15" s="14" t="n">
        <f aca="false">SUM(C9:C13)</f>
        <v>2875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17250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14375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59" t="n">
        <f aca="false">K48</f>
        <v>443.85826743972</v>
      </c>
      <c r="F33" s="359"/>
      <c r="G33" s="359"/>
      <c r="H33" s="51"/>
      <c r="I33" s="7"/>
      <c r="J33" s="38" t="s">
        <v>368</v>
      </c>
      <c r="K33" s="52" t="n">
        <f aca="false">E21</f>
        <v>14375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443.85826743972</v>
      </c>
      <c r="B36" s="217" t="str">
        <f aca="false">IF(B26="YES",K42,"0.00")</f>
        <v>0.00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14375</v>
      </c>
      <c r="L39" s="7" t="n">
        <f aca="false">(L47*K46)+K44</f>
        <v>25909.1715613065</v>
      </c>
      <c r="N39" s="6" t="n">
        <f aca="false">K39-L39</f>
        <v>-11534.1715613065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-11534.1715613065</v>
      </c>
      <c r="N40" s="6" t="n">
        <f aca="false">N38-N39</f>
        <v>14445.8515613065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14375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443.85826743972</v>
      </c>
      <c r="L47" s="7" t="n">
        <f aca="false">L49-K42</f>
        <v>800</v>
      </c>
      <c r="M47" s="6" t="n">
        <f aca="false">K47-L47</f>
        <v>-356.14173256028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443.85826743972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443.85826743972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8555.61365593919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206.15004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443.85826743972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443.85826743972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443.85826743972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443.85826743972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20615.004</v>
      </c>
      <c r="C81" s="36"/>
      <c r="D81" s="36"/>
      <c r="E81" s="27"/>
      <c r="F81" s="29" t="s">
        <v>119</v>
      </c>
      <c r="G81" s="31" t="n">
        <f aca="false">G158</f>
        <v>20615.004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20615.004</v>
      </c>
      <c r="C88" s="36"/>
      <c r="D88" s="36"/>
      <c r="E88" s="27"/>
      <c r="F88" s="35" t="s">
        <v>126</v>
      </c>
      <c r="G88" s="37" t="n">
        <f aca="false">G81-G86</f>
        <v>20615.004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700.986036679118</v>
      </c>
      <c r="C89" s="36"/>
      <c r="D89" s="36"/>
      <c r="E89" s="27"/>
      <c r="F89" s="35" t="s">
        <v>127</v>
      </c>
      <c r="G89" s="37" t="n">
        <f aca="false">(G88/G87)</f>
        <v>636.531475388028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24534.5112837691</v>
      </c>
      <c r="C90" s="36"/>
      <c r="D90" s="36"/>
      <c r="E90" s="27"/>
      <c r="F90" s="35" t="s">
        <v>128</v>
      </c>
      <c r="G90" s="37" t="n">
        <f aca="false">((G89*(G85))+G77)</f>
        <v>22915.133113969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24534.5112837691</v>
      </c>
      <c r="C92" s="36"/>
      <c r="D92" s="36"/>
      <c r="E92" s="27"/>
      <c r="F92" s="60" t="s">
        <v>130</v>
      </c>
      <c r="G92" s="69" t="n">
        <f aca="false">(G90+G91)</f>
        <v>22915.133113969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700.986036679118</v>
      </c>
      <c r="C95" s="36"/>
      <c r="D95" s="36"/>
      <c r="E95" s="27"/>
      <c r="F95" s="97" t="s">
        <v>132</v>
      </c>
      <c r="G95" s="98" t="n">
        <f aca="false">G92/(G85)</f>
        <v>636.531475388028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700.986036679118</v>
      </c>
      <c r="C96" s="36"/>
      <c r="D96" s="36"/>
      <c r="E96" s="27"/>
      <c r="F96" s="99" t="s">
        <v>133</v>
      </c>
      <c r="G96" s="100" t="n">
        <f aca="false">G94+G95</f>
        <v>636.531475388028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32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200</v>
      </c>
      <c r="C111" s="109"/>
      <c r="D111" s="109"/>
      <c r="E111" s="109" t="n">
        <v>200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400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14375</v>
      </c>
      <c r="C121" s="44" t="n">
        <v>16329.17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17250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17250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17250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14375</v>
      </c>
      <c r="C125" s="69" t="n">
        <f aca="false">C121-C124</f>
        <v>16329.17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14375</v>
      </c>
      <c r="H135" s="144" t="n">
        <f aca="false">C125+E125+G125+H128</f>
        <v>16329.17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2875</v>
      </c>
      <c r="H137" s="37" t="n">
        <f aca="false">(H135+H136)*20%</f>
        <v>3265.834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17250</v>
      </c>
      <c r="H141" s="147" t="n">
        <f aca="false">(H135+H136+H139+H140+H137)-H138</f>
        <v>19595.004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17250</v>
      </c>
      <c r="H147" s="154" t="n">
        <f aca="false">H141-((H144*1.2)+(H145*1.2)+(H146*1.2)+(H142*1.2))</f>
        <v>19595.004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1954.17</v>
      </c>
      <c r="I148" s="6" t="n">
        <f aca="false">(H148-G81)/1.2</f>
        <v>-15550.695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400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20615.004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700.986036679118</v>
      </c>
      <c r="B167" s="166" t="str">
        <f aca="false">B94</f>
        <v>0</v>
      </c>
      <c r="C167" s="164"/>
      <c r="D167" s="164"/>
      <c r="E167" s="166" t="n">
        <f aca="false">B96</f>
        <v>700.986036679118</v>
      </c>
      <c r="F167" s="27"/>
      <c r="G167" s="27" t="n">
        <f aca="false">ROUND(G95,2)</f>
        <v>636.53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16329.17</v>
      </c>
      <c r="B173" s="42" t="n">
        <f aca="false">H137</f>
        <v>3265.834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19595.004</v>
      </c>
      <c r="B176" s="42" t="n">
        <f aca="false">B111</f>
        <v>200</v>
      </c>
      <c r="C176" s="42"/>
      <c r="D176" s="27"/>
      <c r="E176" s="42" t="n">
        <f aca="false">E111</f>
        <v>200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400</v>
      </c>
      <c r="B179" s="42" t="n">
        <f aca="false">G154</f>
        <v>0</v>
      </c>
      <c r="C179" s="42"/>
      <c r="D179" s="27"/>
      <c r="E179" s="42" t="n">
        <f aca="false">G158</f>
        <v>20615.004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4620.49332044825</v>
      </c>
      <c r="B182" s="42" t="n">
        <f aca="false">B114</f>
        <v>239.99</v>
      </c>
      <c r="C182" s="42"/>
      <c r="D182" s="27"/>
      <c r="E182" s="42" t="n">
        <f aca="false">E179+A182+B182+A185</f>
        <v>25485.4873204483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639.99</v>
      </c>
      <c r="C185" s="42"/>
      <c r="D185" s="27"/>
      <c r="E185" s="42" t="n">
        <f aca="false">IF( E170=0, A185+E167, E170+A185)</f>
        <v>710.986036679118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</v>
      </c>
      <c r="B188" s="42" t="n">
        <f aca="false">(G158*B67)</f>
        <v>206.15004</v>
      </c>
      <c r="C188" s="36"/>
      <c r="D188" s="36"/>
      <c r="E188" s="42" t="n">
        <f aca="false">(E40*A108)*0.1*C45/100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226.15004</v>
      </c>
      <c r="C191" s="36"/>
      <c r="D191" s="36"/>
      <c r="E191" s="42" t="n">
        <f aca="false">H148</f>
        <v>1954.17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700.986036679118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2300.076</v>
      </c>
      <c r="B201" s="47" t="n">
        <f aca="false">E179+A201+B182+A185</f>
        <v>23165.07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700.986036679118</v>
      </c>
      <c r="B212" s="166" t="str">
        <f aca="false">B167</f>
        <v>0</v>
      </c>
      <c r="C212" s="164"/>
      <c r="D212" s="164"/>
      <c r="E212" s="166" t="n">
        <f aca="false">E167</f>
        <v>700.986036679118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16329.17</v>
      </c>
      <c r="B215" s="42" t="n">
        <f aca="false">B173</f>
        <v>3265.834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19595.004</v>
      </c>
      <c r="B218" s="42" t="n">
        <f aca="false">B176</f>
        <v>200</v>
      </c>
      <c r="C218" s="42"/>
      <c r="D218" s="27"/>
      <c r="E218" s="42" t="n">
        <f aca="false">E176</f>
        <v>200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400</v>
      </c>
      <c r="B221" s="42" t="n">
        <f aca="false">B179</f>
        <v>0</v>
      </c>
      <c r="C221" s="42"/>
      <c r="D221" s="27"/>
      <c r="E221" s="42" t="n">
        <f aca="false">E179</f>
        <v>20615.004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4620.49332044825</v>
      </c>
      <c r="B224" s="42" t="n">
        <f aca="false">B182</f>
        <v>239.99</v>
      </c>
      <c r="C224" s="42"/>
      <c r="D224" s="27"/>
      <c r="E224" s="42" t="n">
        <f aca="false">E182</f>
        <v>25485.4873204483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639.99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700.986036679118</v>
      </c>
      <c r="B230" s="42" t="str">
        <f aca="false">B167</f>
        <v>0</v>
      </c>
      <c r="C230" s="47"/>
      <c r="D230" s="47"/>
      <c r="E230" s="42" t="n">
        <f aca="false">E167</f>
        <v>700.986036679118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710.986036679118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29.17872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1954.17</v>
      </c>
      <c r="B240" s="42" t="n">
        <f aca="false">B68</f>
        <v>206.15004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760.320040000001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2330.41732044825</v>
      </c>
      <c r="C254" s="182"/>
      <c r="D254" s="183" t="s">
        <v>230</v>
      </c>
      <c r="E254" s="183"/>
      <c r="F254" s="185" t="n">
        <f aca="false">F261+F267+F269+B270+B271</f>
        <v>206.15004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2144.26728044825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2330.41732044825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206.15004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2144.26728044825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75" zoomScaleNormal="75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59" t="n">
        <f aca="false">K48</f>
        <v>1246.48001488384</v>
      </c>
      <c r="F33" s="359"/>
      <c r="G33" s="359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5437.05569273747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93.85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11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10.3148273595096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1819.7105337585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20016.8158713435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20016.8158713435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41.2363636363636</v>
      </c>
      <c r="C94" s="36"/>
      <c r="D94" s="36"/>
      <c r="E94" s="27"/>
      <c r="F94" s="92" t="s">
        <v>131</v>
      </c>
      <c r="G94" s="96" t="n">
        <f aca="false">IF(B26="YES",((E40/B85)*(1+A108)*(C45/100)),"0")</f>
        <v>41.2363636363636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1819.7105337585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1860.94689739487</v>
      </c>
      <c r="C96" s="36"/>
      <c r="D96" s="36"/>
      <c r="E96" s="27"/>
      <c r="F96" s="99" t="s">
        <v>133</v>
      </c>
      <c r="G96" s="100" t="n">
        <f aca="false">G94+G95</f>
        <v>1665.34338789841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31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1819.7105337585</v>
      </c>
      <c r="B167" s="166" t="n">
        <f aca="false">B94</f>
        <v>41.2363636363636</v>
      </c>
      <c r="C167" s="164"/>
      <c r="D167" s="164"/>
      <c r="E167" s="166" t="n">
        <f aca="false">B96</f>
        <v>1860.94689739487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3107.76276873841</v>
      </c>
      <c r="B182" s="42" t="n">
        <f aca="false">B114</f>
        <v>199.991666666667</v>
      </c>
      <c r="C182" s="42"/>
      <c r="D182" s="27"/>
      <c r="E182" s="42" t="n">
        <f aca="false">E179+A182+(B182*1.2)+A185</f>
        <v>22127.7527687384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1870.94689739487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7.56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121.41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1860.94689739487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1819.7105337585</v>
      </c>
      <c r="B212" s="166" t="n">
        <f aca="false">B167</f>
        <v>41.2363636363636</v>
      </c>
      <c r="C212" s="164"/>
      <c r="D212" s="164"/>
      <c r="E212" s="166" t="n">
        <f aca="false">E167</f>
        <v>1860.94689739487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3107.76276873841</v>
      </c>
      <c r="B224" s="42" t="n">
        <f aca="false">B182</f>
        <v>199.991666666667</v>
      </c>
      <c r="C224" s="42"/>
      <c r="D224" s="27"/>
      <c r="E224" s="42" t="n">
        <f aca="false">E182</f>
        <v>22127.7527687384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1819.7105337585</v>
      </c>
      <c r="B230" s="42" t="n">
        <f aca="false">B167</f>
        <v>41.2363636363636</v>
      </c>
      <c r="C230" s="47"/>
      <c r="D230" s="47"/>
      <c r="E230" s="42" t="n">
        <f aca="false">E167</f>
        <v>1860.94689739487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1870.94689739487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93.85</v>
      </c>
      <c r="C240" s="36"/>
      <c r="D240" s="36"/>
      <c r="E240" s="42" t="n">
        <f aca="false">E188</f>
        <v>7.56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784.739999999999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2398.44276873841</v>
      </c>
      <c r="C254" s="182"/>
      <c r="D254" s="183" t="s">
        <v>230</v>
      </c>
      <c r="E254" s="183"/>
      <c r="F254" s="185" t="n">
        <f aca="false">F261+F267+F269+B270+B271</f>
        <v>93.85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95.6</v>
      </c>
      <c r="C255" s="182"/>
      <c r="D255" s="183" t="s">
        <v>232</v>
      </c>
      <c r="E255" s="183"/>
      <c r="F255" s="185" t="n">
        <f aca="false">(B254-F254)+B255</f>
        <v>2400.19276873841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2398.44276873841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93.85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75.6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2400.19276873841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75" zoomScaleNormal="75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59" t="n">
        <f aca="false">K48</f>
        <v>433.566004741586</v>
      </c>
      <c r="F33" s="359"/>
      <c r="G33" s="359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433.566004741586</v>
      </c>
      <c r="B36" s="217" t="str">
        <f aca="false">IF(B26="YES",K42,"0.00")</f>
        <v>0.00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25909.1715613065</v>
      </c>
      <c r="N39" s="6" t="n">
        <f aca="false">K39-L39</f>
        <v>-11867.5015613065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-11867.5015613065</v>
      </c>
      <c r="N40" s="6" t="n">
        <f aca="false">N38-N39</f>
        <v>14779.1815613065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433.566004741586</v>
      </c>
      <c r="L47" s="7" t="n">
        <f aca="false">L49-K42</f>
        <v>800</v>
      </c>
      <c r="M47" s="6" t="n">
        <f aca="false">K47-L47</f>
        <v>-366.433995258414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433.566004741586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433.566004741586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6211.76466085548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0.02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0.02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375.4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433.566004741586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433.566004741586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433.566004741586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433.566004741586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36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30.1075050372741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623.432595187216</v>
      </c>
      <c r="C89" s="36"/>
      <c r="D89" s="36"/>
      <c r="E89" s="27"/>
      <c r="F89" s="35" t="s">
        <v>127</v>
      </c>
      <c r="G89" s="37" t="n">
        <f aca="false">(G88/G87)</f>
        <v>579.56310816303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22443.5734267398</v>
      </c>
      <c r="C90" s="36"/>
      <c r="D90" s="36"/>
      <c r="E90" s="27"/>
      <c r="F90" s="35" t="s">
        <v>128</v>
      </c>
      <c r="G90" s="37" t="n">
        <f aca="false">((G89*(G85))+G77)</f>
        <v>20864.2718938691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22443.5734267398</v>
      </c>
      <c r="C92" s="36"/>
      <c r="D92" s="36"/>
      <c r="E92" s="27"/>
      <c r="F92" s="60" t="s">
        <v>130</v>
      </c>
      <c r="G92" s="69" t="n">
        <f aca="false">(G90+G91)</f>
        <v>20864.2718938691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623.432595187216</v>
      </c>
      <c r="C95" s="36"/>
      <c r="D95" s="36"/>
      <c r="E95" s="27"/>
      <c r="F95" s="97" t="s">
        <v>132</v>
      </c>
      <c r="G95" s="98" t="n">
        <f aca="false">G92/(G85)</f>
        <v>579.56310816303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623.432595187216</v>
      </c>
      <c r="C96" s="36"/>
      <c r="D96" s="36"/>
      <c r="E96" s="27"/>
      <c r="F96" s="99" t="s">
        <v>133</v>
      </c>
      <c r="G96" s="100" t="n">
        <f aca="false">G94+G95</f>
        <v>579.56310816303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32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623.432595187216</v>
      </c>
      <c r="B167" s="166" t="str">
        <f aca="false">B94</f>
        <v>0</v>
      </c>
      <c r="C167" s="164"/>
      <c r="D167" s="164"/>
      <c r="E167" s="166" t="n">
        <f aca="false">B96</f>
        <v>623.432595187216</v>
      </c>
      <c r="F167" s="27"/>
      <c r="G167" s="27" t="n">
        <f aca="false">ROUND(G95,2)</f>
        <v>579.56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214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3673.57342673979</v>
      </c>
      <c r="B182" s="42" t="n">
        <f aca="false">B114</f>
        <v>239.99</v>
      </c>
      <c r="C182" s="42"/>
      <c r="D182" s="27"/>
      <c r="E182" s="42" t="n">
        <f aca="false">E179+A182+B182+A185</f>
        <v>22693.5634267398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A179+(B182)</f>
        <v>2239.99</v>
      </c>
      <c r="C185" s="42"/>
      <c r="D185" s="27"/>
      <c r="E185" s="42" t="n">
        <f aca="false">IF( E170=0, A185+E167, E170+A185)</f>
        <v>633.432595187216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(G158*B67)</f>
        <v>375.4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395.4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623.432595187216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2094.16</v>
      </c>
      <c r="B201" s="47" t="n">
        <f aca="false">E179+A201+B182+A185</f>
        <v>21114.15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623.432595187216</v>
      </c>
      <c r="B212" s="166" t="str">
        <f aca="false">B167</f>
        <v>0</v>
      </c>
      <c r="C212" s="164"/>
      <c r="D212" s="164"/>
      <c r="E212" s="166" t="n">
        <f aca="false">E167</f>
        <v>623.432595187216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3673.57342673979</v>
      </c>
      <c r="B224" s="42" t="n">
        <f aca="false">B182</f>
        <v>239.99</v>
      </c>
      <c r="C224" s="42"/>
      <c r="D224" s="27"/>
      <c r="E224" s="42" t="n">
        <f aca="false">E182</f>
        <v>22693.5634267398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623.432595187216</v>
      </c>
      <c r="B230" s="42" t="str">
        <f aca="false">B167</f>
        <v>0</v>
      </c>
      <c r="C230" s="47"/>
      <c r="D230" s="47"/>
      <c r="E230" s="42" t="n">
        <f aca="false">E167</f>
        <v>623.432595187216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633.432595187216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375.4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1058.73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1589.41342673979</v>
      </c>
      <c r="C254" s="182"/>
      <c r="D254" s="183" t="s">
        <v>230</v>
      </c>
      <c r="E254" s="183"/>
      <c r="F254" s="185" t="n">
        <f aca="false">F261+F267+F269+B270+B271</f>
        <v>375.4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1234.01342673979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1589.41342673979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0.02</v>
      </c>
      <c r="C261" s="36"/>
      <c r="D261" s="156" t="s">
        <v>235</v>
      </c>
      <c r="E261" s="156"/>
      <c r="F261" s="142" t="n">
        <f aca="false">B68</f>
        <v>375.4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1234.01342673979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75" zoomScaleNormal="75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59" t="n">
        <f aca="false">K48</f>
        <v>1246.48001488384</v>
      </c>
      <c r="F33" s="359"/>
      <c r="G33" s="359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3866.42151011271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 t="s">
        <v>106</v>
      </c>
      <c r="B67" s="88" t="n">
        <f aca="false">B66+(B66*0.5*(K29/12-1))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(G158*B67)/1.2</f>
        <v>78.2083333333333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12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11.1931023712225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1676.92560806534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20123.1072967841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20123.1072967841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40.95</v>
      </c>
      <c r="C94" s="36"/>
      <c r="D94" s="36"/>
      <c r="E94" s="27"/>
      <c r="F94" s="92" t="s">
        <v>131</v>
      </c>
      <c r="G94" s="96" t="n">
        <f aca="false">IF(B26="YES",((E40/B85)*(1+A108)*(C45/100)),"0")</f>
        <v>40.95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1676.92560806534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1717.87560806534</v>
      </c>
      <c r="C96" s="36"/>
      <c r="D96" s="36"/>
      <c r="E96" s="27"/>
      <c r="F96" s="99" t="s">
        <v>133</v>
      </c>
      <c r="G96" s="100" t="n">
        <f aca="false">G94+G95</f>
        <v>1665.05702426205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31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1676.92560806534</v>
      </c>
      <c r="B167" s="166" t="n">
        <f aca="false">B94</f>
        <v>40.95</v>
      </c>
      <c r="C167" s="164"/>
      <c r="D167" s="164"/>
      <c r="E167" s="166" t="n">
        <f aca="false">B96</f>
        <v>1717.87560806534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214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1394.05729678413</v>
      </c>
      <c r="B182" s="42" t="n">
        <f aca="false">B114</f>
        <v>199.991666666667</v>
      </c>
      <c r="C182" s="42"/>
      <c r="D182" s="27"/>
      <c r="E182" s="42" t="n">
        <f aca="false">E179+A182+(B182*1.2)+A185</f>
        <v>20414.0472967841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1727.87560806534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11.34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125.19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1717.87560806534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1676.92560806534</v>
      </c>
      <c r="B212" s="166" t="n">
        <f aca="false">B167</f>
        <v>40.95</v>
      </c>
      <c r="C212" s="164"/>
      <c r="D212" s="164"/>
      <c r="E212" s="166" t="n">
        <f aca="false">E167</f>
        <v>1717.87560806534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1394.05729678413</v>
      </c>
      <c r="B224" s="42" t="n">
        <f aca="false">B182</f>
        <v>199.991666666667</v>
      </c>
      <c r="C224" s="42"/>
      <c r="D224" s="27"/>
      <c r="E224" s="42" t="n">
        <f aca="false">E182</f>
        <v>20414.0472967841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1676.92560806534</v>
      </c>
      <c r="B230" s="42" t="n">
        <f aca="false">B167</f>
        <v>40.95</v>
      </c>
      <c r="C230" s="47"/>
      <c r="D230" s="47"/>
      <c r="E230" s="42" t="n">
        <f aca="false">E167</f>
        <v>1717.87560806534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1727.87560806534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78.2083333333333</v>
      </c>
      <c r="C240" s="36"/>
      <c r="D240" s="36"/>
      <c r="E240" s="42" t="n">
        <f aca="false">E188</f>
        <v>11.34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B240+E240+A243+A240-H156-H156</f>
        <v>-647.121666666667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684.737296784126</v>
      </c>
      <c r="C254" s="182"/>
      <c r="D254" s="183" t="s">
        <v>230</v>
      </c>
      <c r="E254" s="183"/>
      <c r="F254" s="185" t="n">
        <f aca="false">F261+F267+F269+B270+B271</f>
        <v>78.2083333333333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133.4</v>
      </c>
      <c r="C255" s="182"/>
      <c r="D255" s="183" t="s">
        <v>232</v>
      </c>
      <c r="E255" s="183"/>
      <c r="F255" s="185" t="n">
        <f aca="false">(B254-F254)+B255</f>
        <v>739.928963450792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684.737296784126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78.2083333333333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113.4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739.928963450792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35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5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7" t="n">
        <f aca="false">H48</f>
        <v>460.911583609103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460.911583609103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42650.9957638039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-28609.3257638039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</v>
      </c>
      <c r="B45" s="199"/>
      <c r="C45" s="371" t="n">
        <v>100</v>
      </c>
      <c r="D45" s="371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460.911583609103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460.911583609103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460.911583609103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3" t="n">
        <v>10000</v>
      </c>
      <c r="D64" s="36" t="n">
        <f aca="false">B64</f>
        <v>1743.975414</v>
      </c>
      <c r="E64" s="374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0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4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4" t="n">
        <f aca="false">(D73+D76+D79+D80)/(B58+B57)</f>
        <v>20.5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3167.35776694118</v>
      </c>
      <c r="C81" s="310"/>
      <c r="D81" s="381"/>
      <c r="E81" s="374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90.4959361983193</v>
      </c>
      <c r="C82" s="310"/>
      <c r="D82" s="199"/>
      <c r="E82" s="374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460.911583609103</v>
      </c>
      <c r="C83" s="310"/>
      <c r="D83" s="199"/>
      <c r="E83" s="374" t="n">
        <f aca="false">B83+E80+E77+E64</f>
        <v>544.684830731792</v>
      </c>
      <c r="F83" s="67"/>
      <c r="G83" s="278" t="s">
        <v>118</v>
      </c>
      <c r="H83" s="63" t="n">
        <f aca="false">H47</f>
        <v>460.911583609103</v>
      </c>
      <c r="I83" s="199"/>
      <c r="J83" s="199"/>
      <c r="K83" s="200"/>
      <c r="L83" s="67"/>
      <c r="M83" s="278" t="s">
        <v>118</v>
      </c>
      <c r="N83" s="63" t="n">
        <f aca="false">H47</f>
        <v>460.911583609103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19299.2631932598</v>
      </c>
      <c r="C85" s="310"/>
      <c r="D85" s="310"/>
      <c r="E85" s="374" t="n">
        <f aca="false">B85/(B58+B57)</f>
        <v>551.407519807422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163.48710248425</v>
      </c>
      <c r="C86" s="310" t="s">
        <v>244</v>
      </c>
      <c r="D86" s="199"/>
      <c r="E86" s="374" t="n">
        <f aca="false">B86/(B58+B57)</f>
        <v>4.67106007097857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142.733970936947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19462.750295744</v>
      </c>
      <c r="C87" s="310"/>
      <c r="D87" s="382"/>
      <c r="E87" s="374" t="n">
        <f aca="false">E86+E85</f>
        <v>556.078579878401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556.078579878401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519.020399114212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424.803484931389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556.078579878401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519.020399114212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424.803484931389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519.020399114212</v>
      </c>
      <c r="H127" s="166" t="n">
        <f aca="false">IF(G105="YES",H89*H57,0)</f>
        <v>0</v>
      </c>
      <c r="I127" s="166"/>
      <c r="J127" s="301" t="n">
        <f aca="false">H91</f>
        <v>519.020399114212</v>
      </c>
      <c r="K127" s="200"/>
      <c r="L127" s="67"/>
      <c r="M127" s="300" t="n">
        <f aca="false">N90</f>
        <v>424.803484931389</v>
      </c>
      <c r="N127" s="166" t="n">
        <f aca="false">IF(M105="YES",N89*N57,0)</f>
        <v>0</v>
      </c>
      <c r="O127" s="166"/>
      <c r="P127" s="166" t="n">
        <f aca="false">N91</f>
        <v>424.803484931389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556.078579878401</v>
      </c>
      <c r="B128" s="290" t="n">
        <f aca="false">IF(A105="YES",B89,0)</f>
        <v>0</v>
      </c>
      <c r="C128" s="294"/>
      <c r="D128" s="290" t="n">
        <f aca="false">B91</f>
        <v>556.078579878401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214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214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556.078579878401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556.078579878401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556.078579878401</v>
      </c>
      <c r="B137" s="42" t="n">
        <f aca="false">IF(A105="YES",B89,0)</f>
        <v>0</v>
      </c>
      <c r="C137" s="199"/>
      <c r="D137" s="42" t="n">
        <f aca="false">B91</f>
        <v>556.078579878401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424.803484931389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556.078579878401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556.078579878401</v>
      </c>
      <c r="B177" s="290" t="n">
        <f aca="false">IF(A105="YES",B89,0)</f>
        <v>0</v>
      </c>
      <c r="C177" s="294"/>
      <c r="D177" s="290" t="n">
        <f aca="false">B91</f>
        <v>556.078579878401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556.078579878401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556.078579878401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556.078579878401</v>
      </c>
      <c r="B186" s="42" t="n">
        <f aca="false">IF(A105="YES",B89,0)</f>
        <v>0</v>
      </c>
      <c r="C186" s="199"/>
      <c r="D186" s="42" t="n">
        <f aca="false">B91</f>
        <v>556.078579878401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400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2023.975414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2023.975414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163.48710248425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36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5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36</v>
      </c>
      <c r="B33" s="214" t="n">
        <v>10000</v>
      </c>
      <c r="C33" s="215"/>
      <c r="D33" s="367" t="n">
        <f aca="false">H48</f>
        <v>21.2588677340888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-28.7411322659112</v>
      </c>
      <c r="B36" s="42" t="n">
        <f aca="false">IF(B26="YES",H42,"")</f>
        <v>50</v>
      </c>
      <c r="C36" s="205"/>
      <c r="D36" s="170" t="n">
        <f aca="false">H31</f>
        <v>80000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57083.0116005394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24000</v>
      </c>
      <c r="B40" s="109" t="n">
        <f aca="false">IF(B26="YES",H42,"0")</f>
        <v>50</v>
      </c>
      <c r="C40" s="109"/>
      <c r="D40" s="170" t="n">
        <f aca="false">I32</f>
        <v>6000</v>
      </c>
      <c r="E40" s="200"/>
      <c r="F40" s="67"/>
      <c r="G40" s="67" t="s">
        <v>120</v>
      </c>
      <c r="H40" s="7" t="n">
        <f aca="false">A40/1.2</f>
        <v>20000</v>
      </c>
      <c r="I40" s="7" t="n">
        <f aca="false">H39-I39</f>
        <v>-43041.3416005394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14938.9065173514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30</v>
      </c>
      <c r="B45" s="199"/>
      <c r="C45" s="371" t="n">
        <v>30</v>
      </c>
      <c r="D45" s="371"/>
      <c r="E45" s="200"/>
      <c r="F45" s="67"/>
      <c r="G45" s="67" t="s">
        <v>386</v>
      </c>
      <c r="H45" s="7" t="n">
        <f aca="false">(H39-H44)</f>
        <v>-897.236517351385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31.2178556171763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-28.7411322659112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21.2588677340888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10000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36</v>
      </c>
      <c r="B52" s="78" t="n">
        <f aca="false">H48</f>
        <v>21.2588677340888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35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35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35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1769.25042</v>
      </c>
      <c r="C64" s="373" t="n">
        <v>10000</v>
      </c>
      <c r="D64" s="36" t="n">
        <f aca="false">B64</f>
        <v>1769.25042</v>
      </c>
      <c r="E64" s="374" t="n">
        <f aca="false">D64/(B58+B57)</f>
        <v>49.145845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0.02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0.02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162</v>
      </c>
      <c r="C73" s="199"/>
      <c r="D73" s="380" t="n">
        <f aca="false">B73+B71</f>
        <v>322</v>
      </c>
      <c r="E73" s="200" t="s">
        <v>241</v>
      </c>
      <c r="F73" s="67"/>
      <c r="G73" s="262" t="s">
        <v>113</v>
      </c>
      <c r="H73" s="69" t="n">
        <f aca="false">H72*H29</f>
        <v>162</v>
      </c>
      <c r="I73" s="199"/>
      <c r="J73" s="36" t="n">
        <f aca="false">H73+H71</f>
        <v>322</v>
      </c>
      <c r="K73" s="200"/>
      <c r="L73" s="67"/>
      <c r="M73" s="262" t="s">
        <v>113</v>
      </c>
      <c r="N73" s="69" t="n">
        <f aca="false">N72*H29</f>
        <v>162</v>
      </c>
      <c r="O73" s="199"/>
      <c r="P73" s="36" t="n">
        <f aca="false">N73+N71</f>
        <v>322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894.166666666667</v>
      </c>
      <c r="C76" s="199"/>
      <c r="D76" s="36" t="n">
        <f aca="false">B76</f>
        <v>894.166666666667</v>
      </c>
      <c r="E76" s="200"/>
      <c r="F76" s="67"/>
      <c r="G76" s="262" t="s">
        <v>293</v>
      </c>
      <c r="H76" s="69" t="n">
        <f aca="false">((H74+H75)/12)*(H29-11)</f>
        <v>343.75</v>
      </c>
      <c r="I76" s="199"/>
      <c r="J76" s="36" t="n">
        <f aca="false">H76</f>
        <v>343.75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4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4" t="n">
        <f aca="false">(D73+D76+D79+D80)/(B58+B57)</f>
        <v>44.8935185185185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3385.41708666667</v>
      </c>
      <c r="C81" s="310"/>
      <c r="D81" s="381"/>
      <c r="E81" s="374"/>
      <c r="F81" s="67"/>
      <c r="G81" s="276" t="s">
        <v>116</v>
      </c>
      <c r="H81" s="277" t="n">
        <f aca="false">SUM(J64:J80)</f>
        <v>1065.75</v>
      </c>
      <c r="I81" s="199"/>
      <c r="J81" s="199"/>
      <c r="K81" s="200"/>
      <c r="L81" s="67"/>
      <c r="M81" s="276" t="s">
        <v>116</v>
      </c>
      <c r="N81" s="277" t="n">
        <f aca="false">SUM(P64:P80)</f>
        <v>722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94.0393635185185</v>
      </c>
      <c r="C82" s="310"/>
      <c r="D82" s="199"/>
      <c r="E82" s="374"/>
      <c r="F82" s="67"/>
      <c r="G82" s="198" t="s">
        <v>117</v>
      </c>
      <c r="H82" s="37" t="n">
        <f aca="false">H81/H29</f>
        <v>29.6041666666667</v>
      </c>
      <c r="I82" s="199"/>
      <c r="J82" s="199"/>
      <c r="K82" s="200"/>
      <c r="L82" s="67"/>
      <c r="M82" s="198" t="s">
        <v>117</v>
      </c>
      <c r="N82" s="37" t="n">
        <f aca="false">N81/H29</f>
        <v>20.0555555555556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-28.7411322659112</v>
      </c>
      <c r="C83" s="310"/>
      <c r="D83" s="199"/>
      <c r="E83" s="374" t="n">
        <f aca="false">B83+E80+E77+E64</f>
        <v>65.2982312526073</v>
      </c>
      <c r="F83" s="67"/>
      <c r="G83" s="278" t="s">
        <v>118</v>
      </c>
      <c r="H83" s="63" t="n">
        <f aca="false">H47</f>
        <v>-28.7411322659112</v>
      </c>
      <c r="I83" s="199"/>
      <c r="J83" s="199"/>
      <c r="K83" s="200"/>
      <c r="L83" s="67"/>
      <c r="M83" s="278" t="s">
        <v>118</v>
      </c>
      <c r="N83" s="63" t="n">
        <f aca="false">H47</f>
        <v>-28.7411322659112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2820.88359011264</v>
      </c>
      <c r="C85" s="310"/>
      <c r="D85" s="310"/>
      <c r="E85" s="374" t="n">
        <f aca="false">B85/(B58+B57)</f>
        <v>78.3578775031288</v>
      </c>
      <c r="F85" s="67"/>
      <c r="G85" s="265" t="s">
        <v>128</v>
      </c>
      <c r="H85" s="31" t="n">
        <f aca="false">((H83*H29)+H81)*1.2</f>
        <v>37.283086112635</v>
      </c>
      <c r="I85" s="199"/>
      <c r="J85" s="199"/>
      <c r="K85" s="200"/>
      <c r="L85" s="67"/>
      <c r="M85" s="265" t="s">
        <v>128</v>
      </c>
      <c r="N85" s="31" t="n">
        <f aca="false">((N83*H29)+N81)</f>
        <v>-312.680761572804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19.9134581794962</v>
      </c>
      <c r="C86" s="310" t="s">
        <v>244</v>
      </c>
      <c r="D86" s="199"/>
      <c r="E86" s="374" t="n">
        <f aca="false">B86/(B58+B57)</f>
        <v>0.553151616097117</v>
      </c>
      <c r="F86" s="67"/>
      <c r="G86" s="198" t="s">
        <v>129</v>
      </c>
      <c r="H86" s="37" t="n">
        <f aca="false">((((H83*H29)+H81))/(1-H70))*H70</f>
        <v>0.26319241910896</v>
      </c>
      <c r="I86" s="199"/>
      <c r="J86" s="199"/>
      <c r="K86" s="200"/>
      <c r="L86" s="67"/>
      <c r="M86" s="198" t="s">
        <v>129</v>
      </c>
      <c r="N86" s="37" t="n">
        <f aca="false">(N85/(1-N70))*N70</f>
        <v>-2.64876804882166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2840.79704829213</v>
      </c>
      <c r="C87" s="310"/>
      <c r="D87" s="382"/>
      <c r="E87" s="374" t="n">
        <f aca="false">E86+E85</f>
        <v>78.9110291192259</v>
      </c>
      <c r="F87" s="67"/>
      <c r="G87" s="262" t="s">
        <v>130</v>
      </c>
      <c r="H87" s="69" t="n">
        <f aca="false">IF(H110="YES",((H85+H86)-K114),(H85+H86))</f>
        <v>37.546278531744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-315.329529621626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72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210.731707317073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175.609756097561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78.9110291192259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0.915762891018146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-7.69096413711282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150.911029119226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211.647470208091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167.918791960448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(E118)+E117-E114</f>
        <v>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36</v>
      </c>
      <c r="C125" s="294"/>
      <c r="D125" s="293" t="n">
        <f aca="false">B160</f>
        <v>10000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0.915762891018146</v>
      </c>
      <c r="H127" s="166" t="n">
        <f aca="false">IF(G105="YES",H89*H57,0)</f>
        <v>1264.39024390244</v>
      </c>
      <c r="I127" s="166"/>
      <c r="J127" s="301" t="n">
        <f aca="false">H91</f>
        <v>211.647470208091</v>
      </c>
      <c r="K127" s="200"/>
      <c r="L127" s="67"/>
      <c r="M127" s="300" t="n">
        <f aca="false">N90</f>
        <v>-7.69096413711282</v>
      </c>
      <c r="N127" s="166" t="n">
        <f aca="false">IF(M105="YES",N89*N57,0)</f>
        <v>1053.65853658537</v>
      </c>
      <c r="O127" s="166"/>
      <c r="P127" s="166" t="n">
        <f aca="false">N91</f>
        <v>167.918791960448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78.9110291192259</v>
      </c>
      <c r="B128" s="290" t="n">
        <f aca="false">IF(A105="YES",B89,0)</f>
        <v>72</v>
      </c>
      <c r="C128" s="294"/>
      <c r="D128" s="290" t="n">
        <f aca="false">B91</f>
        <v>150.911029119226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36</v>
      </c>
      <c r="H130" s="214" t="n">
        <f aca="false">B151</f>
        <v>0</v>
      </c>
      <c r="I130" s="215"/>
      <c r="J130" s="214" t="n">
        <f aca="false">B58</f>
        <v>35</v>
      </c>
      <c r="K130" s="200"/>
      <c r="L130" s="67"/>
      <c r="M130" s="213" t="n">
        <f aca="false">M155</f>
        <v>36</v>
      </c>
      <c r="N130" s="214" t="n">
        <f aca="false">B151</f>
        <v>0</v>
      </c>
      <c r="O130" s="215"/>
      <c r="P130" s="214" t="n">
        <f aca="false">B58</f>
        <v>35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78.9110291192259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5.49457734610887</v>
      </c>
      <c r="H133" s="42" t="n">
        <f aca="false">IF(G105="YES",H89*H57,0)</f>
        <v>1264.39024390244</v>
      </c>
      <c r="I133" s="205"/>
      <c r="J133" s="170" t="n">
        <f aca="false">H91*H57</f>
        <v>1269.88482124855</v>
      </c>
      <c r="K133" s="200"/>
      <c r="L133" s="67"/>
      <c r="M133" s="171" t="n">
        <f aca="false">N90*N57</f>
        <v>-46.1457848226769</v>
      </c>
      <c r="N133" s="42" t="n">
        <f aca="false">IF(M105="YES",N89*N57,0)</f>
        <v>1053.65853658537</v>
      </c>
      <c r="O133" s="205"/>
      <c r="P133" s="170" t="n">
        <f aca="false">N91*N57</f>
        <v>1007.51275176269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150.911029119226</v>
      </c>
      <c r="B134" s="42" t="n">
        <f aca="false">E114</f>
        <v>0</v>
      </c>
      <c r="C134" s="199"/>
      <c r="D134" s="303" t="n">
        <f aca="false">B58</f>
        <v>35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78.9110291192259</v>
      </c>
      <c r="B137" s="42" t="n">
        <f aca="false">IF(A105="YES",B89,0)</f>
        <v>72</v>
      </c>
      <c r="C137" s="199"/>
      <c r="D137" s="42" t="n">
        <f aca="false">B91</f>
        <v>150.911029119226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29.17872</v>
      </c>
      <c r="B140" s="309" t="n">
        <f aca="false">IF(A105="YES",B61*0.000002,0)*1.2*100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36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36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56</v>
      </c>
      <c r="E151" s="107"/>
      <c r="F151" s="67"/>
      <c r="G151" s="233"/>
      <c r="H151" s="235" t="n">
        <f aca="false">B51</f>
        <v>10000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36</v>
      </c>
      <c r="H152" s="78" t="n">
        <f aca="false">H91</f>
        <v>211.647470208091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10000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36</v>
      </c>
      <c r="N155" s="78" t="n">
        <f aca="false">N91</f>
        <v>167.918791960448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10000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36</v>
      </c>
      <c r="B161" s="78" t="n">
        <f aca="false">B91</f>
        <v>150.911029119226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36</v>
      </c>
      <c r="C174" s="294"/>
      <c r="D174" s="293" t="n">
        <f aca="false">D125</f>
        <v>10000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78.9110291192259</v>
      </c>
      <c r="B177" s="290" t="n">
        <f aca="false">IF(A105="YES",B89,0)</f>
        <v>72</v>
      </c>
      <c r="C177" s="294"/>
      <c r="D177" s="290" t="n">
        <f aca="false">B91</f>
        <v>150.911029119226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78.9110291192259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150.911029119226</v>
      </c>
      <c r="B183" s="42" t="n">
        <f aca="false">E114</f>
        <v>0</v>
      </c>
      <c r="C183" s="199"/>
      <c r="D183" s="303" t="n">
        <f aca="false">B58</f>
        <v>35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78.9110291192259</v>
      </c>
      <c r="B186" s="42" t="n">
        <f aca="false">IF(A105="YES",B89,0)</f>
        <v>72</v>
      </c>
      <c r="C186" s="199"/>
      <c r="D186" s="42" t="n">
        <f aca="false">B91</f>
        <v>150.911029119226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29.17872</v>
      </c>
      <c r="B189" s="309" t="n">
        <f aca="false">B140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1769.25042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380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2149.25042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1769.25042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2149.25042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322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19.9134581794962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35</v>
      </c>
      <c r="I29" s="67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5" t="n">
        <v>35000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7" t="n">
        <f aca="false">H48</f>
        <v>460.911583609103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460.911583609103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42650.9957638039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-28609.3257638039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</v>
      </c>
      <c r="B45" s="199"/>
      <c r="C45" s="371" t="n">
        <v>100</v>
      </c>
      <c r="D45" s="371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460.911583609103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460.911583609103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460.911583609103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3" t="n">
        <v>10000</v>
      </c>
      <c r="D64" s="36" t="n">
        <f aca="false">B64</f>
        <v>1743.975414</v>
      </c>
      <c r="E64" s="374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0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870</v>
      </c>
      <c r="C76" s="199"/>
      <c r="D76" s="36" t="n">
        <f aca="false">B76</f>
        <v>870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4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4" t="n">
        <f aca="false">(D73+D76+D79+D80)/(B58+B57)</f>
        <v>45.3571428571429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3331.475414</v>
      </c>
      <c r="C81" s="310"/>
      <c r="D81" s="381"/>
      <c r="E81" s="374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95.1850118285714</v>
      </c>
      <c r="C82" s="310"/>
      <c r="D82" s="199"/>
      <c r="E82" s="374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460.911583609103</v>
      </c>
      <c r="C83" s="310"/>
      <c r="D83" s="199"/>
      <c r="E83" s="374" t="n">
        <f aca="false">B83+E80+E77+E64</f>
        <v>556.096595437674</v>
      </c>
      <c r="F83" s="67"/>
      <c r="G83" s="278" t="s">
        <v>118</v>
      </c>
      <c r="H83" s="63" t="n">
        <f aca="false">H47</f>
        <v>460.911583609103</v>
      </c>
      <c r="I83" s="199"/>
      <c r="J83" s="199"/>
      <c r="K83" s="200"/>
      <c r="L83" s="67"/>
      <c r="M83" s="278" t="s">
        <v>118</v>
      </c>
      <c r="N83" s="63" t="n">
        <f aca="false">H47</f>
        <v>460.911583609103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19463.3808403186</v>
      </c>
      <c r="C85" s="310"/>
      <c r="D85" s="310"/>
      <c r="E85" s="374" t="n">
        <f aca="false">B85/(B58+B57)</f>
        <v>556.096595437674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164.877368957923</v>
      </c>
      <c r="C86" s="310" t="s">
        <v>244</v>
      </c>
      <c r="D86" s="199"/>
      <c r="E86" s="374" t="n">
        <f aca="false">B86/(B58+B57)</f>
        <v>4.71078197022636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142.733970936947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19628.2582092765</v>
      </c>
      <c r="C87" s="310"/>
      <c r="D87" s="382"/>
      <c r="E87" s="374" t="n">
        <f aca="false">E86+E85</f>
        <v>560.8073774079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560.8073774079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519.020399114212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424.803484931389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560.8073774079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519.020399114212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424.803484931389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519.020399114212</v>
      </c>
      <c r="H127" s="166" t="n">
        <f aca="false">IF(G105="YES",H89*H57,0)</f>
        <v>0</v>
      </c>
      <c r="I127" s="166"/>
      <c r="J127" s="301" t="n">
        <f aca="false">H91</f>
        <v>519.020399114212</v>
      </c>
      <c r="K127" s="200"/>
      <c r="L127" s="67"/>
      <c r="M127" s="300" t="n">
        <f aca="false">N90</f>
        <v>424.803484931389</v>
      </c>
      <c r="N127" s="166" t="n">
        <f aca="false">IF(M105="YES",N89*N57,0)</f>
        <v>0</v>
      </c>
      <c r="O127" s="166"/>
      <c r="P127" s="166" t="n">
        <f aca="false">N91</f>
        <v>424.803484931389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560.8073774079</v>
      </c>
      <c r="B128" s="290" t="n">
        <f aca="false">IF(A105="YES",B89,0)</f>
        <v>0</v>
      </c>
      <c r="C128" s="294"/>
      <c r="D128" s="290" t="n">
        <f aca="false">B91</f>
        <v>560.8073774079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214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214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560.8073774079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560.8073774079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560.8073774079</v>
      </c>
      <c r="B137" s="42" t="n">
        <f aca="false">IF(A105="YES",B89,0)</f>
        <v>0</v>
      </c>
      <c r="C137" s="199"/>
      <c r="D137" s="42" t="n">
        <f aca="false">B91</f>
        <v>560.8073774079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424.803484931389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560.8073774079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560.8073774079</v>
      </c>
      <c r="B177" s="290" t="n">
        <f aca="false">IF(A105="YES",B89,0)</f>
        <v>0</v>
      </c>
      <c r="C177" s="294"/>
      <c r="D177" s="290" t="n">
        <f aca="false">B91</f>
        <v>560.8073774079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560.8073774079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560.8073774079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560.8073774079</v>
      </c>
      <c r="B186" s="42" t="n">
        <f aca="false">IF(A105="YES",B89,0)</f>
        <v>0</v>
      </c>
      <c r="C186" s="199"/>
      <c r="D186" s="42" t="n">
        <f aca="false">B91</f>
        <v>560.8073774079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1763.975414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1763.975414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164.877368957923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17500.0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str">
        <f aca="false">A46</f>
        <v>50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415</v>
      </c>
      <c r="B34" s="36"/>
      <c r="C34" s="45" t="s">
        <v>423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21000</v>
      </c>
      <c r="B37" s="36"/>
      <c r="C37" s="45" t="s">
        <v>414</v>
      </c>
      <c r="D37" s="45"/>
      <c r="E37" s="36"/>
      <c r="F37" s="47" t="n">
        <f aca="false">A37-C37</f>
        <v>20000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415</v>
      </c>
      <c r="B40" s="36"/>
      <c r="C40" s="58" t="n">
        <f aca="false">A34-1</f>
        <v>11</v>
      </c>
      <c r="D40" s="58"/>
      <c r="E40" s="36"/>
      <c r="F40" s="45" t="s">
        <v>416</v>
      </c>
      <c r="G40" s="45"/>
      <c r="H40" s="51"/>
      <c r="J40" s="7" t="s">
        <v>71</v>
      </c>
      <c r="K40" s="7" t="n">
        <f aca="false">C15</f>
        <v>3500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str">
        <f aca="false">IF(F43="Yes",A46,0)</f>
        <v>50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208.333333333333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341.666666666667</v>
      </c>
      <c r="L45" s="7"/>
    </row>
    <row r="46" customFormat="false" ht="18.75" hidden="false" customHeight="false" outlineLevel="0" collapsed="false">
      <c r="A46" s="44" t="s">
        <v>413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344.333333333333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294.333333333333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424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344.333333333333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15630.9006199564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184.875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344.333333333333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344.333333333333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344.333333333333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20000</v>
      </c>
      <c r="C90" s="36"/>
      <c r="D90" s="36"/>
      <c r="E90" s="27"/>
      <c r="F90" s="29" t="s">
        <v>119</v>
      </c>
      <c r="G90" s="31" t="n">
        <f aca="false">F37</f>
        <v>20000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14704.215166767</v>
      </c>
      <c r="C97" s="36"/>
      <c r="D97" s="36"/>
      <c r="E97" s="27"/>
      <c r="F97" s="35" t="s">
        <v>126</v>
      </c>
      <c r="G97" s="37" t="n">
        <f aca="false">G90-G95</f>
        <v>14376.6089154658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1422.08187454149</v>
      </c>
      <c r="C98" s="36"/>
      <c r="D98" s="36"/>
      <c r="E98" s="27"/>
      <c r="F98" s="35" t="s">
        <v>127</v>
      </c>
      <c r="G98" s="37" t="n">
        <f aca="false">(G97/G96)</f>
        <v>1349.82320087092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15642.9006199564</v>
      </c>
      <c r="C99" s="36"/>
      <c r="D99" s="36"/>
      <c r="E99" s="27"/>
      <c r="F99" s="35" t="s">
        <v>128</v>
      </c>
      <c r="G99" s="37" t="n">
        <f aca="false">((G98*(G94))+G86)</f>
        <v>14848.0552095801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15642.9006199564</v>
      </c>
      <c r="C101" s="36"/>
      <c r="D101" s="36"/>
      <c r="E101" s="27"/>
      <c r="F101" s="60" t="s">
        <v>130</v>
      </c>
      <c r="G101" s="69" t="n">
        <f aca="false">(G99+G100)</f>
        <v>14848.0552095801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85.0909090909091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1422.08187454149</v>
      </c>
      <c r="C104" s="36"/>
      <c r="D104" s="36"/>
      <c r="E104" s="27"/>
      <c r="F104" s="97" t="s">
        <v>132</v>
      </c>
      <c r="G104" s="98" t="n">
        <f aca="false">G101/(G94)</f>
        <v>1349.82320087092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1507.1727836324</v>
      </c>
      <c r="C105" s="36"/>
      <c r="D105" s="36"/>
      <c r="E105" s="27" t="s">
        <v>406</v>
      </c>
      <c r="F105" s="99" t="s">
        <v>133</v>
      </c>
      <c r="G105" s="100" t="n">
        <f aca="false">G103+G104</f>
        <v>1349.82320087092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405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406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406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0.3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21000</v>
      </c>
      <c r="C130" s="44" t="n">
        <v>19375.0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21000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21000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21000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21000</v>
      </c>
      <c r="C134" s="69" t="n">
        <f aca="false">C130-C133</f>
        <v>19375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17500</v>
      </c>
      <c r="H144" s="144" t="n">
        <f aca="false">C134+E134+G134+H137</f>
        <v>19375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3500</v>
      </c>
      <c r="H146" s="37" t="n">
        <f aca="false">(H144+H145)*20%</f>
        <v>3875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21000</v>
      </c>
      <c r="H150" s="147" t="n">
        <f aca="false">(H144+H145+H148+H149+H146)-H147</f>
        <v>23250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0.0</v>
      </c>
      <c r="F152" s="113"/>
      <c r="G152" s="37" t="n">
        <v>0.0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0.0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21000</v>
      </c>
      <c r="H156" s="154" t="n">
        <f aca="false">H150-((H153*1.2)+(H154*1.2)+(H155*1.2)+(H151*1.2))</f>
        <v>23250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1875</v>
      </c>
      <c r="I157" s="6" t="n">
        <f aca="false">(H157-G90)/1.2</f>
        <v>-15104.1666666667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24650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1422.08187454149</v>
      </c>
      <c r="B176" s="166" t="n">
        <f aca="false">B103</f>
        <v>85.0909090909091</v>
      </c>
      <c r="C176" s="164"/>
      <c r="D176" s="164"/>
      <c r="E176" s="166" t="n">
        <f aca="false">B105</f>
        <v>1507.1727836324</v>
      </c>
      <c r="F176" s="27"/>
      <c r="G176" s="27" t="n">
        <f aca="false">ROUND(G104,2)</f>
        <v>1349.82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19375</v>
      </c>
      <c r="B182" s="42" t="n">
        <f aca="false">H146</f>
        <v>3875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23250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24650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20.0</v>
      </c>
      <c r="B191" s="42" t="n">
        <f aca="false">B123</f>
        <v>239.99</v>
      </c>
      <c r="C191" s="42"/>
      <c r="D191" s="27"/>
      <c r="E191" s="42" t="n">
        <f aca="false">E188+A191+B191+A194</f>
        <v>21907.8906199564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8.97696</v>
      </c>
      <c r="B197" s="42" t="n">
        <f aca="false">(G167*B76)</f>
        <v>184.875</v>
      </c>
      <c r="C197" s="36"/>
      <c r="D197" s="36"/>
      <c r="E197" s="42" t="n">
        <f aca="false">K55*A117*0.1</f>
        <v>18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222.875</v>
      </c>
      <c r="C200" s="36"/>
      <c r="D200" s="36"/>
      <c r="E200" s="42" t="n">
        <f aca="false">H157</f>
        <v>1875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1507.1727836324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-3801.98</v>
      </c>
      <c r="B210" s="47" t="n">
        <f aca="false">E188+A210+B191+A194</f>
        <v>21113.01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1422.08187454149</v>
      </c>
      <c r="B221" s="166" t="n">
        <f aca="false">B176</f>
        <v>85.0909090909091</v>
      </c>
      <c r="C221" s="164"/>
      <c r="D221" s="164"/>
      <c r="E221" s="166" t="n">
        <f aca="false">E176</f>
        <v>1507.1727836324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19375</v>
      </c>
      <c r="B224" s="42" t="n">
        <f aca="false">B182</f>
        <v>3875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23250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24650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-3007.09938004363</v>
      </c>
      <c r="B233" s="42" t="n">
        <f aca="false">B191</f>
        <v>239.99</v>
      </c>
      <c r="C233" s="42"/>
      <c r="D233" s="27"/>
      <c r="E233" s="42" t="n">
        <f aca="false">E191</f>
        <v>21907.8906199564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1422.08187454149</v>
      </c>
      <c r="B239" s="42" t="n">
        <f aca="false">B176</f>
        <v>85.0909090909091</v>
      </c>
      <c r="C239" s="47"/>
      <c r="D239" s="47"/>
      <c r="E239" s="42" t="n">
        <f aca="false">E176</f>
        <v>1507.1727836324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26.93088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8.97696</v>
      </c>
      <c r="B245" s="42" t="n">
        <f aca="false">E242+A245</f>
        <v>35.90784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1875</v>
      </c>
      <c r="B249" s="42" t="n">
        <f aca="false">B197</f>
        <v>184.875</v>
      </c>
      <c r="C249" s="36"/>
      <c r="D249" s="36"/>
      <c r="E249" s="42" t="n">
        <f aca="false">E197</f>
        <v>18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697.875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819.880619956373</v>
      </c>
      <c r="C263" s="182"/>
      <c r="D263" s="183" t="s">
        <v>230</v>
      </c>
      <c r="E263" s="183"/>
      <c r="F263" s="185" t="n">
        <f aca="false">F270+F276+F278+B279+B280</f>
        <v>184.875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200</v>
      </c>
      <c r="C264" s="182"/>
      <c r="D264" s="183" t="s">
        <v>232</v>
      </c>
      <c r="E264" s="183"/>
      <c r="F264" s="185" t="n">
        <f aca="false">(B263-F263)+B264</f>
        <v>835.005619956373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819.880619956373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184.875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0.3</v>
      </c>
      <c r="C271" s="36"/>
      <c r="D271" s="156" t="s">
        <v>236</v>
      </c>
      <c r="E271" s="156"/>
      <c r="F271" s="135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835.005619956373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8" colorId="64" zoomScale="75" zoomScaleNormal="75" zoomScalePageLayoutView="100" workbookViewId="0">
      <selection pane="topLeft" activeCell="F263" activeCellId="0" sqref="F26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17875</v>
      </c>
      <c r="C9" s="14" t="n">
        <f aca="false">B9*0.2</f>
        <v>3575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21450</v>
      </c>
      <c r="B37" s="36"/>
      <c r="C37" s="45" t="s">
        <v>58</v>
      </c>
      <c r="D37" s="45"/>
      <c r="E37" s="36"/>
      <c r="F37" s="47" t="n">
        <f aca="false">A37-C37</f>
        <v>20450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3575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214.583333333333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285.416666666667</v>
      </c>
      <c r="L45" s="7"/>
    </row>
    <row r="46" customFormat="false" ht="18.7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288.083333333333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288.083333333333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288.083333333333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16109.627651569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188.62503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288.083333333333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288.083333333333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288.083333333333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20450</v>
      </c>
      <c r="C90" s="36"/>
      <c r="D90" s="36"/>
      <c r="E90" s="27"/>
      <c r="F90" s="29" t="s">
        <v>119</v>
      </c>
      <c r="G90" s="31" t="n">
        <f aca="false">F37</f>
        <v>20450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15154.215166767</v>
      </c>
      <c r="C97" s="36"/>
      <c r="D97" s="36"/>
      <c r="E97" s="27"/>
      <c r="F97" s="35" t="s">
        <v>126</v>
      </c>
      <c r="G97" s="37" t="n">
        <f aca="false">G90-G95</f>
        <v>14826.6089154658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1465.602513779</v>
      </c>
      <c r="C98" s="36"/>
      <c r="D98" s="36"/>
      <c r="E98" s="27"/>
      <c r="F98" s="35" t="s">
        <v>127</v>
      </c>
      <c r="G98" s="37" t="n">
        <f aca="false">(G97/G96)</f>
        <v>1392.07380697445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16121.627651569</v>
      </c>
      <c r="C99" s="36"/>
      <c r="D99" s="36"/>
      <c r="E99" s="27"/>
      <c r="F99" s="35" t="s">
        <v>128</v>
      </c>
      <c r="G99" s="37" t="n">
        <f aca="false">((G98*(G94))+G86)</f>
        <v>15312.811876719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16121.627651569</v>
      </c>
      <c r="C101" s="36"/>
      <c r="D101" s="36"/>
      <c r="E101" s="27"/>
      <c r="F101" s="60" t="s">
        <v>130</v>
      </c>
      <c r="G101" s="69" t="n">
        <f aca="false">(G99+G100)</f>
        <v>15312.811876719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1465.602513779</v>
      </c>
      <c r="C104" s="36"/>
      <c r="D104" s="36"/>
      <c r="E104" s="27"/>
      <c r="F104" s="97" t="s">
        <v>132</v>
      </c>
      <c r="G104" s="98" t="n">
        <f aca="false">G101/(G94)</f>
        <v>1392.07380697445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1465.602513779</v>
      </c>
      <c r="C105" s="36"/>
      <c r="D105" s="36"/>
      <c r="E105" s="27" t="s">
        <v>31</v>
      </c>
      <c r="F105" s="99" t="s">
        <v>133</v>
      </c>
      <c r="G105" s="100" t="n">
        <f aca="false">G103+G104</f>
        <v>1392.07380697445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32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21450</v>
      </c>
      <c r="C130" s="44" t="n">
        <v>19791.67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21450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21450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21450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21450</v>
      </c>
      <c r="C134" s="69" t="n">
        <f aca="false">C130-C133</f>
        <v>19791.67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17875</v>
      </c>
      <c r="H144" s="144" t="n">
        <f aca="false">C134+E134+G134+H137</f>
        <v>19791.67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3575</v>
      </c>
      <c r="H146" s="37" t="n">
        <f aca="false">(H144+H145)*20%</f>
        <v>3958.334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21450</v>
      </c>
      <c r="H150" s="147" t="n">
        <f aca="false">(H144+H145+H148+H149+H146)-H147</f>
        <v>23750.004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21450</v>
      </c>
      <c r="H156" s="154" t="n">
        <f aca="false">H150-((H153*1.2)+(H154*1.2)+(H155*1.2)+(H151*1.2))</f>
        <v>23750.004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1916.67</v>
      </c>
      <c r="I157" s="6" t="n">
        <f aca="false">(H157-G90)/1.2</f>
        <v>-15444.4416666667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25150.004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1465.602513779</v>
      </c>
      <c r="B176" s="166" t="n">
        <f aca="false">B103</f>
        <v>0</v>
      </c>
      <c r="C176" s="164"/>
      <c r="D176" s="164"/>
      <c r="E176" s="166" t="n">
        <f aca="false">B105</f>
        <v>1465.602513779</v>
      </c>
      <c r="F176" s="27"/>
      <c r="G176" s="27" t="n">
        <f aca="false">ROUND(G104,2)</f>
        <v>1392.07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19791.67</v>
      </c>
      <c r="B182" s="42" t="n">
        <f aca="false">H146</f>
        <v>3958.334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23750.004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25150.004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-3028.37634843096</v>
      </c>
      <c r="B191" s="42" t="n">
        <f aca="false">B123</f>
        <v>199.991666666667</v>
      </c>
      <c r="C191" s="42"/>
      <c r="D191" s="27"/>
      <c r="E191" s="42" t="n">
        <f aca="false">E188+A191+(B191*1.2)+A194</f>
        <v>22371.617651569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7.4808</v>
      </c>
      <c r="B197" s="42" t="n">
        <f aca="false">(G167*B76)</f>
        <v>188.62503</v>
      </c>
      <c r="C197" s="36"/>
      <c r="D197" s="36"/>
      <c r="E197" s="42" t="n">
        <f aca="false">K55*A117*0.1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208.62503</v>
      </c>
      <c r="C200" s="36"/>
      <c r="D200" s="36"/>
      <c r="E200" s="42" t="n">
        <f aca="false">H157</f>
        <v>1916.67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1465.602513779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-3837.234</v>
      </c>
      <c r="B210" s="47" t="n">
        <f aca="false">E188+A210+(B191*1.2)+A194</f>
        <v>21562.76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1465.602513779</v>
      </c>
      <c r="B221" s="166" t="n">
        <f aca="false">B176</f>
        <v>0</v>
      </c>
      <c r="C221" s="164"/>
      <c r="D221" s="164"/>
      <c r="E221" s="166" t="n">
        <f aca="false">E176</f>
        <v>1465.602513779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19791.67</v>
      </c>
      <c r="B224" s="42" t="n">
        <f aca="false">B182</f>
        <v>3958.334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23750.004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25150.004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-3028.37634843096</v>
      </c>
      <c r="B233" s="42" t="n">
        <f aca="false">B191</f>
        <v>199.991666666667</v>
      </c>
      <c r="C233" s="42"/>
      <c r="D233" s="27"/>
      <c r="E233" s="42" t="n">
        <f aca="false">E191</f>
        <v>22371.617651569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1465.602513779</v>
      </c>
      <c r="B239" s="42" t="n">
        <f aca="false">B176</f>
        <v>0</v>
      </c>
      <c r="C239" s="47"/>
      <c r="D239" s="47"/>
      <c r="E239" s="42" t="n">
        <f aca="false">E176</f>
        <v>1465.602513779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6010</v>
      </c>
      <c r="C242" s="36"/>
      <c r="D242" s="36"/>
      <c r="E242" s="42" t="n">
        <f aca="false">J18*0.000006*100</f>
        <v>22.4424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7.4808</v>
      </c>
      <c r="B245" s="42" t="n">
        <f aca="false">E242+A245</f>
        <v>29.9232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1916.67</v>
      </c>
      <c r="B249" s="42" t="n">
        <f aca="false">B197</f>
        <v>188.62503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725.295029999998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818.857651569044</v>
      </c>
      <c r="C263" s="182"/>
      <c r="D263" s="183" t="s">
        <v>230</v>
      </c>
      <c r="E263" s="183"/>
      <c r="F263" s="185" t="n">
        <f aca="false">F270+F276+F278+B279+B280</f>
        <v>188.62503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650.232621569044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818.857651569044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188.62503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650.232621569044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2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17875</v>
      </c>
      <c r="C9" s="14" t="n">
        <f aca="false">B9*0.2</f>
        <v>3575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261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20450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19388.0505576459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377.55006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20450</v>
      </c>
      <c r="C81" s="36"/>
      <c r="D81" s="36"/>
      <c r="E81" s="27"/>
      <c r="F81" s="29" t="s">
        <v>119</v>
      </c>
      <c r="G81" s="31" t="n">
        <f aca="false">B81</f>
        <v>20450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4036.58626654822</v>
      </c>
      <c r="C86" s="36" t="n">
        <f aca="false">(B82/((1+B84)^(B85+1)))</f>
        <v>4036.58626654822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26.4088043595078</v>
      </c>
      <c r="C87" s="36" t="n">
        <f aca="false">((1-(1/((1+B84)^B85)))/B84)</f>
        <v>26.4088043595078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16413.4137334518</v>
      </c>
      <c r="C88" s="36" t="n">
        <f aca="false">B81-B86</f>
        <v>16413.4137334518</v>
      </c>
      <c r="D88" s="36"/>
      <c r="E88" s="27"/>
      <c r="F88" s="35" t="s">
        <v>126</v>
      </c>
      <c r="G88" s="37" t="n">
        <f aca="false">G81-G86</f>
        <v>15824.7142252698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621.512943562799</v>
      </c>
      <c r="C89" s="36" t="n">
        <f aca="false">(B88/B87)</f>
        <v>621.512943562799</v>
      </c>
      <c r="D89" s="36"/>
      <c r="E89" s="27"/>
      <c r="F89" s="35" t="s">
        <v>127</v>
      </c>
      <c r="G89" s="37" t="n">
        <f aca="false">(G88/G87)</f>
        <v>561.748298133076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19888.4141940096</v>
      </c>
      <c r="C90" s="36"/>
      <c r="D90" s="36"/>
      <c r="E90" s="27"/>
      <c r="F90" s="35" t="s">
        <v>128</v>
      </c>
      <c r="G90" s="37" t="n">
        <f aca="false">((G89*(G85))+G77)</f>
        <v>17975.9455402584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19888.4141940096</v>
      </c>
      <c r="C92" s="36"/>
      <c r="D92" s="36"/>
      <c r="E92" s="27"/>
      <c r="F92" s="60" t="s">
        <v>130</v>
      </c>
      <c r="G92" s="69" t="n">
        <f aca="false">(G90+G91)</f>
        <v>17975.9455402584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621.512943562799</v>
      </c>
      <c r="C95" s="36"/>
      <c r="D95" s="36"/>
      <c r="E95" s="27"/>
      <c r="F95" s="97" t="s">
        <v>132</v>
      </c>
      <c r="G95" s="98" t="n">
        <f aca="false">G92/(G85)</f>
        <v>561.748298133076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621.512943562799</v>
      </c>
      <c r="C96" s="36"/>
      <c r="D96" s="36"/>
      <c r="E96" s="27"/>
      <c r="F96" s="99" t="s">
        <v>133</v>
      </c>
      <c r="G96" s="100" t="n">
        <f aca="false">G94+G95</f>
        <v>561.748298133076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21450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21450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17875</v>
      </c>
      <c r="H135" s="144" t="n">
        <f aca="false">C125+E125+G125+H128</f>
        <v>19791.67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-15444.4416666667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25170.004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621.512943562799</v>
      </c>
      <c r="B167" s="166" t="str">
        <f aca="false">B94</f>
        <v>0</v>
      </c>
      <c r="C167" s="164"/>
      <c r="D167" s="164"/>
      <c r="E167" s="166" t="n">
        <f aca="false">B96</f>
        <v>621.512943562799</v>
      </c>
      <c r="F167" s="27"/>
      <c r="G167" s="27" t="n">
        <f aca="false">ROUND(G95,2)</f>
        <v>561.75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23750.004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25170.004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718.410194009557</v>
      </c>
      <c r="B182" s="42" t="n">
        <f aca="false">B114</f>
        <v>239.99</v>
      </c>
      <c r="C182" s="42"/>
      <c r="D182" s="27"/>
      <c r="E182" s="42" t="n">
        <f aca="false">E179+A182+B182+A185</f>
        <v>26138.4041940096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6010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377.55006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397.55006</v>
      </c>
      <c r="C191" s="36"/>
      <c r="D191" s="36"/>
      <c r="E191" s="42" t="n">
        <f aca="false">H148</f>
        <v>1916.67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621.512943562799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-1194.004</v>
      </c>
      <c r="B201" s="47" t="n">
        <f aca="false">E179+A201+B182+A185</f>
        <v>24225.99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621.512943562799</v>
      </c>
      <c r="B212" s="166" t="str">
        <f aca="false">B167</f>
        <v>0</v>
      </c>
      <c r="C212" s="164"/>
      <c r="D212" s="164"/>
      <c r="E212" s="166" t="n">
        <f aca="false">E167</f>
        <v>621.512943562799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25170.004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718.410194009557</v>
      </c>
      <c r="B224" s="42" t="n">
        <f aca="false">B182</f>
        <v>239.99</v>
      </c>
      <c r="C224" s="42"/>
      <c r="D224" s="27"/>
      <c r="E224" s="42" t="n">
        <f aca="false">E182</f>
        <v>26138.4041940096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621.512943562799</v>
      </c>
      <c r="B230" s="42" t="str">
        <f aca="false">B167</f>
        <v>0</v>
      </c>
      <c r="C230" s="47"/>
      <c r="D230" s="47"/>
      <c r="E230" s="42" t="n">
        <f aca="false">E167</f>
        <v>621.512943562799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6010</v>
      </c>
      <c r="C233" s="36"/>
      <c r="D233" s="36"/>
      <c r="E233" s="42" t="n">
        <f aca="false">J18*0.000006*100*1.2</f>
        <v>26.93088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8.97696</v>
      </c>
      <c r="B236" s="42" t="n">
        <f aca="false">E233+A236</f>
        <v>35.90784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B188</f>
        <v>377.55006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894.220059999997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1922.41419400955</v>
      </c>
      <c r="C254" s="182"/>
      <c r="D254" s="183" t="s">
        <v>230</v>
      </c>
      <c r="E254" s="183"/>
      <c r="F254" s="185" t="n">
        <f aca="false">F261+F267+F269+B270+B271</f>
        <v>377.55006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1564.86413400955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1922.41419400955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377.55006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1564.86413400955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17500.0</v>
      </c>
      <c r="C9" s="14" t="n">
        <f aca="false">B9*0.2</f>
        <v>3575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422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423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424</v>
      </c>
      <c r="J36" s="48" t="s">
        <v>64</v>
      </c>
      <c r="K36" s="56" t="n">
        <f aca="false">K32-K34</f>
        <v>20450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15620.627651569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188.77503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20450</v>
      </c>
      <c r="C81" s="36"/>
      <c r="D81" s="36"/>
      <c r="E81" s="27"/>
      <c r="F81" s="29" t="s">
        <v>119</v>
      </c>
      <c r="G81" s="31" t="n">
        <f aca="false">B81</f>
        <v>20450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5295.78483323301</v>
      </c>
      <c r="C86" s="36" t="n">
        <f aca="false">(B82/((1+B84)^(B85+1)))</f>
        <v>5295.78483323301</v>
      </c>
      <c r="D86" s="36"/>
      <c r="E86" s="27"/>
      <c r="F86" s="35" t="s">
        <v>124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15154.215166767</v>
      </c>
      <c r="C88" s="36" t="n">
        <f aca="false">B81-B86</f>
        <v>15154.215166767</v>
      </c>
      <c r="D88" s="36"/>
      <c r="E88" s="27"/>
      <c r="F88" s="35" t="s">
        <v>126</v>
      </c>
      <c r="G88" s="37" t="n">
        <f aca="false">G81-G86</f>
        <v>14826.6089154658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1465.602513779</v>
      </c>
      <c r="C89" s="36" t="n">
        <f aca="false">(B88/B87)</f>
        <v>1465.602513779</v>
      </c>
      <c r="D89" s="36"/>
      <c r="E89" s="27"/>
      <c r="F89" s="35" t="s">
        <v>127</v>
      </c>
      <c r="G89" s="37" t="n">
        <f aca="false">(G88/G87)</f>
        <v>1392.07380697445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16121.627651569</v>
      </c>
      <c r="C90" s="36"/>
      <c r="D90" s="36"/>
      <c r="E90" s="27"/>
      <c r="F90" s="35" t="s">
        <v>128</v>
      </c>
      <c r="G90" s="37" t="n">
        <f aca="false">((G89*(G85))+G77)</f>
        <v>15312.811876719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16121.627651569</v>
      </c>
      <c r="C92" s="36"/>
      <c r="D92" s="36"/>
      <c r="E92" s="27"/>
      <c r="F92" s="60" t="s">
        <v>130</v>
      </c>
      <c r="G92" s="69" t="n">
        <f aca="false">(G90+G91)</f>
        <v>15312.811876719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1465.602513779</v>
      </c>
      <c r="C95" s="36"/>
      <c r="D95" s="36"/>
      <c r="E95" s="27"/>
      <c r="F95" s="97" t="s">
        <v>132</v>
      </c>
      <c r="G95" s="98" t="n">
        <f aca="false">G92/(G85)</f>
        <v>1392.07380697445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1465.602513779</v>
      </c>
      <c r="C96" s="36"/>
      <c r="D96" s="36"/>
      <c r="E96" s="27"/>
      <c r="F96" s="99" t="s">
        <v>133</v>
      </c>
      <c r="G96" s="100" t="n">
        <f aca="false">G94+G95</f>
        <v>1392.07380697445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406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405</v>
      </c>
      <c r="C108" s="109"/>
      <c r="D108" s="109" t="n">
        <v>0.0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406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21450</v>
      </c>
      <c r="C121" s="44" t="n">
        <v>19375.0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21450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17875</v>
      </c>
      <c r="H135" s="144" t="n">
        <f aca="false">C125+E125+G125+H128</f>
        <v>19791.67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-15444.4416666667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25170.004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1465.602513779</v>
      </c>
      <c r="B167" s="166" t="n">
        <f aca="false">B94</f>
        <v>0</v>
      </c>
      <c r="C167" s="164"/>
      <c r="D167" s="164"/>
      <c r="E167" s="166" t="n">
        <f aca="false">B96</f>
        <v>1465.602513779</v>
      </c>
      <c r="F167" s="27"/>
      <c r="G167" s="27" t="n">
        <f aca="false">ROUND(G95,2)</f>
        <v>1392.07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23750.004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25170.004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-3048.37634843096</v>
      </c>
      <c r="B182" s="42" t="n">
        <f aca="false">B114</f>
        <v>199.991666666667</v>
      </c>
      <c r="C182" s="42"/>
      <c r="D182" s="27"/>
      <c r="E182" s="42" t="n">
        <f aca="false">E179+A182+(B182*1.2)+A185</f>
        <v>22371.617651569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188.77503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208.77503</v>
      </c>
      <c r="C191" s="36"/>
      <c r="D191" s="36"/>
      <c r="E191" s="42" t="n">
        <f aca="false">H148</f>
        <v>1916.67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1465.602513779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-3857.234</v>
      </c>
      <c r="B201" s="47" t="n">
        <f aca="false">E179+A201+(B182*1.2)+A185</f>
        <v>21562.76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1465.602513779</v>
      </c>
      <c r="B212" s="166" t="n">
        <f aca="false">B167</f>
        <v>0</v>
      </c>
      <c r="C212" s="164"/>
      <c r="D212" s="164"/>
      <c r="E212" s="166" t="n">
        <f aca="false">E167</f>
        <v>1465.602513779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25170.004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-3048.37634843096</v>
      </c>
      <c r="B224" s="42" t="n">
        <f aca="false">B182</f>
        <v>199.991666666667</v>
      </c>
      <c r="C224" s="42"/>
      <c r="D224" s="27"/>
      <c r="E224" s="42" t="n">
        <f aca="false">E182</f>
        <v>22371.617651569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1465.602513779</v>
      </c>
      <c r="B230" s="42" t="n">
        <f aca="false">B167</f>
        <v>0</v>
      </c>
      <c r="C230" s="47"/>
      <c r="D230" s="47"/>
      <c r="E230" s="42" t="n">
        <f aca="false">E167</f>
        <v>1465.602513779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6010</v>
      </c>
      <c r="C233" s="36"/>
      <c r="D233" s="36"/>
      <c r="E233" s="42" t="n">
        <f aca="false">J18*0.000006*100</f>
        <v>22.4424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7.4808</v>
      </c>
      <c r="B236" s="42" t="n">
        <f aca="false">E233+A236</f>
        <v>29.9232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B188</f>
        <v>188.77503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705.445029999997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818.857651569044</v>
      </c>
      <c r="C254" s="182"/>
      <c r="D254" s="183" t="s">
        <v>230</v>
      </c>
      <c r="E254" s="183"/>
      <c r="F254" s="185" t="n">
        <f aca="false">F261+F267+F269+B270+B271</f>
        <v>188.77503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650.082621569044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B254</f>
        <v>818.857651569044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188.77503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650.082621569044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17875</v>
      </c>
      <c r="C9" s="14" t="n">
        <f aca="false">B9*0.2</f>
        <v>3575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20450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16023.7480049734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125.85002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20450</v>
      </c>
      <c r="C81" s="36"/>
      <c r="D81" s="36"/>
      <c r="E81" s="27"/>
      <c r="F81" s="29" t="s">
        <v>119</v>
      </c>
      <c r="G81" s="31" t="n">
        <f aca="false">B81</f>
        <v>20450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15308.9447518282</v>
      </c>
      <c r="C88" s="36" t="n">
        <f aca="false">B81-B86</f>
        <v>15308.9447518282</v>
      </c>
      <c r="D88" s="36"/>
      <c r="E88" s="27"/>
      <c r="F88" s="35" t="s">
        <v>126</v>
      </c>
      <c r="G88" s="37" t="n">
        <f aca="false">G81-G86</f>
        <v>14991.7210036298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1502.24981863394</v>
      </c>
      <c r="C89" s="36" t="n">
        <f aca="false">(B88/B87)</f>
        <v>1502.24981863394</v>
      </c>
      <c r="D89" s="36"/>
      <c r="E89" s="27"/>
      <c r="F89" s="35" t="s">
        <v>127</v>
      </c>
      <c r="G89" s="37" t="n">
        <f aca="false">(G88/G87)</f>
        <v>1428.47140221502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16524.7480049734</v>
      </c>
      <c r="C90" s="36"/>
      <c r="D90" s="36"/>
      <c r="E90" s="27"/>
      <c r="F90" s="35" t="s">
        <v>128</v>
      </c>
      <c r="G90" s="37" t="n">
        <f aca="false">((G89*(G85))+G77)</f>
        <v>15713.1854243653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16524.7480049734</v>
      </c>
      <c r="C92" s="36"/>
      <c r="D92" s="36"/>
      <c r="E92" s="27"/>
      <c r="F92" s="60" t="s">
        <v>130</v>
      </c>
      <c r="G92" s="69" t="n">
        <f aca="false">(G90+G91)</f>
        <v>15713.1854243653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1502.24981863394</v>
      </c>
      <c r="C95" s="36"/>
      <c r="D95" s="36"/>
      <c r="E95" s="27"/>
      <c r="F95" s="97" t="s">
        <v>132</v>
      </c>
      <c r="G95" s="98" t="n">
        <f aca="false">G92/(G85)</f>
        <v>1428.47140221502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1502.24981863394</v>
      </c>
      <c r="C96" s="36"/>
      <c r="D96" s="36"/>
      <c r="E96" s="27"/>
      <c r="F96" s="99" t="s">
        <v>133</v>
      </c>
      <c r="G96" s="100" t="n">
        <f aca="false">G94+G95</f>
        <v>1428.47140221502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9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21450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21450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17875</v>
      </c>
      <c r="H135" s="144" t="n">
        <f aca="false">C125+E125+G125+H128</f>
        <v>19791.67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-15444.4416666667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25170.004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1502.24981863394</v>
      </c>
      <c r="B167" s="166" t="str">
        <f aca="false">B94</f>
        <v>0</v>
      </c>
      <c r="C167" s="164"/>
      <c r="D167" s="164"/>
      <c r="E167" s="166" t="n">
        <f aca="false">B96</f>
        <v>1502.24981863394</v>
      </c>
      <c r="F167" s="27"/>
      <c r="G167" s="27" t="n">
        <f aca="false">ROUND(G95,2)</f>
        <v>1428.47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23750.004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25170.004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-2645.25599502661</v>
      </c>
      <c r="B182" s="42" t="n">
        <f aca="false">B114</f>
        <v>239.99</v>
      </c>
      <c r="C182" s="42"/>
      <c r="D182" s="27"/>
      <c r="E182" s="42" t="n">
        <f aca="false">E179+A182+B182+A185</f>
        <v>22774.7380049734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6010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125.85002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145.85002</v>
      </c>
      <c r="C191" s="36"/>
      <c r="D191" s="36"/>
      <c r="E191" s="42" t="n">
        <f aca="false">H148</f>
        <v>1916.67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1502.24981863394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-3456.834</v>
      </c>
      <c r="B201" s="47" t="n">
        <f aca="false">E179+A201+B182+A185</f>
        <v>21963.16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1502.24981863394</v>
      </c>
      <c r="B212" s="166" t="str">
        <f aca="false">B167</f>
        <v>0</v>
      </c>
      <c r="C212" s="164"/>
      <c r="D212" s="164"/>
      <c r="E212" s="166" t="n">
        <f aca="false">E167</f>
        <v>1502.24981863394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25170.004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-2645.25599502661</v>
      </c>
      <c r="B224" s="42" t="n">
        <f aca="false">B182</f>
        <v>239.99</v>
      </c>
      <c r="C224" s="42"/>
      <c r="D224" s="27"/>
      <c r="E224" s="42" t="n">
        <f aca="false">E182</f>
        <v>22774.7380049734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1502.24981863394</v>
      </c>
      <c r="B230" s="42" t="str">
        <f aca="false">B167</f>
        <v>0</v>
      </c>
      <c r="C230" s="47"/>
      <c r="D230" s="47"/>
      <c r="E230" s="42" t="n">
        <f aca="false">E167</f>
        <v>1502.24981863394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6010</v>
      </c>
      <c r="C233" s="36"/>
      <c r="D233" s="36"/>
      <c r="E233" s="42" t="n">
        <f aca="false">A188</f>
        <v>8.97696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B188</f>
        <v>125.85002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642.520019999997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821.578004973391</v>
      </c>
      <c r="C254" s="182"/>
      <c r="D254" s="183" t="s">
        <v>230</v>
      </c>
      <c r="E254" s="183"/>
      <c r="F254" s="185" t="n">
        <f aca="false">F261+F267+F269+B270+B271</f>
        <v>125.85002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715.727984973391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821.578004973391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125.85002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715.727984973391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17875</v>
      </c>
      <c r="C9" s="14" t="n">
        <f aca="false">B9*0.2</f>
        <v>3575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20450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16023.7480049734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188.77503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20450</v>
      </c>
      <c r="C81" s="36"/>
      <c r="D81" s="36"/>
      <c r="E81" s="27"/>
      <c r="F81" s="29" t="s">
        <v>119</v>
      </c>
      <c r="G81" s="31" t="n">
        <f aca="false">B81</f>
        <v>20450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15308.9447518282</v>
      </c>
      <c r="C88" s="36" t="n">
        <f aca="false">B81-B86</f>
        <v>15308.9447518282</v>
      </c>
      <c r="D88" s="36"/>
      <c r="E88" s="27"/>
      <c r="F88" s="35" t="s">
        <v>126</v>
      </c>
      <c r="G88" s="37" t="n">
        <f aca="false">G81-G86</f>
        <v>14991.7210036298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1502.24981863394</v>
      </c>
      <c r="C89" s="36" t="n">
        <f aca="false">(B88/B87)</f>
        <v>1502.24981863394</v>
      </c>
      <c r="D89" s="36"/>
      <c r="E89" s="27"/>
      <c r="F89" s="35" t="s">
        <v>127</v>
      </c>
      <c r="G89" s="37" t="n">
        <f aca="false">(G88/G87)</f>
        <v>1428.47140221502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16524.7480049734</v>
      </c>
      <c r="C90" s="36"/>
      <c r="D90" s="36"/>
      <c r="E90" s="27"/>
      <c r="F90" s="35" t="s">
        <v>128</v>
      </c>
      <c r="G90" s="37" t="n">
        <f aca="false">((G89*(G85))+G77)</f>
        <v>15713.1854243653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16524.7480049734</v>
      </c>
      <c r="C92" s="36"/>
      <c r="D92" s="36"/>
      <c r="E92" s="27"/>
      <c r="F92" s="60" t="s">
        <v>130</v>
      </c>
      <c r="G92" s="69" t="n">
        <f aca="false">(G90+G91)</f>
        <v>15713.1854243653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1502.24981863394</v>
      </c>
      <c r="C95" s="36"/>
      <c r="D95" s="36"/>
      <c r="E95" s="27"/>
      <c r="F95" s="97" t="s">
        <v>132</v>
      </c>
      <c r="G95" s="98" t="n">
        <f aca="false">G92/(G85)</f>
        <v>1428.47140221502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1502.24981863394</v>
      </c>
      <c r="C96" s="36"/>
      <c r="D96" s="36"/>
      <c r="E96" s="27"/>
      <c r="F96" s="99" t="s">
        <v>133</v>
      </c>
      <c r="G96" s="100" t="n">
        <f aca="false">G94+G95</f>
        <v>1428.47140221502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21450</v>
      </c>
      <c r="C121" s="44" t="n">
        <v>19791.67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21450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17875</v>
      </c>
      <c r="H135" s="144" t="n">
        <f aca="false">C125+E125+G125+H128</f>
        <v>19791.67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-15444.4416666667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25170.004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1502.24981863394</v>
      </c>
      <c r="B167" s="166" t="str">
        <f aca="false">B94</f>
        <v>0</v>
      </c>
      <c r="C167" s="164"/>
      <c r="D167" s="164"/>
      <c r="E167" s="166" t="n">
        <f aca="false">B96</f>
        <v>1502.24981863394</v>
      </c>
      <c r="F167" s="27"/>
      <c r="G167" s="27" t="n">
        <f aca="false">ROUND(G95,2)</f>
        <v>1428.47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23750.004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25170.004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-2645.25599502661</v>
      </c>
      <c r="B182" s="42" t="n">
        <f aca="false">B114</f>
        <v>199.991666666667</v>
      </c>
      <c r="C182" s="42"/>
      <c r="D182" s="27"/>
      <c r="E182" s="42" t="n">
        <f aca="false">E179+A182+(B182*1.2)+A185</f>
        <v>22774.7380049734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188.77503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208.77503</v>
      </c>
      <c r="C191" s="36"/>
      <c r="D191" s="36"/>
      <c r="E191" s="42" t="n">
        <f aca="false">H148</f>
        <v>1916.67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1502.24981863394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-3456.834</v>
      </c>
      <c r="B201" s="47" t="n">
        <f aca="false">E179+A201+(B182*1.2)+A185</f>
        <v>21963.16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1502.24981863394</v>
      </c>
      <c r="B212" s="166" t="str">
        <f aca="false">B167</f>
        <v>0</v>
      </c>
      <c r="C212" s="164"/>
      <c r="D212" s="164"/>
      <c r="E212" s="166" t="n">
        <f aca="false">E167</f>
        <v>1502.24981863394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25170.004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-2645.25599502661</v>
      </c>
      <c r="B224" s="42" t="n">
        <f aca="false">B182</f>
        <v>199.991666666667</v>
      </c>
      <c r="C224" s="42"/>
      <c r="D224" s="27"/>
      <c r="E224" s="42" t="n">
        <f aca="false">E182</f>
        <v>22774.7380049734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1502.24981863394</v>
      </c>
      <c r="B230" s="42" t="str">
        <f aca="false">B167</f>
        <v>0</v>
      </c>
      <c r="C230" s="47"/>
      <c r="D230" s="47"/>
      <c r="E230" s="42" t="n">
        <f aca="false">E167</f>
        <v>1502.24981863394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6010</v>
      </c>
      <c r="C233" s="36"/>
      <c r="D233" s="36"/>
      <c r="E233" s="42" t="n">
        <f aca="false">A188</f>
        <v>7.4808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B188</f>
        <v>188.77503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705.445029999997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821.578004973391</v>
      </c>
      <c r="C254" s="182"/>
      <c r="D254" s="183" t="s">
        <v>230</v>
      </c>
      <c r="E254" s="183"/>
      <c r="F254" s="185" t="n">
        <f aca="false">F261+F267+F269+B270+B271</f>
        <v>188.77503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652.802974973391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821.578004973391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188.77503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652.802974973391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3575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21450</v>
      </c>
      <c r="B35" s="207" t="s">
        <v>414</v>
      </c>
      <c r="C35" s="207"/>
      <c r="D35" s="256" t="n">
        <f aca="false">A35-B35</f>
        <v>20450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415</v>
      </c>
      <c r="B38" s="224" t="n">
        <f aca="false">A32-1</f>
        <v>11</v>
      </c>
      <c r="C38" s="224"/>
      <c r="D38" s="106" t="s">
        <v>416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3575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417</v>
      </c>
      <c r="B41" s="106" t="s">
        <v>418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0.0</v>
      </c>
      <c r="B44" s="106" t="s">
        <v>419</v>
      </c>
      <c r="C44" s="106"/>
      <c r="D44" s="106" t="n">
        <v>0.0</v>
      </c>
      <c r="E44" s="106"/>
      <c r="F44" s="67"/>
      <c r="G44" s="7" t="s">
        <v>78</v>
      </c>
      <c r="H44" s="7" t="n">
        <f aca="false">((H40-(((H42/(1.2))*0.2)))/(H43))</f>
        <v>214.583333333333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335.416666666667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338.083333333333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288.083333333333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H49</f>
        <v>338.083333333333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338.083333333333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21450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2618.28</v>
      </c>
      <c r="C70" s="199" t="n">
        <v>10000.0</v>
      </c>
      <c r="D70" s="36" t="n">
        <f aca="false">B70-A149</f>
        <v>2618.28</v>
      </c>
      <c r="E70" s="200" t="n">
        <f aca="false">D70/12</f>
        <v>218.19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4133.16235294118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344.430196078431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288.083333333333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9108.19482352941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64.2974624492799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9172.49228597869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78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764.374357164891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842.374357164891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764.374357164891</v>
      </c>
      <c r="B134" s="290" t="n">
        <f aca="false">IF(A111="YES",B95,0)</f>
        <v>78</v>
      </c>
      <c r="C134" s="294"/>
      <c r="D134" s="290" t="n">
        <f aca="false">B97</f>
        <v>842.374357164891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764.374357164891</v>
      </c>
      <c r="C137" s="199"/>
      <c r="D137" s="42" t="n">
        <f aca="false">IF(A111="YES",B95*B63,0)</f>
        <v>78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842.374357164891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764.374357164891</v>
      </c>
      <c r="B143" s="42" t="n">
        <f aca="false">IF(A111="YES",B95,0)</f>
        <v>78</v>
      </c>
      <c r="C143" s="199"/>
      <c r="D143" s="42" t="n">
        <f aca="false">B97</f>
        <v>842.374357164891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18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3575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488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842.374357164891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764.374357164891</v>
      </c>
      <c r="B177" s="290" t="n">
        <f aca="false">IF(A111="YES",B95,0)</f>
        <v>78</v>
      </c>
      <c r="C177" s="294"/>
      <c r="D177" s="290" t="n">
        <f aca="false">A177+B177</f>
        <v>842.374357164891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764.374357164891</v>
      </c>
      <c r="C180" s="199"/>
      <c r="D180" s="42" t="n">
        <f aca="false">IF(A111="YES",B95*B63,0)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842.374357164891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764.374357164891</v>
      </c>
      <c r="B186" s="42" t="n">
        <f aca="false">IF(A111="YES",B95,0)</f>
        <v>78</v>
      </c>
      <c r="C186" s="199"/>
      <c r="D186" s="42" t="n">
        <f aca="false">B97</f>
        <v>842.374357164891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488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2618.28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460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2828.28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2618.28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2828.28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180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64.2974624492799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21000</v>
      </c>
      <c r="B35" s="207" t="s">
        <v>414</v>
      </c>
      <c r="C35" s="207"/>
      <c r="D35" s="256" t="n">
        <f aca="false">A35-B35</f>
        <v>20000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415</v>
      </c>
      <c r="B38" s="224" t="n">
        <f aca="false">A32-1</f>
        <v>11</v>
      </c>
      <c r="C38" s="224"/>
      <c r="D38" s="106" t="s">
        <v>416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3500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417</v>
      </c>
      <c r="B41" s="106" t="s">
        <v>418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413</v>
      </c>
      <c r="B44" s="106" t="s">
        <v>419</v>
      </c>
      <c r="C44" s="106"/>
      <c r="D44" s="106" t="s">
        <v>419</v>
      </c>
      <c r="E44" s="106"/>
      <c r="F44" s="67"/>
      <c r="G44" s="7" t="s">
        <v>78</v>
      </c>
      <c r="H44" s="7" t="n">
        <f aca="false">((H40-(((H42/(1.2))*0.2)))/(H43))</f>
        <v>208.333333333333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341.666666666667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344.333333333333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294.333333333333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344.333333333333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235.294117647059</v>
      </c>
      <c r="C83" s="199"/>
      <c r="D83" s="36" t="n">
        <f aca="false">B83</f>
        <v>235.294117647059</v>
      </c>
      <c r="E83" s="200" t="n">
        <f aca="false">D83/12</f>
        <v>19.6078431372549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2749.58823529412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229.132352941177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294.333333333333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6281.58823529412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54.6500552559947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6336.23829055011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528.019857545843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528.019857545843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528.019857545843</v>
      </c>
      <c r="B134" s="290" t="n">
        <f aca="false">IF(A111="YES",B95,0)</f>
        <v>0</v>
      </c>
      <c r="C134" s="295"/>
      <c r="D134" s="290" t="n">
        <f aca="false">B97</f>
        <v>528.019857545843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528.019857545843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528.019857545843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528.019857545843</v>
      </c>
      <c r="B143" s="42" t="n">
        <f aca="false">IF(A111="YES",B95,0)</f>
        <v>0</v>
      </c>
      <c r="C143" s="199"/>
      <c r="D143" s="42" t="n">
        <f aca="false">B97</f>
        <v>528.019857545843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200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200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3500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528.019857545843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528.019857545843</v>
      </c>
      <c r="B177" s="290" t="n">
        <f aca="false">IF(A111="YES",B95,0)</f>
        <v>0</v>
      </c>
      <c r="C177" s="295"/>
      <c r="D177" s="290" t="n">
        <f aca="false">B91</f>
        <v>6281.58823529412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528.019857545843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528.019857545843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528.019857545843</v>
      </c>
      <c r="B186" s="42" t="n">
        <f aca="false">IF(A111="YES",B95,0)</f>
        <v>0</v>
      </c>
      <c r="C186" s="199"/>
      <c r="D186" s="42" t="n">
        <f aca="false">B97</f>
        <v>528.019857545843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200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200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1470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250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1470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30</v>
      </c>
      <c r="C221" s="205" t="s">
        <v>237</v>
      </c>
      <c r="D221" s="199"/>
      <c r="E221" s="37" t="n">
        <f aca="false">A200</f>
        <v>20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1470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54.6500552559947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n">
        <f aca="false">IF(B38="YES",D38+A41,D38)</f>
        <v>560</v>
      </c>
      <c r="C41" s="224"/>
      <c r="D41" s="106" t="s">
        <v>417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106" t="s">
        <v>419</v>
      </c>
      <c r="C44" s="106"/>
      <c r="D44" s="106" t="s">
        <v>428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421</v>
      </c>
      <c r="C47" s="348"/>
      <c r="D47" s="106" t="s">
        <v>421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37405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395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396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235.294117647059</v>
      </c>
      <c r="C83" s="199"/>
      <c r="D83" s="36" t="n">
        <f aca="false">B83</f>
        <v>235.294117647059</v>
      </c>
      <c r="E83" s="200" t="n">
        <f aca="false">D83/12</f>
        <v>19.6078431372549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2554.58823529412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212.882352941177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8566.58823529412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74.5296416889792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8641.1178769831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720.093156415258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720.093156415258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6" t="n">
        <v>20.0</v>
      </c>
      <c r="C111" s="286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720.093156415258</v>
      </c>
      <c r="B134" s="290" t="n">
        <f aca="false">IF(A111="YES",B95,0)</f>
        <v>0</v>
      </c>
      <c r="C134" s="295"/>
      <c r="D134" s="290" t="n">
        <f aca="false">B97</f>
        <v>720.093156415258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720.093156415258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720.093156415258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720.093156415258</v>
      </c>
      <c r="B143" s="42" t="n">
        <f aca="false">IF(A111="YES",B95,0)</f>
        <v>0</v>
      </c>
      <c r="C143" s="199"/>
      <c r="D143" s="42" t="n">
        <f aca="false">B97</f>
        <v>720.093156415258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1390.238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1350.24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200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200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720.093156415258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720.093156415258</v>
      </c>
      <c r="B177" s="290" t="n">
        <f aca="false">IF(A111="YES",B95,0)</f>
        <v>0</v>
      </c>
      <c r="C177" s="295"/>
      <c r="D177" s="290" t="n">
        <f aca="false">B91</f>
        <v>8566.58823529412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720.093156415258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720.093156415258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720.093156415258</v>
      </c>
      <c r="B186" s="42" t="n">
        <f aca="false">IF(A111="YES",B95,0)</f>
        <v>0</v>
      </c>
      <c r="C186" s="199"/>
      <c r="D186" s="42" t="n">
        <f aca="false">B97</f>
        <v>720.093156415258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200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200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250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1470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30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1470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74.5296416889792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413</v>
      </c>
      <c r="B41" s="224" t="n">
        <f aca="false">IF(B38="YES",D38+A41,D38)</f>
        <v>550</v>
      </c>
      <c r="C41" s="224"/>
      <c r="D41" s="106" t="s">
        <v>417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106" t="s">
        <v>419</v>
      </c>
      <c r="C44" s="106"/>
      <c r="D44" s="106" t="s">
        <v>421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421</v>
      </c>
      <c r="C47" s="348"/>
      <c r="D47" s="106" t="s">
        <v>421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235.294117647059</v>
      </c>
      <c r="C83" s="199"/>
      <c r="D83" s="36" t="n">
        <f aca="false">B83</f>
        <v>235.294117647059</v>
      </c>
      <c r="E83" s="200" t="n">
        <f aca="false">D83/12</f>
        <v>19.6078431372549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2749.58823529412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229.132352941177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10513.9058823529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76.2261490650982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10590.132031418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882.51100261817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954.51100261817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882.51100261817</v>
      </c>
      <c r="B134" s="290" t="n">
        <f aca="false">IF(A111="YES",B95,0)</f>
        <v>72</v>
      </c>
      <c r="C134" s="295"/>
      <c r="D134" s="290" t="n">
        <f aca="false">B97</f>
        <v>954.51100261817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882.51100261817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954.51100261817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882.51100261817</v>
      </c>
      <c r="B143" s="42" t="n">
        <f aca="false">IF(A111="YES",B95,0)</f>
        <v>72</v>
      </c>
      <c r="C143" s="199"/>
      <c r="D143" s="42" t="n">
        <f aca="false">B97</f>
        <v>954.51100261817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1387.838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1347.84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200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200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954.51100261817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882.51100261817</v>
      </c>
      <c r="B177" s="290" t="n">
        <f aca="false">IF(A111="YES",B95,0)</f>
        <v>72</v>
      </c>
      <c r="C177" s="295"/>
      <c r="D177" s="290" t="n">
        <f aca="false">B97</f>
        <v>954.51100261817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882.51100261817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954.51100261817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882.51100261817</v>
      </c>
      <c r="B186" s="42" t="n">
        <f aca="false">IF(A111="YES",B95,0)</f>
        <v>72</v>
      </c>
      <c r="C186" s="199"/>
      <c r="D186" s="42" t="n">
        <f aca="false">B97</f>
        <v>954.51100261817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200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200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370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1590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30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1590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76.2261490650982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17875</v>
      </c>
      <c r="C9" s="14" t="n">
        <f aca="false">B9*0.2</f>
        <v>3575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361</v>
      </c>
      <c r="C47" s="348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21450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1501.5</v>
      </c>
      <c r="C70" s="199" t="n">
        <v>10000</v>
      </c>
      <c r="D70" s="36" t="n">
        <f aca="false">B70-A149</f>
        <v>1501.5</v>
      </c>
      <c r="E70" s="200" t="n">
        <f aca="false">D70/12</f>
        <v>125.125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3016.38235294118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251.365196078431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9028.38235294118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76.4808509123698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9104.86320385355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758.738600321129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758.738600321129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758.738600321129</v>
      </c>
      <c r="B134" s="290" t="n">
        <f aca="false">IF(A111="YES",B95,0)</f>
        <v>0</v>
      </c>
      <c r="C134" s="295"/>
      <c r="D134" s="290" t="n">
        <f aca="false">B97</f>
        <v>758.738600321129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758.738600321129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758.738600321129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758.738600321129</v>
      </c>
      <c r="B143" s="42" t="n">
        <f aca="false">IF(A111="YES",B95,0)</f>
        <v>0</v>
      </c>
      <c r="C143" s="199"/>
      <c r="D143" s="42" t="n">
        <f aca="false">B97</f>
        <v>758.738600321129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1387.838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1347.84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758.738600321129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758.738600321129</v>
      </c>
      <c r="B177" s="290" t="n">
        <f aca="false">IF(A111="YES",B95,0)</f>
        <v>0</v>
      </c>
      <c r="C177" s="295"/>
      <c r="D177" s="290" t="n">
        <f aca="false">B91</f>
        <v>9028.38235294118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758.738600321129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758.738600321129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758.738600321129</v>
      </c>
      <c r="B186" s="42" t="n">
        <f aca="false">IF(A111="YES",B95,0)</f>
        <v>0</v>
      </c>
      <c r="C186" s="199"/>
      <c r="D186" s="42" t="n">
        <f aca="false">B97</f>
        <v>758.738600321129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1501.5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1531.5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1501.5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1531.5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76.4808509123698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17875</v>
      </c>
      <c r="C9" s="14" t="n">
        <f aca="false">B9*0.2</f>
        <v>3575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93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21450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1501.5</v>
      </c>
      <c r="C70" s="199" t="n">
        <v>10000</v>
      </c>
      <c r="D70" s="36" t="n">
        <f aca="false">B70-A149</f>
        <v>1501.5</v>
      </c>
      <c r="E70" s="200" t="n">
        <f aca="false">D70/12</f>
        <v>125.125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2821.38235294118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235.115196078431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8833.38235294118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74.8289751560164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8908.21132809719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742.350944008099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742.350944008099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742.350944008099</v>
      </c>
      <c r="B134" s="290" t="n">
        <f aca="false">IF(A111="YES",B95,0)</f>
        <v>0</v>
      </c>
      <c r="C134" s="295"/>
      <c r="D134" s="290" t="n">
        <f aca="false">B97</f>
        <v>742.350944008099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742.350944008099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742.350944008099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742.350944008099</v>
      </c>
      <c r="B143" s="42" t="n">
        <f aca="false">IF(A111="YES",B95,0)</f>
        <v>0</v>
      </c>
      <c r="C143" s="199"/>
      <c r="D143" s="42" t="n">
        <f aca="false">B97</f>
        <v>742.350944008099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742.350944008099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742.350944008099</v>
      </c>
      <c r="B177" s="290" t="n">
        <f aca="false">IF(A111="YES",B95,0)</f>
        <v>0</v>
      </c>
      <c r="C177" s="295"/>
      <c r="D177" s="290" t="n">
        <f aca="false">B91</f>
        <v>8833.38235294118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742.350944008099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742.350944008099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742.350944008099</v>
      </c>
      <c r="B186" s="42" t="n">
        <f aca="false">IF(A111="YES",B95,0)</f>
        <v>0</v>
      </c>
      <c r="C186" s="199"/>
      <c r="D186" s="42" t="n">
        <f aca="false">B97</f>
        <v>742.350944008099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1501.5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1531.5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1501.5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1531.5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74.8289751560164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424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10000.0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0.0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235.294117647059</v>
      </c>
      <c r="C83" s="199"/>
      <c r="D83" s="36" t="n">
        <f aca="false">B83</f>
        <v>235.294117647059</v>
      </c>
      <c r="E83" s="200" t="n">
        <f aca="false">D83/12</f>
        <v>19.6078431372549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2749.58823529412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229.132352941177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10513.9058823529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76.2261490650982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10590.132031418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882.51100261817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882.51100261817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882.51100261817</v>
      </c>
      <c r="B134" s="290" t="n">
        <f aca="false">IF(A111="YES",B95,0)</f>
        <v>0</v>
      </c>
      <c r="C134" s="295"/>
      <c r="D134" s="290" t="n">
        <f aca="false">B97</f>
        <v>882.51100261817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882.51100261817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882.51100261817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882.51100261817</v>
      </c>
      <c r="B143" s="42" t="n">
        <f aca="false">IF(A111="YES",B95,0)</f>
        <v>0</v>
      </c>
      <c r="C143" s="199"/>
      <c r="D143" s="42" t="n">
        <f aca="false">B97</f>
        <v>882.51100261817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200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200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882.51100261817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882.51100261817</v>
      </c>
      <c r="B177" s="290" t="n">
        <f aca="false">IF(A111="YES",B95,0)</f>
        <v>0</v>
      </c>
      <c r="C177" s="295"/>
      <c r="D177" s="290" t="n">
        <f aca="false">B91</f>
        <v>10513.9058823529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882.51100261817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882.51100261817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882.51100261817</v>
      </c>
      <c r="B186" s="42" t="n">
        <f aca="false">IF(A111="YES",B95,0)</f>
        <v>0</v>
      </c>
      <c r="C186" s="199"/>
      <c r="D186" s="42" t="n">
        <f aca="false">B97</f>
        <v>882.51100261817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200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200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250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1470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30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1470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76.2261490650982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60000</v>
      </c>
      <c r="C2" s="9" t="s">
        <v>16</v>
      </c>
      <c r="D2" s="10" t="n">
        <f aca="false">C9</f>
        <v>12000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72000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60000</v>
      </c>
      <c r="C9" s="14" t="n">
        <f aca="false">B9*0.2</f>
        <v>12000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60000</v>
      </c>
      <c r="C15" s="14" t="n">
        <f aca="false">SUM(C9:C13)</f>
        <v>12000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93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72000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5040</v>
      </c>
      <c r="C70" s="199" t="n">
        <v>10000</v>
      </c>
      <c r="D70" s="36" t="n">
        <f aca="false">B70-A149</f>
        <v>5040</v>
      </c>
      <c r="E70" s="200" t="n">
        <f aca="false">D70/12</f>
        <v>420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6554.88235294118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546.240196078432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12566.8823529412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106.45604252189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12673.3383954631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1056.11153295526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1056.11153295526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1056.11153295526</v>
      </c>
      <c r="B134" s="290" t="n">
        <f aca="false">IF(A111="YES",B95,0)</f>
        <v>0</v>
      </c>
      <c r="C134" s="295"/>
      <c r="D134" s="290" t="n">
        <f aca="false">B97</f>
        <v>1056.11153295526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1056.11153295526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1056.11153295526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1056.11153295526</v>
      </c>
      <c r="B143" s="42" t="n">
        <f aca="false">IF(A111="YES",B95,0)</f>
        <v>0</v>
      </c>
      <c r="C143" s="199"/>
      <c r="D143" s="42" t="n">
        <f aca="false">B97</f>
        <v>1056.11153295526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 t="n">
        <f aca="false">(G18*0.000006)*100</f>
        <v>22.4424</v>
      </c>
      <c r="B146" s="312" t="n">
        <f aca="false">G18*0.000002*100</f>
        <v>7.4808</v>
      </c>
      <c r="C146" s="199"/>
      <c r="D146" s="312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1056.11153295526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1056.11153295526</v>
      </c>
      <c r="B177" s="290" t="n">
        <f aca="false">IF(A111="YES",B95,0)</f>
        <v>0</v>
      </c>
      <c r="C177" s="295"/>
      <c r="D177" s="290" t="n">
        <f aca="false">B91</f>
        <v>12566.8823529412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1056.11153295526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1056.11153295526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1056.11153295526</v>
      </c>
      <c r="B186" s="42" t="n">
        <f aca="false">IF(A111="YES",B95,0)</f>
        <v>0</v>
      </c>
      <c r="C186" s="199"/>
      <c r="D186" s="42" t="n">
        <f aca="false">B97</f>
        <v>1056.11153295526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22.4424</v>
      </c>
      <c r="B189" s="312" t="n">
        <f aca="false">G18*0.000002*100</f>
        <v>7.4808</v>
      </c>
      <c r="C189" s="199"/>
      <c r="D189" s="312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5040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5070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5040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5070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106.45604252189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3" colorId="64" zoomScale="75" zoomScaleNormal="75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59" t="n">
        <f aca="false">K48</f>
        <v>803.503627306203</v>
      </c>
      <c r="F33" s="359"/>
      <c r="G33" s="359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803.503627306203</v>
      </c>
      <c r="B36" s="217" t="str">
        <f aca="false">IF(B26="YES",K42,"0.00")</f>
        <v>0.00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17423.692344658</v>
      </c>
      <c r="N39" s="6" t="n">
        <f aca="false">K39-L39</f>
        <v>76.3076553420287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76.3076553420287</v>
      </c>
      <c r="N40" s="6" t="n">
        <f aca="false">N38-N39</f>
        <v>2835.37234465797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60.0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803.503627306203</v>
      </c>
      <c r="L47" s="7" t="n">
        <f aca="false">L49-K42</f>
        <v>800</v>
      </c>
      <c r="M47" s="6" t="n">
        <f aca="false">K47-L47</f>
        <v>3.50362730620293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803.503627306203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803.503627306203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6794.6173771384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339.75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803.503627306203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803.503627306203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803.503627306203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803.503627306203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22650</v>
      </c>
      <c r="C81" s="36"/>
      <c r="D81" s="36"/>
      <c r="E81" s="27"/>
      <c r="F81" s="29" t="s">
        <v>119</v>
      </c>
      <c r="G81" s="31" t="n">
        <f aca="false">G158</f>
        <v>22650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23</v>
      </c>
      <c r="C85" s="36"/>
      <c r="D85" s="36"/>
      <c r="E85" s="27"/>
      <c r="F85" s="35" t="s">
        <v>123</v>
      </c>
      <c r="G85" s="37" t="n">
        <f aca="false">B85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19.9760690316744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22650</v>
      </c>
      <c r="C88" s="36"/>
      <c r="D88" s="36"/>
      <c r="E88" s="27"/>
      <c r="F88" s="35" t="s">
        <v>126</v>
      </c>
      <c r="G88" s="37" t="n">
        <f aca="false">G81-G86</f>
        <v>22650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1133.85671445597</v>
      </c>
      <c r="C89" s="36"/>
      <c r="D89" s="36"/>
      <c r="E89" s="27"/>
      <c r="F89" s="35" t="s">
        <v>127</v>
      </c>
      <c r="G89" s="37" t="n">
        <f aca="false">(G88/G87)</f>
        <v>1081.04045360249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26078.7044324873</v>
      </c>
      <c r="C90" s="36"/>
      <c r="D90" s="36"/>
      <c r="E90" s="27"/>
      <c r="F90" s="35" t="s">
        <v>128</v>
      </c>
      <c r="G90" s="37" t="n">
        <f aca="false">((G89*(G85))+G77)</f>
        <v>24863.9304328574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26078.7044324873</v>
      </c>
      <c r="C92" s="36"/>
      <c r="D92" s="36"/>
      <c r="E92" s="27"/>
      <c r="F92" s="60" t="s">
        <v>130</v>
      </c>
      <c r="G92" s="69" t="n">
        <f aca="false">(G90+G91)</f>
        <v>24863.9304328574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1133.85671445597</v>
      </c>
      <c r="C95" s="36"/>
      <c r="D95" s="36"/>
      <c r="E95" s="27"/>
      <c r="F95" s="97" t="s">
        <v>132</v>
      </c>
      <c r="G95" s="98" t="n">
        <f aca="false">G92/(G85)</f>
        <v>1081.04045360249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1133.85671445597</v>
      </c>
      <c r="C96" s="36"/>
      <c r="D96" s="36"/>
      <c r="E96" s="27"/>
      <c r="F96" s="99" t="s">
        <v>133</v>
      </c>
      <c r="G96" s="100" t="n">
        <f aca="false">G94+G95</f>
        <v>1081.04045360249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403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0.145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19375.0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19375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19375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3875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23250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23250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1875</v>
      </c>
      <c r="I148" s="6" t="n">
        <f aca="false">(H148-G81)/1.2</f>
        <v>-17312.5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22650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1133.85671445597</v>
      </c>
      <c r="B167" s="166" t="str">
        <f aca="false">B94</f>
        <v>0</v>
      </c>
      <c r="C167" s="164"/>
      <c r="D167" s="164"/>
      <c r="E167" s="166" t="n">
        <f aca="false">B96</f>
        <v>1133.85671445597</v>
      </c>
      <c r="F167" s="27"/>
      <c r="G167" s="27" t="n">
        <f aca="false">ROUND(G95,2)</f>
        <v>1081.04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214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19375</v>
      </c>
      <c r="B173" s="42" t="n">
        <f aca="false">H137</f>
        <v>3875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23250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22650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4562.56114694323</v>
      </c>
      <c r="B182" s="42" t="n">
        <f aca="false">B114</f>
        <v>239.99</v>
      </c>
      <c r="C182" s="42"/>
      <c r="D182" s="27"/>
      <c r="E182" s="42" t="n">
        <f aca="false">E179+A182+B182+A185</f>
        <v>27477.5511469432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2239.99</v>
      </c>
      <c r="C185" s="42"/>
      <c r="D185" s="27"/>
      <c r="E185" s="42" t="n">
        <f aca="false">IF(A40=0,(E167+A185),(E170+A185))</f>
        <v>1158.85671445597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339.75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359.75</v>
      </c>
      <c r="C191" s="36"/>
      <c r="D191" s="36"/>
      <c r="E191" s="42" t="n">
        <f aca="false">H148</f>
        <v>1875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1133.85671445597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3294.96</v>
      </c>
      <c r="B201" s="47" t="n">
        <f aca="false">E179+A201+B182+A185</f>
        <v>26209.95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1133.85671445597</v>
      </c>
      <c r="B212" s="166" t="str">
        <f aca="false">B167</f>
        <v>0</v>
      </c>
      <c r="C212" s="164"/>
      <c r="D212" s="164"/>
      <c r="E212" s="166" t="n">
        <f aca="false">E167</f>
        <v>1133.85671445597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19375</v>
      </c>
      <c r="B215" s="42" t="n">
        <f aca="false">B173</f>
        <v>3875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23250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22650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4562.56114694323</v>
      </c>
      <c r="B224" s="42" t="n">
        <f aca="false">B182</f>
        <v>239.99</v>
      </c>
      <c r="C224" s="42"/>
      <c r="D224" s="27"/>
      <c r="E224" s="42" t="n">
        <f aca="false">E182</f>
        <v>27477.5511469432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1133.85671445597</v>
      </c>
      <c r="B230" s="42" t="str">
        <f aca="false">B167</f>
        <v>0</v>
      </c>
      <c r="C230" s="47"/>
      <c r="D230" s="47"/>
      <c r="E230" s="42" t="n">
        <f aca="false">E167</f>
        <v>1133.85671445597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1158.85671445597</v>
      </c>
      <c r="C233" s="36"/>
      <c r="D233" s="36"/>
      <c r="E233" s="42" t="n">
        <f aca="false">J18*0.000006*100*1.2</f>
        <v>26.9316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26.9316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1875</v>
      </c>
      <c r="B240" s="42" t="n">
        <f aca="false">B68</f>
        <v>339.75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834.75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1292.60114694323</v>
      </c>
      <c r="C254" s="182"/>
      <c r="D254" s="183" t="s">
        <v>230</v>
      </c>
      <c r="E254" s="183"/>
      <c r="F254" s="185" t="n">
        <f aca="false">F261+F267+F269+B270+B271</f>
        <v>339.75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972.851146943234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1292.60114694323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339.75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972.851146943234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75" zoomScaleNormal="75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17500.0</v>
      </c>
      <c r="C9" s="14" t="n">
        <f aca="false">B9*0.2</f>
        <v>3575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406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20000.0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1440.0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59" t="n">
        <f aca="false">K48</f>
        <v>166.952737254959</v>
      </c>
      <c r="F33" s="359"/>
      <c r="G33" s="359"/>
      <c r="H33" s="51"/>
      <c r="I33" s="7"/>
      <c r="J33" s="38" t="s">
        <v>368</v>
      </c>
      <c r="K33" s="52" t="n">
        <f aca="false">E21</f>
        <v>17875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136.952737254959</v>
      </c>
      <c r="B36" s="217" t="n">
        <f aca="false">IF(B26="YES",K42,"0.00")</f>
        <v>30</v>
      </c>
      <c r="C36" s="217"/>
      <c r="D36" s="217"/>
      <c r="E36" s="359" t="n">
        <f aca="false">K31</f>
        <v>20000</v>
      </c>
      <c r="F36" s="359"/>
      <c r="G36" s="359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17875</v>
      </c>
      <c r="L39" s="7" t="n">
        <f aca="false">(L47*K46)+K44</f>
        <v>38377.162671096</v>
      </c>
      <c r="N39" s="6" t="n">
        <f aca="false">K39-L39</f>
        <v>-20502.162671096</v>
      </c>
    </row>
    <row r="40" customFormat="false" ht="18.75" hidden="false" customHeight="false" outlineLevel="0" collapsed="false">
      <c r="A40" s="109" t="n">
        <f aca="false">E36*A45/100</f>
        <v>20000</v>
      </c>
      <c r="B40" s="109" t="n">
        <f aca="false">IF(B26="YES",K42,"0.00")</f>
        <v>30</v>
      </c>
      <c r="C40" s="109"/>
      <c r="D40" s="109"/>
      <c r="E40" s="170" t="n">
        <f aca="false">K32</f>
        <v>2160</v>
      </c>
      <c r="F40" s="47"/>
      <c r="G40" s="47"/>
      <c r="H40" s="51"/>
      <c r="J40" s="7" t="s">
        <v>120</v>
      </c>
      <c r="K40" s="7" t="n">
        <f aca="false">(A40)/1.2</f>
        <v>16666.6666666667</v>
      </c>
      <c r="L40" s="7" t="n">
        <f aca="false">K39-L39</f>
        <v>-20502.162671096</v>
      </c>
      <c r="N40" s="6" t="n">
        <f aca="false">N38-N39</f>
        <v>23413.842671096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13439.5850433384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50.0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4435.41495666159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136.952737254959</v>
      </c>
      <c r="L47" s="7" t="n">
        <f aca="false">L49-K42</f>
        <v>770</v>
      </c>
      <c r="M47" s="6" t="n">
        <f aca="false">K47-L47</f>
        <v>-633.047262745041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166.952737254959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166.952737254959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6008.77686817967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231.70004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2805.375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374.05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136.952737254959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136.952737254959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166.952737254959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166.952737254959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23170.004</v>
      </c>
      <c r="C81" s="36"/>
      <c r="D81" s="36"/>
      <c r="E81" s="27"/>
      <c r="F81" s="29" t="s">
        <v>119</v>
      </c>
      <c r="G81" s="31" t="n">
        <f aca="false">G158</f>
        <v>23170.004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20000</v>
      </c>
      <c r="C82" s="36"/>
      <c r="D82" s="36"/>
      <c r="E82" s="27"/>
      <c r="F82" s="35" t="s">
        <v>120</v>
      </c>
      <c r="G82" s="37" t="n">
        <f aca="false">IF(A111="YES",A40,0)</f>
        <v>20000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20000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20000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B59</f>
        <v>35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13978.4989925452</v>
      </c>
      <c r="C86" s="36"/>
      <c r="D86" s="36"/>
      <c r="E86" s="27"/>
      <c r="F86" s="35" t="s">
        <v>124</v>
      </c>
      <c r="G86" s="37" t="n">
        <f aca="false">(G82/((1+G84)^(G85+1)))</f>
        <v>16221.5791473095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13529.3569525544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13529.3569525544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31.5753854942677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9191.50500745482</v>
      </c>
      <c r="C88" s="36"/>
      <c r="D88" s="36"/>
      <c r="E88" s="27"/>
      <c r="F88" s="35" t="s">
        <v>126</v>
      </c>
      <c r="G88" s="37" t="n">
        <f aca="false">G81-G86</f>
        <v>6948.42485269054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312.545011695948</v>
      </c>
      <c r="C89" s="36"/>
      <c r="D89" s="36"/>
      <c r="E89" s="27"/>
      <c r="F89" s="35" t="s">
        <v>127</v>
      </c>
      <c r="G89" s="37" t="n">
        <f aca="false">(G88/G87)</f>
        <v>220.058274631421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10939.0754093582</v>
      </c>
      <c r="C90" s="36"/>
      <c r="D90" s="36"/>
      <c r="E90" s="27"/>
      <c r="F90" s="35" t="s">
        <v>128</v>
      </c>
      <c r="G90" s="37" t="n">
        <f aca="false">((G89*(G85))+G77)</f>
        <v>7702.03961209972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10939.0754093582</v>
      </c>
      <c r="C92" s="36"/>
      <c r="D92" s="36"/>
      <c r="E92" s="27"/>
      <c r="F92" s="60" t="s">
        <v>130</v>
      </c>
      <c r="G92" s="69" t="n">
        <f aca="false">(G90+G91)</f>
        <v>7702.03961209972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37.0285714285714</v>
      </c>
      <c r="C94" s="36"/>
      <c r="D94" s="36"/>
      <c r="E94" s="27"/>
      <c r="F94" s="92" t="s">
        <v>131</v>
      </c>
      <c r="G94" s="96" t="n">
        <f aca="false">IF(B26="YES",((E40/B85)*(1+A108)*(C45/100)),"0")</f>
        <v>37.0285714285714</v>
      </c>
      <c r="H94" s="37"/>
      <c r="J94" s="92" t="s">
        <v>131</v>
      </c>
      <c r="K94" s="93" t="n">
        <f aca="false">((E40/K85)*(1+J108))*1.2</f>
        <v>93.6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74.0571428571429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88.8685714285714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312.545011695948</v>
      </c>
      <c r="C95" s="36"/>
      <c r="D95" s="36"/>
      <c r="E95" s="27"/>
      <c r="F95" s="97" t="s">
        <v>132</v>
      </c>
      <c r="G95" s="98" t="n">
        <f aca="false">G92/(G85)</f>
        <v>220.058274631421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349.57358312452</v>
      </c>
      <c r="C96" s="36"/>
      <c r="D96" s="36"/>
      <c r="E96" s="27"/>
      <c r="F96" s="99" t="s">
        <v>133</v>
      </c>
      <c r="G96" s="100" t="n">
        <f aca="false">G94+G95</f>
        <v>257.086846059992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406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17875</v>
      </c>
      <c r="C121" s="44" t="n">
        <v>19375.0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21450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21450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21450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17875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17875</v>
      </c>
      <c r="H135" s="144" t="n">
        <f aca="false">C125+E125+G125+H128</f>
        <v>19791.67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-17711.1116666667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23170.004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312.545011695948</v>
      </c>
      <c r="B167" s="166" t="n">
        <f aca="false">B94</f>
        <v>37.0285714285714</v>
      </c>
      <c r="C167" s="164"/>
      <c r="D167" s="164"/>
      <c r="E167" s="166" t="n">
        <f aca="false">B96</f>
        <v>349.57358312452</v>
      </c>
      <c r="F167" s="27"/>
      <c r="G167" s="27" t="n">
        <f aca="false">ROUND(G95,2)</f>
        <v>220.06</v>
      </c>
      <c r="H167" s="37"/>
      <c r="J167" s="165" t="e">
        <f aca="false">K95</f>
        <v>#VALUE!</v>
      </c>
      <c r="K167" s="166" t="n">
        <f aca="false">K94</f>
        <v>93.6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74.0571428571429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88.8685714285714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214" t="n">
        <f aca="false">K30</f>
        <v>10000</v>
      </c>
      <c r="C170" s="169"/>
      <c r="D170" s="27"/>
      <c r="E170" s="170" t="n">
        <f aca="false">IF(A111="YES",A40,0)</f>
        <v>20000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20000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20000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20000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23750.004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23170.004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7769.0714093582</v>
      </c>
      <c r="B182" s="42" t="n">
        <f aca="false">B114</f>
        <v>199.991666666667</v>
      </c>
      <c r="C182" s="42"/>
      <c r="D182" s="27"/>
      <c r="E182" s="42" t="n">
        <f aca="false">E179+A182+(B182*1.2)+A185</f>
        <v>31189.0654093582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IF(A40=0,(E167+A185),(E170+A185))</f>
        <v>20010</v>
      </c>
      <c r="F185" s="27"/>
      <c r="G185" s="42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20020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20010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20010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7.481</v>
      </c>
      <c r="B188" s="42" t="n">
        <f aca="false">(G158*B67)</f>
        <v>231.70004</v>
      </c>
      <c r="C188" s="36"/>
      <c r="D188" s="36"/>
      <c r="E188" s="42" t="n">
        <f aca="false">(E40*A108)*0.1*(C45/100)</f>
        <v>21.6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64.8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43.2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43.2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273.30004</v>
      </c>
      <c r="C191" s="36"/>
      <c r="D191" s="36"/>
      <c r="E191" s="42" t="n">
        <f aca="false">H148</f>
        <v>1916.67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349.57358312452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4532.096</v>
      </c>
      <c r="B201" s="47" t="n">
        <f aca="false">E179+A201+(B182*1.2)+A185</f>
        <v>27952.09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312.545011695948</v>
      </c>
      <c r="B212" s="166" t="n">
        <f aca="false">B167</f>
        <v>37.0285714285714</v>
      </c>
      <c r="C212" s="164"/>
      <c r="D212" s="164"/>
      <c r="E212" s="166" t="n">
        <f aca="false">E167</f>
        <v>349.57358312452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23170.004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7769.0714093582</v>
      </c>
      <c r="B224" s="42" t="n">
        <f aca="false">B182</f>
        <v>199.991666666667</v>
      </c>
      <c r="C224" s="42"/>
      <c r="D224" s="27"/>
      <c r="E224" s="42" t="n">
        <f aca="false">E182</f>
        <v>31189.0654093582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312.545011695948</v>
      </c>
      <c r="B230" s="42" t="n">
        <f aca="false">B167</f>
        <v>37.0285714285714</v>
      </c>
      <c r="C230" s="47"/>
      <c r="D230" s="47"/>
      <c r="E230" s="42" t="n">
        <f aca="false">E167</f>
        <v>349.57358312452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20000</v>
      </c>
      <c r="B233" s="42" t="n">
        <f aca="false">E185</f>
        <v>20010</v>
      </c>
      <c r="C233" s="36"/>
      <c r="D233" s="36"/>
      <c r="E233" s="42" t="n">
        <f aca="false">J18*0.000006*100</f>
        <v>22.443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7.481</v>
      </c>
      <c r="B236" s="42" t="n">
        <f aca="false">E233+A236</f>
        <v>29.924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B68</f>
        <v>231.70004</v>
      </c>
      <c r="C240" s="36"/>
      <c r="D240" s="36"/>
      <c r="E240" s="42" t="n">
        <f aca="false">E188</f>
        <v>21.6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769.970039999997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3246.97540935819</v>
      </c>
      <c r="C254" s="182"/>
      <c r="D254" s="183" t="s">
        <v>230</v>
      </c>
      <c r="E254" s="183"/>
      <c r="F254" s="185" t="n">
        <f aca="false">F261+F267+F269+B270+B271</f>
        <v>231.70004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236</v>
      </c>
      <c r="C255" s="182"/>
      <c r="D255" s="183" t="s">
        <v>232</v>
      </c>
      <c r="E255" s="183"/>
      <c r="F255" s="185" t="n">
        <f aca="false">(B254-F254)+B255</f>
        <v>3251.27536935819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3246.97540935819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231.70004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216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3251.27536935819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406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50000.0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3000.0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59" t="n">
        <f aca="false">K48</f>
        <v>188.296509287446</v>
      </c>
      <c r="F33" s="359"/>
      <c r="G33" s="359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138.296509287446</v>
      </c>
      <c r="B36" s="217" t="n">
        <f aca="false">IF(B26="YES",K42,"0.00")</f>
        <v>50</v>
      </c>
      <c r="C36" s="217"/>
      <c r="D36" s="217"/>
      <c r="E36" s="359" t="n">
        <f aca="false">K31</f>
        <v>20000</v>
      </c>
      <c r="F36" s="359"/>
      <c r="G36" s="359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31162.4582046823</v>
      </c>
      <c r="N39" s="6" t="n">
        <f aca="false">K39-L39</f>
        <v>-13662.4582046823</v>
      </c>
    </row>
    <row r="40" customFormat="false" ht="18.75" hidden="false" customHeight="false" outlineLevel="0" collapsed="false">
      <c r="A40" s="109" t="n">
        <f aca="false">E36*A45/100</f>
        <v>20000</v>
      </c>
      <c r="B40" s="109" t="n">
        <f aca="false">IF(B26="YES",K42,"0.00")</f>
        <v>50</v>
      </c>
      <c r="C40" s="109"/>
      <c r="D40" s="109"/>
      <c r="E40" s="170" t="n">
        <f aca="false">K32</f>
        <v>3000</v>
      </c>
      <c r="F40" s="47"/>
      <c r="G40" s="47"/>
      <c r="H40" s="51"/>
      <c r="J40" s="7" t="s">
        <v>120</v>
      </c>
      <c r="K40" s="7" t="n">
        <f aca="false">(A40)/1.2</f>
        <v>16666.6666666667</v>
      </c>
      <c r="L40" s="7" t="n">
        <f aca="false">K39-L39</f>
        <v>-13662.4582046823</v>
      </c>
      <c r="N40" s="6" t="n">
        <f aca="false">N38-N39</f>
        <v>16574.1382046823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14411.1337327956</v>
      </c>
      <c r="L44" s="7"/>
    </row>
    <row r="45" customFormat="false" ht="18.75" hidden="false" customHeight="false" outlineLevel="0" collapsed="false">
      <c r="A45" s="65" t="n">
        <v>40.0</v>
      </c>
      <c r="B45" s="36"/>
      <c r="C45" s="66" t="n">
        <v>40.0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3088.8662672044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138.296509287446</v>
      </c>
      <c r="L47" s="7" t="n">
        <f aca="false">L49-K42</f>
        <v>750</v>
      </c>
      <c r="M47" s="6" t="n">
        <f aca="false">K47-L47</f>
        <v>-611.703490712554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188.296509287446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188.296509287446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4460.06704098527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170.025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138.296509287446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138.296509287446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188.296509287446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188.296509287446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22670</v>
      </c>
      <c r="C81" s="36"/>
      <c r="D81" s="36"/>
      <c r="E81" s="27"/>
      <c r="F81" s="29" t="s">
        <v>119</v>
      </c>
      <c r="G81" s="31" t="n">
        <f aca="false">G158</f>
        <v>22670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20000</v>
      </c>
      <c r="C82" s="36"/>
      <c r="D82" s="36"/>
      <c r="E82" s="27"/>
      <c r="F82" s="35" t="s">
        <v>120</v>
      </c>
      <c r="G82" s="37" t="n">
        <f aca="false">IF(A111="YES",A40,0)</f>
        <v>20000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20000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20000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23</v>
      </c>
      <c r="C85" s="36"/>
      <c r="D85" s="36"/>
      <c r="E85" s="27"/>
      <c r="F85" s="35" t="s">
        <v>123</v>
      </c>
      <c r="G85" s="37" t="n">
        <f aca="false">IF(G82=0,(B59+B58),(B59))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15751.3225484744</v>
      </c>
      <c r="C86" s="36"/>
      <c r="D86" s="36"/>
      <c r="E86" s="27"/>
      <c r="F86" s="35" t="s">
        <v>124</v>
      </c>
      <c r="G86" s="37" t="n">
        <f aca="false">(G82/((1+G84)^(G85+1)))</f>
        <v>17394.2384154843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15095.3657519889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15095.3657519889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20.4558211302041</v>
      </c>
      <c r="C87" s="36"/>
      <c r="D87" s="36"/>
      <c r="E87" s="27"/>
      <c r="F87" s="35" t="s">
        <v>125</v>
      </c>
      <c r="G87" s="37" t="n">
        <f aca="false">((1-(1/((1+G84)^G85)))/G84)</f>
        <v>21.4653873750747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6918.67745152558</v>
      </c>
      <c r="C88" s="36"/>
      <c r="D88" s="36"/>
      <c r="E88" s="27"/>
      <c r="F88" s="35" t="s">
        <v>126</v>
      </c>
      <c r="G88" s="37" t="n">
        <f aca="false">G81-G86</f>
        <v>5275.76158451571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338.225359299303</v>
      </c>
      <c r="C89" s="36"/>
      <c r="D89" s="36"/>
      <c r="E89" s="27"/>
      <c r="F89" s="35" t="s">
        <v>127</v>
      </c>
      <c r="G89" s="37" t="n">
        <f aca="false">(G88/G87)</f>
        <v>245.779938294608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7779.18326388398</v>
      </c>
      <c r="C90" s="36"/>
      <c r="D90" s="36"/>
      <c r="E90" s="27"/>
      <c r="F90" s="35" t="s">
        <v>128</v>
      </c>
      <c r="G90" s="37" t="n">
        <f aca="false">((G89*(G85))+G77)</f>
        <v>5652.93858077597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7779.18326388398</v>
      </c>
      <c r="C92" s="36"/>
      <c r="D92" s="36"/>
      <c r="E92" s="27"/>
      <c r="F92" s="60" t="s">
        <v>130</v>
      </c>
      <c r="G92" s="69" t="n">
        <f aca="false">(G90+G91)</f>
        <v>5652.93858077597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IF(B26="YES",((E40/B85)*(1+A108)*1.2*(C45/100)),"0")</f>
        <v>81.3913043478261</v>
      </c>
      <c r="C94" s="36"/>
      <c r="D94" s="36"/>
      <c r="E94" s="27"/>
      <c r="F94" s="92" t="s">
        <v>131</v>
      </c>
      <c r="G94" s="96" t="n">
        <f aca="false">IF(B26="YES",((E40/B85)*(1+A108)*(C45/100)),"0")</f>
        <v>67.8260869565218</v>
      </c>
      <c r="H94" s="37"/>
      <c r="J94" s="92" t="s">
        <v>131</v>
      </c>
      <c r="K94" s="93" t="n">
        <f aca="false">((E40/K85)*(1+J108))*1.2</f>
        <v>195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156.521739130435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187.826086956522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338.225359299303</v>
      </c>
      <c r="C95" s="36"/>
      <c r="D95" s="36"/>
      <c r="E95" s="27"/>
      <c r="F95" s="97" t="s">
        <v>132</v>
      </c>
      <c r="G95" s="98" t="n">
        <f aca="false">G92/(G85)</f>
        <v>245.779938294608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419.616663647129</v>
      </c>
      <c r="C96" s="36"/>
      <c r="D96" s="36"/>
      <c r="E96" s="27"/>
      <c r="F96" s="99" t="s">
        <v>133</v>
      </c>
      <c r="G96" s="100" t="n">
        <f aca="false">G94+G95</f>
        <v>313.606025251129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406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406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19375.0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19375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19375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3875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23250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23250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1875</v>
      </c>
      <c r="I148" s="6" t="n">
        <f aca="false">(H148-G81)/1.2</f>
        <v>-17329.1666666667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22670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338.225359299303</v>
      </c>
      <c r="B167" s="166" t="n">
        <f aca="false">B94</f>
        <v>81.3913043478261</v>
      </c>
      <c r="C167" s="164"/>
      <c r="D167" s="164"/>
      <c r="E167" s="166" t="n">
        <f aca="false">B96</f>
        <v>419.616663647129</v>
      </c>
      <c r="F167" s="27"/>
      <c r="G167" s="27" t="n">
        <f aca="false">ROUND(G95,2)</f>
        <v>245.78</v>
      </c>
      <c r="H167" s="37"/>
      <c r="J167" s="165" t="e">
        <f aca="false">K95</f>
        <v>#VALUE!</v>
      </c>
      <c r="K167" s="166" t="n">
        <f aca="false">K94</f>
        <v>195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156.521739130435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187.826086956522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214" t="n">
        <f aca="false">K30</f>
        <v>8000</v>
      </c>
      <c r="C170" s="169"/>
      <c r="D170" s="27"/>
      <c r="E170" s="170" t="n">
        <f aca="false">IF(A111="YES",A40,0)</f>
        <v>20000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20000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20000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20000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19375</v>
      </c>
      <c r="B173" s="42" t="n">
        <f aca="false">H137</f>
        <v>3875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23250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22670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5109.18326388398</v>
      </c>
      <c r="B182" s="42" t="n">
        <f aca="false">B114</f>
        <v>239.99</v>
      </c>
      <c r="C182" s="42"/>
      <c r="D182" s="27"/>
      <c r="E182" s="42" t="n">
        <f aca="false">E179+A182+B182+A185</f>
        <v>28044.173263884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IF(A40=0,(E167+A185),(E170+A185))</f>
        <v>20025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20020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20010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20010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IF(E105="YES",B61*0.000002,0)*100*1.2</f>
        <v>8.9772</v>
      </c>
      <c r="B188" s="42" t="n">
        <f aca="false">(G158*B67)</f>
        <v>170.025</v>
      </c>
      <c r="C188" s="36"/>
      <c r="D188" s="36"/>
      <c r="E188" s="42" t="n">
        <f aca="false">(E40*A108)*0.1*(C45/100)</f>
        <v>36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90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60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60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226.025</v>
      </c>
      <c r="C191" s="36"/>
      <c r="D191" s="36"/>
      <c r="E191" s="42" t="n">
        <f aca="false">H148</f>
        <v>1875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419.616663647129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2982.94</v>
      </c>
      <c r="B201" s="47" t="n">
        <f aca="false">E179+A201+B182+A185</f>
        <v>25917.93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338.225359299303</v>
      </c>
      <c r="B212" s="166" t="n">
        <f aca="false">B167</f>
        <v>81.3913043478261</v>
      </c>
      <c r="C212" s="164"/>
      <c r="D212" s="164"/>
      <c r="E212" s="166" t="n">
        <f aca="false">E167</f>
        <v>419.616663647129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19375</v>
      </c>
      <c r="B215" s="42" t="n">
        <f aca="false">B173</f>
        <v>3875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23250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22670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5109.18326388398</v>
      </c>
      <c r="B224" s="42" t="n">
        <f aca="false">B182</f>
        <v>239.99</v>
      </c>
      <c r="C224" s="42"/>
      <c r="D224" s="27"/>
      <c r="E224" s="42" t="n">
        <f aca="false">E182</f>
        <v>28044.173263884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338.225359299303</v>
      </c>
      <c r="B230" s="42" t="n">
        <f aca="false">B167</f>
        <v>81.3913043478261</v>
      </c>
      <c r="C230" s="47"/>
      <c r="D230" s="47"/>
      <c r="E230" s="42" t="n">
        <f aca="false">E167</f>
        <v>419.616663647129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20000</v>
      </c>
      <c r="B233" s="42" t="n">
        <f aca="false">E185</f>
        <v>20025</v>
      </c>
      <c r="C233" s="36"/>
      <c r="D233" s="36"/>
      <c r="E233" s="42" t="n">
        <f aca="false">A188</f>
        <v>8.9772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1875</v>
      </c>
      <c r="B240" s="42" t="n">
        <f aca="false">B68</f>
        <v>170.025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681.025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2151.24326388398</v>
      </c>
      <c r="C254" s="182"/>
      <c r="D254" s="183" t="s">
        <v>230</v>
      </c>
      <c r="E254" s="183"/>
      <c r="F254" s="185" t="n">
        <f aca="false">F261+F267+F269+B270+B271</f>
        <v>170.025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2361.21826388398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2151.24326388398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170.025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2361.21826388398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349"/>
      <c r="H2" s="350"/>
      <c r="I2" s="7"/>
      <c r="J2" s="7"/>
    </row>
    <row r="3" customFormat="false" ht="18.75" hidden="false" customHeight="false" outlineLevel="0" collapsed="false">
      <c r="A3" s="244"/>
      <c r="B3" s="245" t="s">
        <v>10</v>
      </c>
      <c r="C3" s="245" t="n">
        <v>0</v>
      </c>
      <c r="D3" s="245" t="s">
        <v>10</v>
      </c>
      <c r="E3" s="245"/>
      <c r="F3" s="246" t="s">
        <v>10</v>
      </c>
      <c r="G3" s="351"/>
      <c r="H3" s="352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21450</v>
      </c>
      <c r="C4" s="247" t="n">
        <v>0</v>
      </c>
      <c r="D4" s="247" t="n">
        <v>0</v>
      </c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10</v>
      </c>
      <c r="G5" s="351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5520.83</v>
      </c>
      <c r="C9" s="14" t="n">
        <f aca="false">B9*0.2</f>
        <v>3575</v>
      </c>
      <c r="D9" s="249"/>
      <c r="E9" s="249"/>
      <c r="F9" s="67"/>
      <c r="G9" s="129"/>
      <c r="H9" s="353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2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2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146"/>
      <c r="H13" s="352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2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146"/>
      <c r="H15" s="354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2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5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43"/>
      <c r="H19" s="355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5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356"/>
      <c r="H21" s="357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58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59" t="n">
        <f aca="false">K48</f>
        <v>551.928106468522</v>
      </c>
      <c r="F33" s="359"/>
      <c r="G33" s="359"/>
      <c r="H33" s="51"/>
      <c r="I33" s="7"/>
      <c r="J33" s="38" t="s">
        <v>368</v>
      </c>
      <c r="K33" s="52" t="n">
        <f aca="false">E21</f>
        <v>17875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551.928106468522</v>
      </c>
      <c r="B36" s="217" t="str">
        <f aca="false">IF(B26="YES",K42,"0.00")</f>
        <v>0.00</v>
      </c>
      <c r="C36" s="217"/>
      <c r="D36" s="217"/>
      <c r="E36" s="359" t="n">
        <f aca="false">K31</f>
        <v>0</v>
      </c>
      <c r="F36" s="359"/>
      <c r="G36" s="359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17875</v>
      </c>
      <c r="L39" s="7" t="n">
        <f aca="false">(L47*K46)+K44</f>
        <v>25909.1715613065</v>
      </c>
      <c r="N39" s="6" t="n">
        <f aca="false">K39-L39</f>
        <v>-8034.17156130655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-8034.17156130655</v>
      </c>
      <c r="N40" s="6" t="n">
        <f aca="false">N38-N39</f>
        <v>10945.8515613065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17875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551.928106468522</v>
      </c>
      <c r="L47" s="7" t="n">
        <f aca="false">L49-K42</f>
        <v>800</v>
      </c>
      <c r="M47" s="6" t="n">
        <f aca="false">K47-L47</f>
        <v>-248.071893531478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551.928106468522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551.928106468522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7065.73735986823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231.70004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2805.375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374.05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551.928106468522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551.928106468522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551.928106468522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551.928106468522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23170.004</v>
      </c>
      <c r="C81" s="36"/>
      <c r="D81" s="36"/>
      <c r="E81" s="27"/>
      <c r="F81" s="29" t="s">
        <v>119</v>
      </c>
      <c r="G81" s="31" t="n">
        <f aca="false">G158</f>
        <v>23170.004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36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30.1075050372741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23170.004</v>
      </c>
      <c r="C88" s="36"/>
      <c r="D88" s="36"/>
      <c r="E88" s="27"/>
      <c r="F88" s="35" t="s">
        <v>126</v>
      </c>
      <c r="G88" s="37" t="n">
        <f aca="false">G81-G86</f>
        <v>23170.004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769.575691221001</v>
      </c>
      <c r="C89" s="36"/>
      <c r="D89" s="36"/>
      <c r="E89" s="27"/>
      <c r="F89" s="35" t="s">
        <v>127</v>
      </c>
      <c r="G89" s="37" t="n">
        <f aca="false">(G88/G87)</f>
        <v>715.422457879053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27704.724883956</v>
      </c>
      <c r="C90" s="36"/>
      <c r="D90" s="36"/>
      <c r="E90" s="27"/>
      <c r="F90" s="35" t="s">
        <v>128</v>
      </c>
      <c r="G90" s="37" t="n">
        <f aca="false">((G89*(G85))+G77)</f>
        <v>25755.2084836459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27704.724883956</v>
      </c>
      <c r="C92" s="36"/>
      <c r="D92" s="36"/>
      <c r="E92" s="27"/>
      <c r="F92" s="60" t="s">
        <v>130</v>
      </c>
      <c r="G92" s="69" t="n">
        <f aca="false">(G90+G91)</f>
        <v>25755.2084836459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769.575691221001</v>
      </c>
      <c r="C95" s="36"/>
      <c r="D95" s="36"/>
      <c r="E95" s="27"/>
      <c r="F95" s="97" t="s">
        <v>132</v>
      </c>
      <c r="G95" s="98" t="n">
        <f aca="false">G92/(G85)</f>
        <v>715.422457879053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769.575691221001</v>
      </c>
      <c r="C96" s="36"/>
      <c r="D96" s="36"/>
      <c r="E96" s="27"/>
      <c r="F96" s="99" t="s">
        <v>133</v>
      </c>
      <c r="G96" s="100" t="n">
        <f aca="false">G94+G95</f>
        <v>715.422457879053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32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0.0</v>
      </c>
      <c r="C108" s="109"/>
      <c r="D108" s="109" t="n">
        <v>0.0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17875</v>
      </c>
      <c r="C121" s="44" t="n">
        <v>19791.67</v>
      </c>
      <c r="D121" s="29" t="n"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str">
        <f aca="false">B3</f>
        <v> </v>
      </c>
      <c r="L121" s="44" t="n">
        <v>28629.17</v>
      </c>
      <c r="M121" s="29" t="str">
        <f aca="false">D3</f>
        <v> </v>
      </c>
      <c r="N121" s="44" t="str">
        <f aca="false">M121</f>
        <v> 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str">
        <f aca="false">B3</f>
        <v> </v>
      </c>
      <c r="U121" s="44" t="str">
        <f aca="false">T121</f>
        <v> </v>
      </c>
      <c r="V121" s="29" t="str">
        <f aca="false">D3</f>
        <v> </v>
      </c>
      <c r="W121" s="44" t="str">
        <f aca="false">V121</f>
        <v> 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str">
        <f aca="false">B3</f>
        <v> </v>
      </c>
      <c r="AD121" s="44" t="str">
        <f aca="false">AC121</f>
        <v> </v>
      </c>
      <c r="AE121" s="29" t="str">
        <f aca="false">D3</f>
        <v> </v>
      </c>
      <c r="AF121" s="44" t="str">
        <f aca="false">AE121</f>
        <v> 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1" t="n">
        <v>0</v>
      </c>
      <c r="H122" s="125"/>
      <c r="J122" s="35" t="s">
        <v>163</v>
      </c>
      <c r="K122" s="122" t="n">
        <f aca="false">B4</f>
        <v>21450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1" t="str">
        <f aca="false">O122</f>
        <v> </v>
      </c>
      <c r="Q122" s="125"/>
      <c r="S122" s="35" t="s">
        <v>163</v>
      </c>
      <c r="T122" s="122" t="n">
        <f aca="false">B4</f>
        <v>21450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1" t="str">
        <f aca="false">X122</f>
        <v> </v>
      </c>
      <c r="Z122" s="125"/>
      <c r="AB122" s="35" t="s">
        <v>163</v>
      </c>
      <c r="AC122" s="122" t="n">
        <f aca="false">B4</f>
        <v>21450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1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e">
        <f aca="false">(K121*K122)+K123</f>
        <v>#VALUE!</v>
      </c>
      <c r="L124" s="31" t="n">
        <f aca="false">(L121*L122)+L123</f>
        <v>0</v>
      </c>
      <c r="M124" s="35" t="e">
        <f aca="false">(M121*M122)+M123</f>
        <v>#VALUE!</v>
      </c>
      <c r="N124" s="31" t="e">
        <f aca="false">(N121*N122)+N123</f>
        <v>#VALUE!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e">
        <f aca="false">(T121*T122)+T123</f>
        <v>#VALUE!</v>
      </c>
      <c r="U124" s="31" t="e">
        <f aca="false">(U121*U122)+U123</f>
        <v>#VALUE!</v>
      </c>
      <c r="V124" s="35" t="e">
        <f aca="false">(V121*V122)+V123</f>
        <v>#VALUE!</v>
      </c>
      <c r="W124" s="31" t="e">
        <f aca="false">(W121*W122)+W123</f>
        <v>#VALUE!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e">
        <f aca="false">(AC121*AC122)+AC123</f>
        <v>#VALUE!</v>
      </c>
      <c r="AD124" s="31" t="e">
        <f aca="false">(AD121*AD122)+AD123</f>
        <v>#VALUE!</v>
      </c>
      <c r="AE124" s="35" t="e">
        <f aca="false">(AE121*AE122)+AE123</f>
        <v>#VALUE!</v>
      </c>
      <c r="AF124" s="31" t="e">
        <f aca="false">(AF121*AF122)+AF123</f>
        <v>#VALUE!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17875</v>
      </c>
      <c r="C125" s="69" t="n">
        <f aca="false">C121-C124</f>
        <v>19791.67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e">
        <f aca="false">K121-K124</f>
        <v>#VALUE!</v>
      </c>
      <c r="L125" s="69" t="n">
        <f aca="false">L121-L124</f>
        <v>28629.17</v>
      </c>
      <c r="M125" s="60" t="e">
        <f aca="false">M121-M124</f>
        <v>#VALUE!</v>
      </c>
      <c r="N125" s="69" t="e">
        <f aca="false">N121-N124</f>
        <v>#VALUE!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e">
        <f aca="false">T121-T124</f>
        <v>#VALUE!</v>
      </c>
      <c r="U125" s="69" t="e">
        <f aca="false">U121-U124</f>
        <v>#VALUE!</v>
      </c>
      <c r="V125" s="60" t="e">
        <f aca="false">V121-V124</f>
        <v>#VALUE!</v>
      </c>
      <c r="W125" s="69" t="e">
        <f aca="false">W121-W124</f>
        <v>#VALUE!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e">
        <f aca="false">AC121-AC124</f>
        <v>#VALUE!</v>
      </c>
      <c r="AD125" s="69" t="e">
        <f aca="false">AD121-AD124</f>
        <v>#VALUE!</v>
      </c>
      <c r="AE125" s="60" t="e">
        <f aca="false">AE121-AE124</f>
        <v>#VALUE!</v>
      </c>
      <c r="AF125" s="69" t="e">
        <f aca="false">AF121-AF124</f>
        <v>#VALUE!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17875</v>
      </c>
      <c r="H135" s="144" t="n">
        <f aca="false">C125+E125+G125+H128</f>
        <v>19791.67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3575</v>
      </c>
      <c r="H137" s="37" t="n">
        <f aca="false">(H135+H136)*20%</f>
        <v>3958.334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21450</v>
      </c>
      <c r="H141" s="147" t="n">
        <f aca="false">(H135+H136+H139+H140+H137)-H138</f>
        <v>23750.004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21450</v>
      </c>
      <c r="H147" s="154" t="n">
        <f aca="false">H141-((H144*1.2)+(H145*1.2)+(H146*1.2)+(H142*1.2))</f>
        <v>23750.004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1916.67</v>
      </c>
      <c r="I148" s="6" t="n">
        <f aca="false">(H148-G81)/1.2</f>
        <v>-17711.1116666667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23170.004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769.575691221001</v>
      </c>
      <c r="B167" s="166" t="str">
        <f aca="false">B94</f>
        <v>0</v>
      </c>
      <c r="C167" s="164"/>
      <c r="D167" s="164"/>
      <c r="E167" s="166" t="n">
        <f aca="false">B96</f>
        <v>769.575691221001</v>
      </c>
      <c r="F167" s="27"/>
      <c r="G167" s="27" t="n">
        <f aca="false">ROUND(G95,2)</f>
        <v>715.42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214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19791.67</v>
      </c>
      <c r="B173" s="42" t="n">
        <f aca="false">H137</f>
        <v>3958.334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23750.004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23170.004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4534.72088395603</v>
      </c>
      <c r="B182" s="42" t="n">
        <f aca="false">B114</f>
        <v>199.991666666667</v>
      </c>
      <c r="C182" s="42"/>
      <c r="D182" s="27"/>
      <c r="E182" s="42" t="n">
        <f aca="false">E179+A182+(B182*1.2)+A185</f>
        <v>27954.714883956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IF(A40=0,(E167+A185),(E170+A185))</f>
        <v>779.575691221001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231.70004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251.70004</v>
      </c>
      <c r="C191" s="36"/>
      <c r="D191" s="36"/>
      <c r="E191" s="42" t="n">
        <f aca="false">H148</f>
        <v>1916.67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769.575691221001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2585.116</v>
      </c>
      <c r="B201" s="47" t="n">
        <f aca="false">E179+A201+(B182*1.2)+A185</f>
        <v>26005.11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769.575691221001</v>
      </c>
      <c r="B212" s="166" t="str">
        <f aca="false">B167</f>
        <v>0</v>
      </c>
      <c r="C212" s="164"/>
      <c r="D212" s="164"/>
      <c r="E212" s="166" t="n">
        <f aca="false">E167</f>
        <v>769.575691221001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19791.67</v>
      </c>
      <c r="B215" s="42" t="n">
        <f aca="false">B173</f>
        <v>3958.334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23750.004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23170.004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4534.72088395603</v>
      </c>
      <c r="B224" s="42" t="n">
        <f aca="false">B182</f>
        <v>199.991666666667</v>
      </c>
      <c r="C224" s="42"/>
      <c r="D224" s="27"/>
      <c r="E224" s="42" t="n">
        <f aca="false">E182</f>
        <v>27954.714883956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769.575691221001</v>
      </c>
      <c r="B230" s="42" t="str">
        <f aca="false">B167</f>
        <v>0</v>
      </c>
      <c r="C230" s="47"/>
      <c r="D230" s="47"/>
      <c r="E230" s="42" t="n">
        <f aca="false">E167</f>
        <v>769.575691221001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779.575691221001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1916.67</v>
      </c>
      <c r="B240" s="42" t="n">
        <f aca="false">B68</f>
        <v>231.70004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748.370039999998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1959.60488395602</v>
      </c>
      <c r="C254" s="182"/>
      <c r="D254" s="183" t="s">
        <v>230</v>
      </c>
      <c r="E254" s="183"/>
      <c r="F254" s="185" t="n">
        <f aca="false">F261+F267+F269+B270+B271</f>
        <v>231.70004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1747.90484395602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1959.60488395602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231.70004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1747.90484395602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7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17875</v>
      </c>
      <c r="C9" s="14" t="n">
        <f aca="false">B9*0.2</f>
        <v>3575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n">
        <f aca="false">IF(B38="YES",D38+A41,D38)</f>
        <v>500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0</v>
      </c>
      <c r="C44" s="106"/>
      <c r="D44" s="256" t="n">
        <f aca="false">A44+B44</f>
        <v>1</v>
      </c>
      <c r="E44" s="256"/>
      <c r="F44" s="67"/>
      <c r="G44" s="67" t="s">
        <v>269</v>
      </c>
      <c r="H44" s="7" t="n">
        <f aca="false">((A41*(B35-1))+D32)/B35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501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21450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1501.5</v>
      </c>
      <c r="C64" s="199" t="n">
        <v>10000</v>
      </c>
      <c r="D64" s="36" t="n">
        <f aca="false">B64</f>
        <v>1501.5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 t="n">
        <f aca="false">IF(G18&gt;40000,325,0)</f>
        <v>0</v>
      </c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2821.38235294118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235.115196078431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10600.0588235294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74.8289751560164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10674.8877986854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12375.1073941105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0</v>
      </c>
      <c r="C89" s="199"/>
      <c r="D89" s="199"/>
      <c r="E89" s="200"/>
      <c r="F89" s="67"/>
      <c r="G89" s="276" t="s">
        <v>131</v>
      </c>
      <c r="H89" s="277" t="n">
        <f aca="false">(A41+(A41*H105))*1.2</f>
        <v>0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889.573983223786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1031.25894950921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889.573983223786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1031.25894950921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32</v>
      </c>
      <c r="B105" s="284" t="n">
        <v>0</v>
      </c>
      <c r="C105" s="284"/>
      <c r="D105" s="109" t="s">
        <v>364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889.573983223786</v>
      </c>
      <c r="B128" s="290" t="n">
        <f aca="false">IF(A105="YES",B89,0)</f>
        <v>0</v>
      </c>
      <c r="C128" s="295"/>
      <c r="D128" s="290" t="n">
        <f aca="false">B91</f>
        <v>889.573983223786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1031.25894950921</v>
      </c>
      <c r="H130" s="166" t="n">
        <f aca="false">IF(G105="YES",H89*H57,0)</f>
        <v>0</v>
      </c>
      <c r="I130" s="166"/>
      <c r="J130" s="301" t="n">
        <f aca="false">H91</f>
        <v>1031.25894950921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8006.16584901407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1031.25894950921</v>
      </c>
      <c r="H133" s="42" t="n">
        <f aca="false">IF(G105="YES",H89*H57,0)</f>
        <v>0</v>
      </c>
      <c r="I133" s="205"/>
      <c r="J133" s="170" t="n">
        <f aca="false">H91*H57</f>
        <v>1031.25894950921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8006.16584901407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889.573983223786</v>
      </c>
      <c r="B137" s="42" t="n">
        <f aca="false">IF(A105="YES",B89,0)</f>
        <v>0</v>
      </c>
      <c r="C137" s="199"/>
      <c r="D137" s="42" t="n">
        <f aca="false">B91</f>
        <v>889.573983223786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26.9316</v>
      </c>
      <c r="B140" s="309" t="n">
        <f aca="false">G18*0.000002*1.2*100</f>
        <v>8.9772</v>
      </c>
      <c r="C140" s="310"/>
      <c r="D140" s="309" t="n">
        <f aca="false">A140+B140</f>
        <v>35.9088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0</v>
      </c>
      <c r="H142" s="42" t="n">
        <f aca="false">G102-100</f>
        <v>139.988</v>
      </c>
      <c r="I142" s="42"/>
      <c r="J142" s="42" t="n">
        <f aca="false">(H139+J139+G142+H142)-H145</f>
        <v>1407.013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470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1031.25894950921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889.573983223786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889.573983223786</v>
      </c>
      <c r="B171" s="290" t="n">
        <f aca="false">IF(A105="YES",B89,0)</f>
        <v>0</v>
      </c>
      <c r="C171" s="295"/>
      <c r="D171" s="290" t="n">
        <f aca="false">B91</f>
        <v>889.573983223786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8006.16584901407</v>
      </c>
      <c r="C174" s="199"/>
      <c r="D174" s="42" t="n">
        <f aca="false">IF(A105="YES",B89*B57,0)</f>
        <v>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8006.16584901407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889.573983223786</v>
      </c>
      <c r="B180" s="42" t="n">
        <f aca="false">IF(A105="YES",B89,0)</f>
        <v>0</v>
      </c>
      <c r="C180" s="199"/>
      <c r="D180" s="42" t="n">
        <f aca="false">B91</f>
        <v>889.573983223786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26.9316</v>
      </c>
      <c r="B183" s="309" t="n">
        <f aca="false">G18*0.000002*1.2*100</f>
        <v>8.9772</v>
      </c>
      <c r="C183" s="310"/>
      <c r="D183" s="309" t="n">
        <f aca="false">A183+B183</f>
        <v>35.9088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0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470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1501.5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280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1531.5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1501.5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1531.5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74.8289751560164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17875</v>
      </c>
      <c r="C9" s="14" t="n">
        <f aca="false">B9*0.2</f>
        <v>3575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21450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1501.5</v>
      </c>
      <c r="C64" s="199" t="n">
        <v>10000</v>
      </c>
      <c r="D64" s="36" t="n">
        <f aca="false">B64</f>
        <v>1501.5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2821.38235294118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235.115196078431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8833.38235294118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74.8289751560164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8908.21132809719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12375.1073941105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60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742.350944008099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1031.25894950921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802.350944008099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1103.25894950921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20</v>
      </c>
      <c r="C105" s="284"/>
      <c r="D105" s="109" t="s">
        <v>364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742.350944008099</v>
      </c>
      <c r="B128" s="290" t="n">
        <f aca="false">IF(A105="YES",B89,0)</f>
        <v>60</v>
      </c>
      <c r="C128" s="295"/>
      <c r="D128" s="290" t="n">
        <f aca="false">B91</f>
        <v>802.350944008099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1031.25894950921</v>
      </c>
      <c r="H130" s="166" t="n">
        <f aca="false">IF(G105="YES",H89*H57,0)</f>
        <v>72</v>
      </c>
      <c r="I130" s="166"/>
      <c r="J130" s="301" t="n">
        <f aca="false">H91</f>
        <v>1103.25894950921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6681.1584960729</v>
      </c>
      <c r="C131" s="199"/>
      <c r="D131" s="42" t="n">
        <f aca="false">IF(A105="YES",B89*B57,0)</f>
        <v>540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1031.25894950921</v>
      </c>
      <c r="H133" s="42" t="n">
        <f aca="false">IF(G105="YES",H89*H57,0)</f>
        <v>72</v>
      </c>
      <c r="I133" s="205"/>
      <c r="J133" s="170" t="n">
        <f aca="false">H91*H57</f>
        <v>1103.25894950921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7221.1584960729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742.350944008099</v>
      </c>
      <c r="B137" s="42" t="n">
        <f aca="false">IF(A105="YES",B89,0)</f>
        <v>60</v>
      </c>
      <c r="C137" s="199"/>
      <c r="D137" s="42" t="n">
        <f aca="false">B91</f>
        <v>802.350944008099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22.443</v>
      </c>
      <c r="B140" s="309" t="n">
        <f aca="false">G18*0.000002*100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1414.213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1103.25894950921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802.350944008099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742.350944008099</v>
      </c>
      <c r="B171" s="290" t="n">
        <f aca="false">IF(A105="YES",B89,0)</f>
        <v>60</v>
      </c>
      <c r="C171" s="295"/>
      <c r="D171" s="290" t="n">
        <f aca="false">B91</f>
        <v>802.350944008099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6681.1584960729</v>
      </c>
      <c r="C174" s="199"/>
      <c r="D174" s="42" t="n">
        <f aca="false">IF(A105="YES",B89*B57,0)</f>
        <v>540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7221.1584960729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742.350944008099</v>
      </c>
      <c r="B180" s="42" t="n">
        <f aca="false">IF(A105="YES",B89,0)</f>
        <v>60</v>
      </c>
      <c r="C180" s="199"/>
      <c r="D180" s="42" t="n">
        <f aca="false">B91</f>
        <v>802.350944008099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22.443</v>
      </c>
      <c r="B183" s="309" t="n">
        <f aca="false">G18*0.000002*100</f>
        <v>7.481</v>
      </c>
      <c r="C183" s="310"/>
      <c r="D183" s="309" t="n">
        <f aca="false">A183+B183</f>
        <v>29.924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1501.5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1651.5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1501.5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1651.5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74.8289751560164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78" activeCellId="0" sqref="B78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17875</v>
      </c>
      <c r="C2" s="9" t="s">
        <v>16</v>
      </c>
      <c r="D2" s="10" t="n">
        <f aca="false">C9</f>
        <v>3575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21450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3575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17875</v>
      </c>
      <c r="C15" s="14" t="n">
        <f aca="false">SUM(C9:C13)</f>
        <v>3575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21450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0.0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36</v>
      </c>
      <c r="B33" s="214" t="n">
        <v>10000</v>
      </c>
      <c r="C33" s="215"/>
      <c r="D33" s="367" t="n">
        <f aca="false">H48</f>
        <v>186.952737254959</v>
      </c>
      <c r="E33" s="200"/>
      <c r="F33" s="67"/>
      <c r="G33" s="203" t="s">
        <v>368</v>
      </c>
      <c r="H33" s="52" t="n">
        <f aca="false">E21-E11</f>
        <v>17875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136.952737254959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17875</v>
      </c>
      <c r="I39" s="7" t="n">
        <f aca="false">(I48*H46)+H44</f>
        <v>57161.3120530432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6000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-39286.3120530432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13439.5850433384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100.0</v>
      </c>
      <c r="B45" s="199"/>
      <c r="C45" s="371" t="n">
        <v>100.0</v>
      </c>
      <c r="D45" s="371"/>
      <c r="E45" s="200"/>
      <c r="F45" s="67"/>
      <c r="G45" s="67" t="s">
        <v>386</v>
      </c>
      <c r="H45" s="7" t="n">
        <f aca="false">(H39-H44)</f>
        <v>4435.41495666158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32.3864644516332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136.952737254959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186.952737254959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10000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36</v>
      </c>
      <c r="B52" s="78" t="n">
        <f aca="false">H48</f>
        <v>186.952737254959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35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35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35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21450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10000</v>
      </c>
      <c r="C64" s="373" t="n">
        <v>10000.0</v>
      </c>
      <c r="D64" s="36" t="n">
        <f aca="false">B64</f>
        <v>10000</v>
      </c>
      <c r="E64" s="374" t="n">
        <f aca="false">D64/(B58+B57)</f>
        <v>277.777777777778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0.02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0.02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162</v>
      </c>
      <c r="C73" s="199"/>
      <c r="D73" s="380" t="n">
        <f aca="false">B73+B71</f>
        <v>322</v>
      </c>
      <c r="E73" s="200" t="s">
        <v>241</v>
      </c>
      <c r="F73" s="67"/>
      <c r="G73" s="262" t="s">
        <v>113</v>
      </c>
      <c r="H73" s="69" t="n">
        <f aca="false">H72*H29</f>
        <v>162</v>
      </c>
      <c r="I73" s="199"/>
      <c r="J73" s="36" t="n">
        <f aca="false">H73+H71</f>
        <v>322</v>
      </c>
      <c r="K73" s="200"/>
      <c r="L73" s="67"/>
      <c r="M73" s="262" t="s">
        <v>113</v>
      </c>
      <c r="N73" s="69" t="n">
        <f aca="false">N72*H29</f>
        <v>162</v>
      </c>
      <c r="O73" s="199"/>
      <c r="P73" s="36" t="n">
        <f aca="false">N73+N71</f>
        <v>322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343.75</v>
      </c>
      <c r="I76" s="199"/>
      <c r="J76" s="36" t="n">
        <f aca="false">H76</f>
        <v>343.75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4" t="n">
        <f aca="false">D77/(B58+B57)</f>
        <v>13.0718954248366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4" t="n">
        <f aca="false">(D73+D76+D79+D80)/(B58+B57)</f>
        <v>20.0555555555556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11427.8823529412</v>
      </c>
      <c r="C81" s="310"/>
      <c r="D81" s="381"/>
      <c r="E81" s="374"/>
      <c r="F81" s="67"/>
      <c r="G81" s="276" t="s">
        <v>116</v>
      </c>
      <c r="H81" s="277" t="n">
        <f aca="false">SUM(J64:J80)</f>
        <v>1065.75</v>
      </c>
      <c r="I81" s="199"/>
      <c r="J81" s="199"/>
      <c r="K81" s="200"/>
      <c r="L81" s="67"/>
      <c r="M81" s="276" t="s">
        <v>116</v>
      </c>
      <c r="N81" s="277" t="n">
        <f aca="false">SUM(P64:P80)</f>
        <v>722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317.441176470588</v>
      </c>
      <c r="C82" s="310"/>
      <c r="D82" s="199"/>
      <c r="E82" s="374"/>
      <c r="F82" s="67"/>
      <c r="G82" s="198" t="s">
        <v>117</v>
      </c>
      <c r="H82" s="37" t="n">
        <f aca="false">H81/H29</f>
        <v>29.6041666666667</v>
      </c>
      <c r="I82" s="199"/>
      <c r="J82" s="199"/>
      <c r="K82" s="200"/>
      <c r="L82" s="67"/>
      <c r="M82" s="198" t="s">
        <v>117</v>
      </c>
      <c r="N82" s="37" t="n">
        <f aca="false">N81/H29</f>
        <v>20.0555555555556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136.952737254959</v>
      </c>
      <c r="C83" s="310"/>
      <c r="D83" s="199"/>
      <c r="E83" s="374" t="n">
        <f aca="false">B83+E80+E77+E64</f>
        <v>447.857966013129</v>
      </c>
      <c r="F83" s="67"/>
      <c r="G83" s="278" t="s">
        <v>118</v>
      </c>
      <c r="H83" s="63" t="n">
        <f aca="false">H47</f>
        <v>136.952737254959</v>
      </c>
      <c r="I83" s="199"/>
      <c r="J83" s="199"/>
      <c r="K83" s="200"/>
      <c r="L83" s="67"/>
      <c r="M83" s="278" t="s">
        <v>118</v>
      </c>
      <c r="N83" s="63" t="n">
        <f aca="false">H47</f>
        <v>136.952737254959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16358.1808941197</v>
      </c>
      <c r="C85" s="310"/>
      <c r="D85" s="310"/>
      <c r="E85" s="374" t="n">
        <f aca="false">B85/(B58+B57)</f>
        <v>454.393913725547</v>
      </c>
      <c r="F85" s="67"/>
      <c r="G85" s="265" t="s">
        <v>128</v>
      </c>
      <c r="H85" s="31" t="n">
        <f aca="false">((H83*H29)+H81)*1.2</f>
        <v>7195.25824941422</v>
      </c>
      <c r="I85" s="199"/>
      <c r="J85" s="199"/>
      <c r="K85" s="200"/>
      <c r="L85" s="67"/>
      <c r="M85" s="265" t="s">
        <v>128</v>
      </c>
      <c r="N85" s="31" t="n">
        <f aca="false">((N83*H29)+N81)</f>
        <v>5652.29854117852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138.572730446355</v>
      </c>
      <c r="C86" s="310" t="s">
        <v>244</v>
      </c>
      <c r="D86" s="199"/>
      <c r="E86" s="374" t="n">
        <f aca="false">B86/(B58+B57)</f>
        <v>3.84924251239874</v>
      </c>
      <c r="F86" s="67"/>
      <c r="G86" s="198" t="s">
        <v>129</v>
      </c>
      <c r="H86" s="37" t="n">
        <f aca="false">((((H83*H29)+H81))/(1-H70))*H70</f>
        <v>50.7934729184142</v>
      </c>
      <c r="I86" s="199"/>
      <c r="J86" s="199"/>
      <c r="K86" s="200"/>
      <c r="L86" s="67"/>
      <c r="M86" s="198" t="s">
        <v>129</v>
      </c>
      <c r="N86" s="37" t="n">
        <f aca="false">(N85/(1-N70))*N70</f>
        <v>47.8815124504836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16496.7536245661</v>
      </c>
      <c r="C87" s="310"/>
      <c r="D87" s="382"/>
      <c r="E87" s="374" t="n">
        <f aca="false">E86+E85</f>
        <v>458.243156237946</v>
      </c>
      <c r="F87" s="67"/>
      <c r="G87" s="262" t="s">
        <v>130</v>
      </c>
      <c r="H87" s="69" t="n">
        <f aca="false">IF(H110="YES",((H85+H86)-K114),(H85+H86))</f>
        <v>7246.05172233263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5700.180053629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65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210.731707317073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175.609756097561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458.243156237946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176.732968837381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139.028781795829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523.243156237946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387.464676154455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314.63853789339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200.0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1000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36</v>
      </c>
      <c r="C125" s="294"/>
      <c r="D125" s="293" t="n">
        <f aca="false">B160</f>
        <v>10000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176.732968837381</v>
      </c>
      <c r="H127" s="166" t="n">
        <f aca="false">IF(G105="YES",H89*H57,0)</f>
        <v>1264.39024390244</v>
      </c>
      <c r="I127" s="166"/>
      <c r="J127" s="301" t="n">
        <f aca="false">H91</f>
        <v>387.464676154455</v>
      </c>
      <c r="K127" s="200"/>
      <c r="L127" s="67"/>
      <c r="M127" s="300" t="n">
        <f aca="false">N90</f>
        <v>139.028781795829</v>
      </c>
      <c r="N127" s="166" t="n">
        <f aca="false">IF(M105="YES",N89*N57,0)</f>
        <v>1053.65853658537</v>
      </c>
      <c r="O127" s="166"/>
      <c r="P127" s="166" t="n">
        <f aca="false">N91</f>
        <v>314.63853789339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458.243156237946</v>
      </c>
      <c r="B128" s="290" t="n">
        <f aca="false">IF(A105="YES",B89,0)</f>
        <v>65</v>
      </c>
      <c r="C128" s="294"/>
      <c r="D128" s="290" t="n">
        <f aca="false">B91</f>
        <v>523.243156237946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36</v>
      </c>
      <c r="H130" s="214" t="n">
        <f aca="false">B151</f>
        <v>0</v>
      </c>
      <c r="I130" s="215"/>
      <c r="J130" s="214" t="n">
        <f aca="false">B58</f>
        <v>35</v>
      </c>
      <c r="K130" s="200"/>
      <c r="L130" s="67"/>
      <c r="M130" s="213" t="n">
        <f aca="false">M155</f>
        <v>36</v>
      </c>
      <c r="N130" s="214" t="n">
        <f aca="false">B151</f>
        <v>0</v>
      </c>
      <c r="O130" s="215"/>
      <c r="P130" s="214" t="n">
        <f aca="false">B58</f>
        <v>35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458.243156237946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1060.39781302429</v>
      </c>
      <c r="H133" s="42" t="n">
        <f aca="false">IF(G105="YES",H89*H57,0)</f>
        <v>1264.39024390244</v>
      </c>
      <c r="I133" s="205"/>
      <c r="J133" s="170" t="n">
        <f aca="false">H91*H57</f>
        <v>2324.78805692673</v>
      </c>
      <c r="K133" s="200"/>
      <c r="L133" s="67"/>
      <c r="M133" s="171" t="n">
        <f aca="false">N90*N57</f>
        <v>834.172690774976</v>
      </c>
      <c r="N133" s="42" t="n">
        <f aca="false">IF(M105="YES",N89*N57,0)</f>
        <v>1053.65853658537</v>
      </c>
      <c r="O133" s="205"/>
      <c r="P133" s="170" t="n">
        <f aca="false">N91*N57</f>
        <v>1887.83122736034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523.243156237946</v>
      </c>
      <c r="B134" s="42" t="n">
        <f aca="false">E114</f>
        <v>0</v>
      </c>
      <c r="C134" s="199"/>
      <c r="D134" s="303" t="n">
        <f aca="false">B58</f>
        <v>35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458.243156237946</v>
      </c>
      <c r="B137" s="42" t="n">
        <f aca="false">IF(A105="YES",B89,0)</f>
        <v>65</v>
      </c>
      <c r="C137" s="199"/>
      <c r="D137" s="42" t="n">
        <f aca="false">B91</f>
        <v>523.243156237946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22.4424</v>
      </c>
      <c r="B140" s="309" t="n">
        <f aca="false">IF(A105="YES",B61*0.000002,0)*100</f>
        <v>7.4808</v>
      </c>
      <c r="C140" s="310"/>
      <c r="D140" s="309" t="n">
        <f aca="false">A140+B140</f>
        <v>29.9232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36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36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524</v>
      </c>
      <c r="E151" s="107"/>
      <c r="F151" s="67"/>
      <c r="G151" s="233"/>
      <c r="H151" s="235" t="n">
        <f aca="false">B51</f>
        <v>10000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36</v>
      </c>
      <c r="H152" s="78" t="n">
        <f aca="false">H91</f>
        <v>387.464676154455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10000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36</v>
      </c>
      <c r="N155" s="78" t="n">
        <f aca="false">N91</f>
        <v>314.63853789339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10000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36</v>
      </c>
      <c r="B161" s="78" t="n">
        <f aca="false">B91</f>
        <v>523.243156237946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36</v>
      </c>
      <c r="C174" s="294"/>
      <c r="D174" s="293" t="n">
        <f aca="false">D125</f>
        <v>10000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458.243156237946</v>
      </c>
      <c r="B177" s="290" t="n">
        <f aca="false">IF(A105="YES",B89,0)</f>
        <v>65</v>
      </c>
      <c r="C177" s="294"/>
      <c r="D177" s="290" t="n">
        <f aca="false">B91</f>
        <v>523.243156237946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458.243156237946</v>
      </c>
      <c r="C180" s="199"/>
      <c r="D180" s="42" t="n">
        <f aca="false">IF(A105="YES",B89*B57,0)</f>
        <v>65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523.243156237946</v>
      </c>
      <c r="B183" s="42" t="n">
        <f aca="false">E114</f>
        <v>0</v>
      </c>
      <c r="C183" s="199"/>
      <c r="D183" s="303" t="n">
        <f aca="false">B58</f>
        <v>35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458.243156237946</v>
      </c>
      <c r="B186" s="42" t="n">
        <f aca="false">IF(A105="YES",B89,0)</f>
        <v>65</v>
      </c>
      <c r="C186" s="199"/>
      <c r="D186" s="42" t="n">
        <f aca="false">B91</f>
        <v>523.243156237946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22.4424</v>
      </c>
      <c r="B189" s="309" t="n">
        <f aca="false">B140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54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524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10570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10570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540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322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138.572730446355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66666.66666666667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4000.0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7" t="n">
        <f aca="false">H48</f>
        <v>188.296509287446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138.296509287446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44563.5177821916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4000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-27063.5177821916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14411.1337327956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30.0</v>
      </c>
      <c r="B45" s="199"/>
      <c r="C45" s="371" t="n">
        <v>30.0</v>
      </c>
      <c r="D45" s="371"/>
      <c r="E45" s="200"/>
      <c r="F45" s="67"/>
      <c r="G45" s="67" t="s">
        <v>386</v>
      </c>
      <c r="H45" s="7" t="n">
        <f aca="false">(H39-H44)</f>
        <v>3088.86626720439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22.3350992958489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138.296509287446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188.296509287446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188.296509287446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3" t="n">
        <v>10000.0</v>
      </c>
      <c r="D64" s="36" t="n">
        <f aca="false">B64</f>
        <v>10000</v>
      </c>
      <c r="E64" s="374" t="n">
        <f aca="false">D64/(B58+B57)</f>
        <v>416.666666666667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0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375</v>
      </c>
      <c r="C76" s="199"/>
      <c r="D76" s="36" t="n">
        <f aca="false">B76</f>
        <v>375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4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4" t="n">
        <f aca="false">(D73+D76+D79+D80)/(B58+B57)</f>
        <v>43.4583333333333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11748.8823529412</v>
      </c>
      <c r="C81" s="310"/>
      <c r="D81" s="381"/>
      <c r="E81" s="374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489.536764705882</v>
      </c>
      <c r="C82" s="310"/>
      <c r="D82" s="199"/>
      <c r="E82" s="374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138.296509287446</v>
      </c>
      <c r="C83" s="310"/>
      <c r="D83" s="199"/>
      <c r="E83" s="374" t="n">
        <f aca="false">B83+E80+E77+E64</f>
        <v>618.029352424701</v>
      </c>
      <c r="F83" s="67"/>
      <c r="G83" s="278" t="s">
        <v>118</v>
      </c>
      <c r="H83" s="63" t="n">
        <f aca="false">H47</f>
        <v>138.296509287446</v>
      </c>
      <c r="I83" s="199"/>
      <c r="J83" s="199"/>
      <c r="K83" s="200"/>
      <c r="L83" s="67"/>
      <c r="M83" s="278" t="s">
        <v>118</v>
      </c>
      <c r="N83" s="63" t="n">
        <f aca="false">H47</f>
        <v>138.296509287446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18081.5982910079</v>
      </c>
      <c r="C85" s="310"/>
      <c r="D85" s="310"/>
      <c r="E85" s="374" t="n">
        <f aca="false">B85/(B58+B57)</f>
        <v>753.399928791994</v>
      </c>
      <c r="F85" s="67"/>
      <c r="G85" s="265" t="s">
        <v>128</v>
      </c>
      <c r="H85" s="31" t="n">
        <f aca="false">((H83*H29)+H81)*1.2</f>
        <v>4999.03946747844</v>
      </c>
      <c r="I85" s="199"/>
      <c r="J85" s="199"/>
      <c r="K85" s="200"/>
      <c r="L85" s="67"/>
      <c r="M85" s="265" t="s">
        <v>128</v>
      </c>
      <c r="N85" s="31" t="n">
        <f aca="false">((N83*H29)+N81)</f>
        <v>3987.1162228987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131.092157575709</v>
      </c>
      <c r="C86" s="310" t="s">
        <v>244</v>
      </c>
      <c r="D86" s="199"/>
      <c r="E86" s="374" t="n">
        <f aca="false">B86/(B58+B57)</f>
        <v>5.46217323232123</v>
      </c>
      <c r="F86" s="67"/>
      <c r="G86" s="198" t="s">
        <v>129</v>
      </c>
      <c r="H86" s="37" t="n">
        <f aca="false">((((H83*H29)+H81))/(1-H70))*H70</f>
        <v>35.2897098349628</v>
      </c>
      <c r="I86" s="199"/>
      <c r="J86" s="199"/>
      <c r="K86" s="200"/>
      <c r="L86" s="67"/>
      <c r="M86" s="198" t="s">
        <v>129</v>
      </c>
      <c r="N86" s="37" t="n">
        <f aca="false">(N85/(1-N70))*N70</f>
        <v>33.7754903916389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18212.6904485836</v>
      </c>
      <c r="C87" s="310"/>
      <c r="D87" s="382"/>
      <c r="E87" s="374" t="n">
        <f aca="false">E86+E85</f>
        <v>758.862102024315</v>
      </c>
      <c r="F87" s="67"/>
      <c r="G87" s="262" t="s">
        <v>130</v>
      </c>
      <c r="H87" s="69" t="n">
        <f aca="false">IF(H110="YES",((H85+H86)-K114),(H85+H86))</f>
        <v>5034.3291773134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4020.89171329034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78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198.620689655172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165.51724137931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758.862102024315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173.597557838393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138.651438389322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836.862102024315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372.218247493566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304.168679768632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1000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173.597557838393</v>
      </c>
      <c r="H127" s="166" t="n">
        <f aca="false">IF(G105="YES",H89*H57,0)</f>
        <v>1191.72413793103</v>
      </c>
      <c r="I127" s="166"/>
      <c r="J127" s="301" t="n">
        <f aca="false">H91</f>
        <v>372.218247493566</v>
      </c>
      <c r="K127" s="200"/>
      <c r="L127" s="67"/>
      <c r="M127" s="300" t="n">
        <f aca="false">N90</f>
        <v>138.651438389322</v>
      </c>
      <c r="N127" s="166" t="n">
        <f aca="false">IF(M105="YES",N89*N57,0)</f>
        <v>993.103448275862</v>
      </c>
      <c r="O127" s="166"/>
      <c r="P127" s="166" t="n">
        <f aca="false">N91</f>
        <v>304.168679768632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758.862102024315</v>
      </c>
      <c r="B128" s="290" t="n">
        <f aca="false">IF(A105="YES",B89,0)</f>
        <v>78</v>
      </c>
      <c r="C128" s="294"/>
      <c r="D128" s="290" t="n">
        <f aca="false">B91</f>
        <v>836.862102024315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214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214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758.862102024315</v>
      </c>
      <c r="C131" s="199"/>
      <c r="D131" s="42" t="n">
        <f aca="false">IF(A105="YES",B89*B57,0)</f>
        <v>78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1041.58534703036</v>
      </c>
      <c r="H133" s="42" t="n">
        <f aca="false">IF(G105="YES",H89*H57,0)</f>
        <v>1191.72413793103</v>
      </c>
      <c r="I133" s="205"/>
      <c r="J133" s="170" t="n">
        <f aca="false">H91*H57</f>
        <v>2233.30948496139</v>
      </c>
      <c r="K133" s="200"/>
      <c r="L133" s="67"/>
      <c r="M133" s="171" t="n">
        <f aca="false">N90*N57</f>
        <v>831.908630335932</v>
      </c>
      <c r="N133" s="42" t="n">
        <f aca="false">IF(M105="YES",N89*N57,0)</f>
        <v>993.103448275862</v>
      </c>
      <c r="O133" s="205"/>
      <c r="P133" s="170" t="n">
        <f aca="false">N91*N57</f>
        <v>1825.01207861179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836.862102024315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758.862102024315</v>
      </c>
      <c r="B137" s="42" t="n">
        <f aca="false">IF(A105="YES",B89,0)</f>
        <v>78</v>
      </c>
      <c r="C137" s="199"/>
      <c r="D137" s="42" t="n">
        <f aca="false">B91</f>
        <v>836.862102024315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26.93088</v>
      </c>
      <c r="B140" s="309" t="n">
        <f aca="false">IF(A105="YES",B61*0.000002,0)*1.2*100</f>
        <v>8.97696</v>
      </c>
      <c r="C140" s="310"/>
      <c r="D140" s="309" t="n">
        <f aca="false">A140+B140</f>
        <v>35.90784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506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372.218247493566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304.168679768632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836.862102024315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758.862102024315</v>
      </c>
      <c r="B177" s="290" t="n">
        <f aca="false">IF(A105="YES",B89,0)</f>
        <v>78</v>
      </c>
      <c r="C177" s="294"/>
      <c r="D177" s="290" t="n">
        <f aca="false">B91</f>
        <v>836.862102024315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758.862102024315</v>
      </c>
      <c r="C180" s="199"/>
      <c r="D180" s="42" t="n">
        <f aca="false">IF(A105="YES",B89*B57,0)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836.862102024315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758.862102024315</v>
      </c>
      <c r="B186" s="42" t="n">
        <f aca="false">IF(A105="YES",B89,0)</f>
        <v>78</v>
      </c>
      <c r="C186" s="199"/>
      <c r="D186" s="42" t="n">
        <f aca="false">B91</f>
        <v>836.862102024315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26.93088</v>
      </c>
      <c r="B189" s="309" t="n">
        <f aca="false">B140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506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10390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10390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131.092157575709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11" colorId="64" zoomScale="75" zoomScaleNormal="75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3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17500.0</v>
      </c>
      <c r="C9" s="14" t="n">
        <f aca="false">B9*0.2</f>
        <v>3500</v>
      </c>
      <c r="D9" s="249"/>
      <c r="E9" s="249"/>
      <c r="F9" s="67"/>
      <c r="G9" s="362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2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0.0</v>
      </c>
      <c r="C11" s="19" t="n">
        <f aca="false">B11*0.2</f>
        <v>0</v>
      </c>
      <c r="D11" s="249"/>
      <c r="E11" s="249"/>
      <c r="F11" s="67"/>
      <c r="G11" s="362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0.0</v>
      </c>
      <c r="C13" s="14"/>
      <c r="D13" s="249"/>
      <c r="E13" s="249"/>
      <c r="F13" s="67"/>
      <c r="G13" s="362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4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7" t="n">
        <f aca="false">H48</f>
        <v>803.503627306203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803.503627306203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30491.4616031515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-12991.4616031514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100.0</v>
      </c>
      <c r="B45" s="199"/>
      <c r="C45" s="371" t="n">
        <v>100.0</v>
      </c>
      <c r="D45" s="371"/>
      <c r="E45" s="200"/>
      <c r="F45" s="67"/>
      <c r="G45" s="67" t="s">
        <v>386</v>
      </c>
      <c r="H45" s="7" t="n">
        <f aca="false">(H39-H44)</f>
        <v>17500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803.503627306203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803.503627306203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803.503627306203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37405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1837.5</v>
      </c>
      <c r="C64" s="373" t="n">
        <v>10000.0</v>
      </c>
      <c r="D64" s="36" t="n">
        <f aca="false">B64</f>
        <v>1837.5</v>
      </c>
      <c r="E64" s="374" t="n">
        <f aca="false">D64/(B58+B57)</f>
        <v>76.5625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0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375</v>
      </c>
      <c r="C76" s="199"/>
      <c r="D76" s="36" t="n">
        <f aca="false">B76</f>
        <v>375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235.294117647059</v>
      </c>
      <c r="C77" s="310"/>
      <c r="D77" s="36" t="n">
        <f aca="false">B77</f>
        <v>235.294117647059</v>
      </c>
      <c r="E77" s="374" t="n">
        <f aca="false">D77/(B58+B57)</f>
        <v>9.80392156862745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4" t="n">
        <f aca="false">(D73+D76+D79+D80)/(B58+B57)</f>
        <v>43.4583333333333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3351.08823529412</v>
      </c>
      <c r="C81" s="310"/>
      <c r="D81" s="381"/>
      <c r="E81" s="374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139.628676470588</v>
      </c>
      <c r="C82" s="310"/>
      <c r="D82" s="199"/>
      <c r="E82" s="374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803.503627306203</v>
      </c>
      <c r="C83" s="310"/>
      <c r="D83" s="199"/>
      <c r="E83" s="374" t="n">
        <f aca="false">B83+E80+E77+E64</f>
        <v>933.328382208164</v>
      </c>
      <c r="F83" s="67"/>
      <c r="G83" s="278" t="s">
        <v>118</v>
      </c>
      <c r="H83" s="63" t="n">
        <f aca="false">H47</f>
        <v>803.503627306203</v>
      </c>
      <c r="I83" s="199"/>
      <c r="J83" s="199"/>
      <c r="K83" s="200"/>
      <c r="L83" s="67"/>
      <c r="M83" s="278" t="s">
        <v>118</v>
      </c>
      <c r="N83" s="63" t="n">
        <f aca="false">H47</f>
        <v>803.503627306203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22635.175290643</v>
      </c>
      <c r="C85" s="310"/>
      <c r="D85" s="310"/>
      <c r="E85" s="374" t="n">
        <f aca="false">B85/(B58+B57)</f>
        <v>943.132303776791</v>
      </c>
      <c r="F85" s="67"/>
      <c r="G85" s="265" t="s">
        <v>128</v>
      </c>
      <c r="H85" s="31" t="n">
        <f aca="false">((H83*H29)+H81)*1.2</f>
        <v>24157.0044664186</v>
      </c>
      <c r="I85" s="199"/>
      <c r="J85" s="199"/>
      <c r="K85" s="200"/>
      <c r="L85" s="67"/>
      <c r="M85" s="265" t="s">
        <v>128</v>
      </c>
      <c r="N85" s="31" t="n">
        <f aca="false">((N83*H29)+N81)</f>
        <v>19952.0870553489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196.926881232425</v>
      </c>
      <c r="C86" s="310" t="s">
        <v>244</v>
      </c>
      <c r="D86" s="199"/>
      <c r="E86" s="374" t="n">
        <f aca="false">B86/(B58+B57)</f>
        <v>8.20528671801773</v>
      </c>
      <c r="F86" s="67"/>
      <c r="G86" s="198" t="s">
        <v>129</v>
      </c>
      <c r="H86" s="37" t="n">
        <f aca="false">((((H83*H29)+H81))/(1-H70))*H70</f>
        <v>170.531495829902</v>
      </c>
      <c r="I86" s="199"/>
      <c r="J86" s="199"/>
      <c r="K86" s="200"/>
      <c r="L86" s="67"/>
      <c r="M86" s="198" t="s">
        <v>129</v>
      </c>
      <c r="N86" s="37" t="n">
        <f aca="false">(N85/(1-N70))*N70</f>
        <v>169.017276386578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22832.1021718754</v>
      </c>
      <c r="C87" s="310"/>
      <c r="D87" s="382"/>
      <c r="E87" s="374" t="n">
        <f aca="false">E86+E85</f>
        <v>951.337590494809</v>
      </c>
      <c r="F87" s="67"/>
      <c r="G87" s="262" t="s">
        <v>130</v>
      </c>
      <c r="H87" s="69" t="n">
        <f aca="false">IF(H110="YES",((H85+H86)-K114),(H85+H86))</f>
        <v>24327.5359622486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20121.1043317355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951.337590494809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838.880550422364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693.831183852947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951.337590494809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838.880550422364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693.831183852947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838.880550422364</v>
      </c>
      <c r="H127" s="166" t="n">
        <f aca="false">IF(G105="YES",H89*H57,0)</f>
        <v>0</v>
      </c>
      <c r="I127" s="166"/>
      <c r="J127" s="301" t="n">
        <f aca="false">H91</f>
        <v>838.880550422364</v>
      </c>
      <c r="K127" s="200"/>
      <c r="L127" s="67"/>
      <c r="M127" s="300" t="n">
        <f aca="false">N90</f>
        <v>693.831183852947</v>
      </c>
      <c r="N127" s="166" t="n">
        <f aca="false">IF(M105="YES",N89*N57,0)</f>
        <v>0</v>
      </c>
      <c r="O127" s="166"/>
      <c r="P127" s="166" t="n">
        <f aca="false">N91</f>
        <v>693.831183852947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951.337590494809</v>
      </c>
      <c r="B128" s="290" t="n">
        <f aca="false">IF(A105="YES",B89,0)</f>
        <v>0</v>
      </c>
      <c r="C128" s="294"/>
      <c r="D128" s="290" t="n">
        <f aca="false">B91</f>
        <v>951.337590494809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214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214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951.337590494809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5033.28330253418</v>
      </c>
      <c r="H133" s="42" t="n">
        <f aca="false">IF(G105="YES",H89*H57,0)</f>
        <v>0</v>
      </c>
      <c r="I133" s="205"/>
      <c r="J133" s="170" t="n">
        <f aca="false">H91*H57</f>
        <v>5033.28330253418</v>
      </c>
      <c r="K133" s="200"/>
      <c r="L133" s="67"/>
      <c r="M133" s="171" t="n">
        <f aca="false">N90*N57</f>
        <v>4162.98710311768</v>
      </c>
      <c r="N133" s="42" t="n">
        <f aca="false">IF(M105="YES",N89*N57,0)</f>
        <v>0</v>
      </c>
      <c r="O133" s="205"/>
      <c r="P133" s="170" t="n">
        <f aca="false">N91*N57</f>
        <v>4162.98710311768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951.337590494809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951.337590494809</v>
      </c>
      <c r="B137" s="42" t="n">
        <f aca="false">IF(A105="YES",B89,0)</f>
        <v>0</v>
      </c>
      <c r="C137" s="199"/>
      <c r="D137" s="42" t="n">
        <f aca="false">B91</f>
        <v>951.337590494809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22.443</v>
      </c>
      <c r="B140" s="309" t="n">
        <f aca="false">IF(A105="YES",B61*0.000002,0)*100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200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200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270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838.880550422364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693.831183852947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951.337590494809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951.337590494809</v>
      </c>
      <c r="B177" s="290" t="n">
        <f aca="false">IF(A105="YES",B89,0)</f>
        <v>0</v>
      </c>
      <c r="C177" s="294"/>
      <c r="D177" s="290" t="n">
        <f aca="false">B91</f>
        <v>951.337590494809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951.337590494809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951.337590494809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951.337590494809</v>
      </c>
      <c r="B186" s="42" t="n">
        <f aca="false">IF(A105="YES",B89,0)</f>
        <v>0</v>
      </c>
      <c r="C186" s="199"/>
      <c r="D186" s="42" t="n">
        <f aca="false">B91</f>
        <v>951.337590494809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22.443</v>
      </c>
      <c r="B189" s="309" t="n">
        <f aca="false">B140</f>
        <v>7.481</v>
      </c>
      <c r="C189" s="310"/>
      <c r="D189" s="309" t="n">
        <f aca="false">A189+B189</f>
        <v>29.924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200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200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1837.5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250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1837.5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1837.5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30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1837.5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196.926881232425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415</v>
      </c>
      <c r="B38" s="224" t="n">
        <f aca="false">A32-1</f>
        <v>11</v>
      </c>
      <c r="C38" s="224"/>
      <c r="D38" s="106" t="s">
        <v>416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417</v>
      </c>
      <c r="B41" s="106" t="s">
        <v>418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0.0</v>
      </c>
      <c r="B44" s="106" t="s">
        <v>419</v>
      </c>
      <c r="C44" s="106"/>
      <c r="D44" s="106" t="n">
        <v>0.0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-137.96939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-135.302723333333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H49</f>
        <v>-135.302723333333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-135.302723333333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4141.65927152941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4171.68643180087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347.640535983406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347.640535983406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0.0</v>
      </c>
      <c r="C111" s="284"/>
      <c r="D111" s="109" t="s">
        <v>407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347.640535983406</v>
      </c>
      <c r="B134" s="290" t="n">
        <f aca="false">IF(A111="YES",B95,0)</f>
        <v>0</v>
      </c>
      <c r="C134" s="294"/>
      <c r="D134" s="290" t="n">
        <f aca="false">B97</f>
        <v>347.640535983406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3128.76482385065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3128.76482385065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347.640535983406</v>
      </c>
      <c r="B143" s="42" t="n">
        <f aca="false">IF(A111="YES",B95,0)</f>
        <v>0</v>
      </c>
      <c r="C143" s="199"/>
      <c r="D143" s="42" t="n">
        <f aca="false">B97</f>
        <v>347.640535983406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8655.63268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347.640535983406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347.640535983406</v>
      </c>
      <c r="B177" s="290" t="n">
        <f aca="false">IF(A111="YES",B95,0)</f>
        <v>0</v>
      </c>
      <c r="C177" s="294"/>
      <c r="D177" s="290" t="n">
        <f aca="false">A177+B177</f>
        <v>347.640535983406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3128.76482385065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3128.76482385065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347.640535983406</v>
      </c>
      <c r="B186" s="42" t="n">
        <f aca="false">IF(A111="YES",B95,0)</f>
        <v>0</v>
      </c>
      <c r="C186" s="199"/>
      <c r="D186" s="42" t="n">
        <f aca="false">B97</f>
        <v>347.640535983406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3739.29972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3739.29972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45792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415</v>
      </c>
      <c r="B38" s="224" t="n">
        <f aca="false">A32-1</f>
        <v>11</v>
      </c>
      <c r="C38" s="224"/>
      <c r="D38" s="106" t="s">
        <v>416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417</v>
      </c>
      <c r="B41" s="106" t="s">
        <v>418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413</v>
      </c>
      <c r="B44" s="106" t="s">
        <v>419</v>
      </c>
      <c r="C44" s="106"/>
      <c r="D44" s="106" t="s">
        <v>419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-87.9693900000001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-85.3027233333334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H49</f>
        <v>-85.3027233333334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3451.38272627451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3481.40988654597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290.117490545497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350.117490545497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4" t="n">
        <v>30.0</v>
      </c>
      <c r="C111" s="284"/>
      <c r="D111" s="109" t="s">
        <v>407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290.117490545497</v>
      </c>
      <c r="B134" s="290" t="n">
        <f aca="false">IF(A111="YES",B95,0)</f>
        <v>60</v>
      </c>
      <c r="C134" s="295"/>
      <c r="D134" s="290" t="n">
        <f aca="false">B97</f>
        <v>350.117490545497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2611.05741490948</v>
      </c>
      <c r="C137" s="199"/>
      <c r="D137" s="42" t="n">
        <f aca="false">IF(A111="YES",B95*B63,0)</f>
        <v>540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3151.05741490948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290.117490545497</v>
      </c>
      <c r="B143" s="42" t="n">
        <f aca="false">IF(A111="YES",B95,0)</f>
        <v>60</v>
      </c>
      <c r="C143" s="199"/>
      <c r="D143" s="42" t="n">
        <f aca="false">B97</f>
        <v>350.117490545497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8655.63268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350.117490545497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290.117490545497</v>
      </c>
      <c r="B177" s="290" t="n">
        <f aca="false">IF(A111="YES",B95,0)</f>
        <v>60</v>
      </c>
      <c r="C177" s="295"/>
      <c r="D177" s="290" t="n">
        <f aca="false">B91</f>
        <v>3451.38272627451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2611.05741490948</v>
      </c>
      <c r="C180" s="199"/>
      <c r="D180" s="42" t="n">
        <f aca="false">IF(A111="YES",B95*B63,0)</f>
        <v>540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3151.05741490948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290.117490545497</v>
      </c>
      <c r="B186" s="42" t="n">
        <f aca="false">IF(A111="YES",B95,0)</f>
        <v>60</v>
      </c>
      <c r="C186" s="199"/>
      <c r="D186" s="42" t="n">
        <f aca="false">B97</f>
        <v>350.117490545497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400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3859.29972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3859.29972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5" colorId="64" zoomScale="75" zoomScaleNormal="75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/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7" t="n">
        <v>2.0</v>
      </c>
      <c r="C4" s="397"/>
      <c r="D4" s="398" t="n">
        <v>0.0</v>
      </c>
      <c r="E4" s="398"/>
      <c r="F4" s="398" t="n">
        <v>0.0</v>
      </c>
      <c r="G4" s="398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/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/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/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426</v>
      </c>
      <c r="B34" s="36"/>
      <c r="C34" s="45" t="s">
        <v>423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0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415</v>
      </c>
      <c r="B40" s="36"/>
      <c r="C40" s="58" t="n">
        <f aca="false">A34-1</f>
        <v>32</v>
      </c>
      <c r="D40" s="58"/>
      <c r="E40" s="36"/>
      <c r="F40" s="45" t="s">
        <v>416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427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55542.1417972885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49348.1539063191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49348.1539063191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4379.85325924619</v>
      </c>
      <c r="C95" s="36"/>
      <c r="D95" s="36"/>
      <c r="E95" s="27"/>
      <c r="F95" s="35" t="s">
        <v>124</v>
      </c>
      <c r="G95" s="37" t="n">
        <f aca="false">(G91/((1+G93)^(G94+1)))</f>
        <v>5020.31079273805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27.4464895133803</v>
      </c>
      <c r="C96" s="36"/>
      <c r="D96" s="36"/>
      <c r="E96" s="27"/>
      <c r="F96" s="35" t="s">
        <v>125</v>
      </c>
      <c r="G96" s="37" t="n">
        <f aca="false">((1-(1/((1+G93)^G94)))/G93)</f>
        <v>29.3075648349114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27.1467145183313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1736.06693116526</v>
      </c>
      <c r="C98" s="36"/>
      <c r="D98" s="36"/>
      <c r="E98" s="27"/>
      <c r="F98" s="35" t="s">
        <v>127</v>
      </c>
      <c r="G98" s="37" t="n">
        <f aca="false">(G97/G96)</f>
        <v>1603.97104133555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1542.50480957247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1542.50480957247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55554.1417972885</v>
      </c>
      <c r="C99" s="36"/>
      <c r="D99" s="36"/>
      <c r="E99" s="27"/>
      <c r="F99" s="35" t="s">
        <v>128</v>
      </c>
      <c r="G99" s="37" t="n">
        <f aca="false">((G98*(G94))+G86)</f>
        <v>51327.0733227375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49360.1539063191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49360.1539063191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55554.1417972885</v>
      </c>
      <c r="C101" s="36"/>
      <c r="D101" s="36"/>
      <c r="E101" s="27"/>
      <c r="F101" s="60" t="s">
        <v>130</v>
      </c>
      <c r="G101" s="69" t="n">
        <f aca="false">(G99+G100)</f>
        <v>51327.0733227375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49360.1539063191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49360.1539063191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1736.06693116526</v>
      </c>
      <c r="C104" s="36"/>
      <c r="D104" s="36"/>
      <c r="E104" s="27"/>
      <c r="F104" s="97" t="s">
        <v>132</v>
      </c>
      <c r="G104" s="98" t="n">
        <f aca="false">G101/(G94)</f>
        <v>1603.97104133555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1542.50480957247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1542.50480957247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1736.06693116526</v>
      </c>
      <c r="C105" s="36"/>
      <c r="D105" s="36"/>
      <c r="E105" s="27" t="s">
        <v>31</v>
      </c>
      <c r="F105" s="99" t="s">
        <v>133</v>
      </c>
      <c r="G105" s="100" t="n">
        <f aca="false">G103+G104</f>
        <v>1603.97104133555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1542.50480957247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1542.50480957247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/>
      <c r="C114" s="105"/>
      <c r="D114" s="105"/>
      <c r="E114" s="106" t="s">
        <v>403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406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401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1736.06693116526</v>
      </c>
      <c r="B176" s="166" t="n">
        <f aca="false">B103</f>
        <v>0</v>
      </c>
      <c r="C176" s="164"/>
      <c r="D176" s="164"/>
      <c r="E176" s="166" t="n">
        <f aca="false">B105</f>
        <v>1736.06693116526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1542.50480957247</v>
      </c>
      <c r="T176" s="166" t="n">
        <f aca="false">T103</f>
        <v>0</v>
      </c>
      <c r="U176" s="164"/>
      <c r="V176" s="164"/>
      <c r="W176" s="166" t="n">
        <f aca="false">T105</f>
        <v>1542.50480957247</v>
      </c>
      <c r="X176" s="27"/>
      <c r="Y176" s="27"/>
      <c r="Z176" s="37"/>
      <c r="AB176" s="165" t="n">
        <f aca="false">AC104</f>
        <v>1542.50480957247</v>
      </c>
      <c r="AC176" s="166" t="n">
        <f aca="false">AC103</f>
        <v>0</v>
      </c>
      <c r="AD176" s="164"/>
      <c r="AE176" s="164"/>
      <c r="AF176" s="166" t="n">
        <f aca="false">AC105</f>
        <v>1542.50480957247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33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5425.34571728846</v>
      </c>
      <c r="B191" s="42" t="n">
        <f aca="false">B123</f>
        <v>199.991666666667</v>
      </c>
      <c r="C191" s="42"/>
      <c r="D191" s="27"/>
      <c r="E191" s="42" t="n">
        <f aca="false">E188+A191+(B191*1.2)+A194</f>
        <v>61819.1317972885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7489.65690631911</v>
      </c>
      <c r="T191" s="42" t="n">
        <f aca="false">T123</f>
        <v>199.99</v>
      </c>
      <c r="U191" s="42"/>
      <c r="V191" s="27"/>
      <c r="W191" s="42" t="n">
        <f aca="false">W188+S191+T191+S194</f>
        <v>49582.1439063191</v>
      </c>
      <c r="X191" s="27"/>
      <c r="Y191" s="27"/>
      <c r="Z191" s="107"/>
      <c r="AB191" s="113" t="n">
        <f aca="false">(AB176*AC68)+AF194-AF188-AB194</f>
        <v>7489.65690631911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49622.1439063191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10.5979992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1736.06693116526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1542.50480957247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1542.50480957247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ROUND((E188+A210+(B191*1.2)+A194),2)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1736.06693116526</v>
      </c>
      <c r="B221" s="166" t="n">
        <f aca="false">B176</f>
        <v>0</v>
      </c>
      <c r="C221" s="164"/>
      <c r="D221" s="164"/>
      <c r="E221" s="166" t="n">
        <f aca="false">E176</f>
        <v>1736.06693116526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5425.34571728846</v>
      </c>
      <c r="B233" s="42" t="n">
        <f aca="false">B191</f>
        <v>199.991666666667</v>
      </c>
      <c r="C233" s="42"/>
      <c r="D233" s="27"/>
      <c r="E233" s="42" t="n">
        <f aca="false">E191</f>
        <v>61819.1317972885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1736.06693116526</v>
      </c>
      <c r="B239" s="42" t="n">
        <f aca="false">B176</f>
        <v>0</v>
      </c>
      <c r="C239" s="47"/>
      <c r="D239" s="47"/>
      <c r="E239" s="42" t="n">
        <f aca="false">E176</f>
        <v>1736.06693116526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</f>
        <v>31.7939976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10.5979992</v>
      </c>
      <c r="B245" s="42" t="n">
        <f aca="false">E242+A245</f>
        <v>42.3919968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4252.10179728847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3430.16985608847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4252.10179728847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3430.16985608847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6" colorId="64" zoomScale="75" zoomScaleNormal="75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/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7" t="n">
        <v>2.0</v>
      </c>
      <c r="C4" s="397"/>
      <c r="D4" s="398" t="n">
        <v>0.0</v>
      </c>
      <c r="E4" s="398"/>
      <c r="F4" s="398" t="n">
        <v>0.0</v>
      </c>
      <c r="G4" s="398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/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/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/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426</v>
      </c>
      <c r="B34" s="36"/>
      <c r="C34" s="45" t="s">
        <v>423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0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415</v>
      </c>
      <c r="B40" s="36"/>
      <c r="C40" s="58" t="n">
        <f aca="false">A34-1</f>
        <v>32</v>
      </c>
      <c r="D40" s="58"/>
      <c r="E40" s="36"/>
      <c r="F40" s="45" t="s">
        <v>416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427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55542.1417972885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49348.1539063191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49348.1539063191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4379.85325924619</v>
      </c>
      <c r="C95" s="36"/>
      <c r="D95" s="36"/>
      <c r="E95" s="27"/>
      <c r="F95" s="35" t="s">
        <v>124</v>
      </c>
      <c r="G95" s="37" t="n">
        <f aca="false">(G91/((1+G93)^(G94+1)))</f>
        <v>5020.31079273805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27.4464895133803</v>
      </c>
      <c r="C96" s="36"/>
      <c r="D96" s="36"/>
      <c r="E96" s="27"/>
      <c r="F96" s="35" t="s">
        <v>125</v>
      </c>
      <c r="G96" s="37" t="n">
        <f aca="false">((1-(1/((1+G93)^G94)))/G93)</f>
        <v>29.3075648349114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27.1467145183313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1736.06693116526</v>
      </c>
      <c r="C98" s="36"/>
      <c r="D98" s="36"/>
      <c r="E98" s="27"/>
      <c r="F98" s="35" t="s">
        <v>127</v>
      </c>
      <c r="G98" s="37" t="n">
        <f aca="false">(G97/G96)</f>
        <v>1603.97104133555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1542.50480957247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1542.50480957247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55554.1417972885</v>
      </c>
      <c r="C99" s="36"/>
      <c r="D99" s="36"/>
      <c r="E99" s="27"/>
      <c r="F99" s="35" t="s">
        <v>128</v>
      </c>
      <c r="G99" s="37" t="n">
        <f aca="false">((G98*(G94))+G86)</f>
        <v>51327.0733227375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49360.1539063191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49360.1539063191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55554.1417972885</v>
      </c>
      <c r="C101" s="36"/>
      <c r="D101" s="36"/>
      <c r="E101" s="27"/>
      <c r="F101" s="60" t="s">
        <v>130</v>
      </c>
      <c r="G101" s="69" t="n">
        <f aca="false">(G99+G100)</f>
        <v>51327.0733227375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49360.1539063191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49360.1539063191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1736.06693116526</v>
      </c>
      <c r="C104" s="36"/>
      <c r="D104" s="36"/>
      <c r="E104" s="27"/>
      <c r="F104" s="97" t="s">
        <v>132</v>
      </c>
      <c r="G104" s="98" t="n">
        <f aca="false">G101/(G94)</f>
        <v>1603.97104133555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1542.50480957247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1542.50480957247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1736.06693116526</v>
      </c>
      <c r="C105" s="36"/>
      <c r="D105" s="36"/>
      <c r="E105" s="27" t="s">
        <v>32</v>
      </c>
      <c r="F105" s="99" t="s">
        <v>133</v>
      </c>
      <c r="G105" s="100" t="n">
        <f aca="false">G103+G104</f>
        <v>1603.97104133555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1542.50480957247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1542.50480957247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142</v>
      </c>
      <c r="C114" s="105"/>
      <c r="D114" s="105"/>
      <c r="E114" s="106" t="s">
        <v>403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406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401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1736.06693116526</v>
      </c>
      <c r="B176" s="166" t="n">
        <f aca="false">B103</f>
        <v>0</v>
      </c>
      <c r="C176" s="164"/>
      <c r="D176" s="164"/>
      <c r="E176" s="166" t="n">
        <f aca="false">B105</f>
        <v>1736.06693116526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1542.50480957247</v>
      </c>
      <c r="T176" s="166" t="n">
        <f aca="false">T103</f>
        <v>0</v>
      </c>
      <c r="U176" s="164"/>
      <c r="V176" s="164"/>
      <c r="W176" s="166" t="n">
        <f aca="false">T105</f>
        <v>1542.50480957247</v>
      </c>
      <c r="X176" s="27"/>
      <c r="Y176" s="27"/>
      <c r="Z176" s="37"/>
      <c r="AB176" s="165" t="n">
        <f aca="false">AC104</f>
        <v>1542.50480957247</v>
      </c>
      <c r="AC176" s="166" t="n">
        <f aca="false">AC103</f>
        <v>0</v>
      </c>
      <c r="AD176" s="164"/>
      <c r="AE176" s="164"/>
      <c r="AF176" s="166" t="n">
        <f aca="false">AC105</f>
        <v>1542.50480957247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5425.34571728846</v>
      </c>
      <c r="B191" s="42" t="n">
        <f aca="false">B123</f>
        <v>239.99</v>
      </c>
      <c r="C191" s="42"/>
      <c r="D191" s="27"/>
      <c r="E191" s="42" t="n">
        <f aca="false">E188+A191+B191+A194</f>
        <v>61819.1317972885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7489.65690631911</v>
      </c>
      <c r="T191" s="42" t="n">
        <f aca="false">T123</f>
        <v>199.99</v>
      </c>
      <c r="U191" s="42"/>
      <c r="V191" s="27"/>
      <c r="W191" s="42" t="n">
        <f aca="false">W188+S191+T191+S194</f>
        <v>49582.1439063191</v>
      </c>
      <c r="X191" s="27"/>
      <c r="Y191" s="27"/>
      <c r="Z191" s="107"/>
      <c r="AB191" s="113" t="n">
        <f aca="false">(AB176*AC68)+AF194-AF188-AB194</f>
        <v>7489.65690631911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49622.1439063191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12.71759904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1736.06693116526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1542.50480957247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1542.50480957247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E188+A210+B191+A194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1736.06693116526</v>
      </c>
      <c r="B221" s="166" t="n">
        <f aca="false">B176</f>
        <v>0</v>
      </c>
      <c r="C221" s="164"/>
      <c r="D221" s="164"/>
      <c r="E221" s="166" t="n">
        <f aca="false">E176</f>
        <v>1736.06693116526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5425.34571728846</v>
      </c>
      <c r="B233" s="42" t="n">
        <f aca="false">B191</f>
        <v>239.99</v>
      </c>
      <c r="C233" s="42"/>
      <c r="D233" s="27"/>
      <c r="E233" s="42" t="n">
        <f aca="false">E191</f>
        <v>61819.1317972885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1736.06693116526</v>
      </c>
      <c r="B239" s="42" t="n">
        <f aca="false">B176</f>
        <v>0</v>
      </c>
      <c r="C239" s="47"/>
      <c r="D239" s="47"/>
      <c r="E239" s="42" t="n">
        <f aca="false">E176</f>
        <v>1736.06693116526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38.15279712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12.71759904</v>
      </c>
      <c r="B245" s="42" t="n">
        <f aca="false">E242+A245</f>
        <v>50.87039616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4252.10179728847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3430.16985608847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4252.10179728847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3430.16985608847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75" zoomScaleNormal="75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425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426</v>
      </c>
      <c r="C35" s="207"/>
      <c r="D35" s="207" t="s">
        <v>423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57652.6105976837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4036.58626654822</v>
      </c>
      <c r="C86" s="36" t="n">
        <f aca="false">(B82/((1+B84)^(B85+1)))</f>
        <v>4036.58626654822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26.4088043595078</v>
      </c>
      <c r="C87" s="36" t="n">
        <f aca="false">((1-(1/((1+B84)^B85)))/B84)</f>
        <v>26.4088043595078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1817.28044481398</v>
      </c>
      <c r="C89" s="36" t="n">
        <f aca="false">(B88/B87)</f>
        <v>1817.28044481398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58152.9742340474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58152.9742340474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1817.28044481398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1817.28044481398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405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406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1817.28044481398</v>
      </c>
      <c r="B167" s="166" t="str">
        <f aca="false">B94</f>
        <v>0</v>
      </c>
      <c r="C167" s="164"/>
      <c r="D167" s="164"/>
      <c r="E167" s="166" t="n">
        <f aca="false">B96</f>
        <v>1817.28044481398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8624.17815404738</v>
      </c>
      <c r="B182" s="42" t="n">
        <f aca="false">B114</f>
        <v>239.99</v>
      </c>
      <c r="C182" s="42"/>
      <c r="D182" s="27"/>
      <c r="E182" s="42" t="n">
        <f aca="false">E179+A182+B182+A185</f>
        <v>64417.9642340474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1817.28044481398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1817.28044481398</v>
      </c>
      <c r="B212" s="166" t="str">
        <f aca="false">B167</f>
        <v>0</v>
      </c>
      <c r="C212" s="164"/>
      <c r="D212" s="164"/>
      <c r="E212" s="166" t="n">
        <f aca="false">E167</f>
        <v>1817.28044481398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8624.17815404738</v>
      </c>
      <c r="B224" s="42" t="n">
        <f aca="false">B182</f>
        <v>239.99</v>
      </c>
      <c r="C224" s="42"/>
      <c r="D224" s="27"/>
      <c r="E224" s="42" t="n">
        <f aca="false">E182</f>
        <v>64417.9642340474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1817.28044481398</v>
      </c>
      <c r="B230" s="42" t="str">
        <f aca="false">B167</f>
        <v>0</v>
      </c>
      <c r="C230" s="47"/>
      <c r="D230" s="47"/>
      <c r="E230" s="42" t="n">
        <f aca="false">E167</f>
        <v>1817.28044481398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4330.29423404738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3517.36229284738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4330.29423404738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3517.36229284738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425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426</v>
      </c>
      <c r="C35" s="207"/>
      <c r="D35" s="207" t="s">
        <v>423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55053.7710722223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0.115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0.00958333333333333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4379.85325924619</v>
      </c>
      <c r="C86" s="36" t="n">
        <f aca="false">(B82/((1+B84)^(B85+1)))</f>
        <v>4379.85325924619</v>
      </c>
      <c r="D86" s="36"/>
      <c r="E86" s="27"/>
      <c r="F86" s="35" t="s">
        <v>124</v>
      </c>
      <c r="G86" s="37" t="n">
        <f aca="false">(G82/((1+G84)^(G85+1)))</f>
        <v>5020.31079273805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27.4464895133803</v>
      </c>
      <c r="C87" s="36" t="n">
        <f aca="false">((1-(1/((1+B84)^B85)))/B84)</f>
        <v>27.4464895133803</v>
      </c>
      <c r="D87" s="36"/>
      <c r="E87" s="27"/>
      <c r="F87" s="35" t="s">
        <v>125</v>
      </c>
      <c r="G87" s="37" t="n">
        <f aca="false">((1-(1/((1+G84)^G85)))/G84)</f>
        <v>29.3075648349114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47648.9367407538</v>
      </c>
      <c r="C88" s="36" t="n">
        <f aca="false">B81-B86</f>
        <v>47648.9367407538</v>
      </c>
      <c r="D88" s="36"/>
      <c r="E88" s="27"/>
      <c r="F88" s="35" t="s">
        <v>126</v>
      </c>
      <c r="G88" s="37" t="n">
        <f aca="false">G81-G86</f>
        <v>47008.479207262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1736.06670964331</v>
      </c>
      <c r="C89" s="36" t="n">
        <f aca="false">(B88/B87)</f>
        <v>1736.06670964331</v>
      </c>
      <c r="D89" s="36"/>
      <c r="E89" s="27"/>
      <c r="F89" s="35" t="s">
        <v>127</v>
      </c>
      <c r="G89" s="37" t="n">
        <f aca="false">(G88/G87)</f>
        <v>1603.97083388058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55554.1347085859</v>
      </c>
      <c r="C90" s="36"/>
      <c r="D90" s="36"/>
      <c r="E90" s="27"/>
      <c r="F90" s="35" t="s">
        <v>128</v>
      </c>
      <c r="G90" s="37" t="n">
        <f aca="false">((G89*(G85))+G77)</f>
        <v>51327.0666841785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55554.1347085859</v>
      </c>
      <c r="C92" s="36"/>
      <c r="D92" s="36"/>
      <c r="E92" s="27"/>
      <c r="F92" s="60" t="s">
        <v>130</v>
      </c>
      <c r="G92" s="69" t="n">
        <f aca="false">(G90+G91)</f>
        <v>51327.0666841785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1736.06670964331</v>
      </c>
      <c r="C95" s="36"/>
      <c r="D95" s="36"/>
      <c r="E95" s="27"/>
      <c r="F95" s="97" t="s">
        <v>132</v>
      </c>
      <c r="G95" s="98" t="n">
        <f aca="false">G92/(G85)</f>
        <v>1603.97083388058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1736.06670964331</v>
      </c>
      <c r="C96" s="36"/>
      <c r="D96" s="36"/>
      <c r="E96" s="27"/>
      <c r="F96" s="99" t="s">
        <v>133</v>
      </c>
      <c r="G96" s="100" t="n">
        <f aca="false">G94+G95</f>
        <v>1603.97083388058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405</v>
      </c>
      <c r="C108" s="109"/>
      <c r="D108" s="109"/>
      <c r="E108" s="110" t="n">
        <f aca="false">B83</f>
        <v>0.115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406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 t="s">
        <v>31</v>
      </c>
      <c r="B120" s="117" t="n">
        <v>0</v>
      </c>
      <c r="C120" s="118" t="s">
        <v>161</v>
      </c>
      <c r="D120" s="117" t="s">
        <v>160</v>
      </c>
      <c r="E120" s="119" t="n">
        <v>0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1736.06670964331</v>
      </c>
      <c r="B167" s="166" t="str">
        <f aca="false">B94</f>
        <v>0</v>
      </c>
      <c r="C167" s="164"/>
      <c r="D167" s="164"/>
      <c r="E167" s="166" t="n">
        <f aca="false">B96</f>
        <v>1736.06670964331</v>
      </c>
      <c r="F167" s="27"/>
      <c r="G167" s="27" t="n">
        <f aca="false">ROUND(G95,2)</f>
        <v>1603.97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168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6025.33862858591</v>
      </c>
      <c r="B182" s="42" t="n">
        <f aca="false">B114</f>
        <v>199.991666666667</v>
      </c>
      <c r="C182" s="42"/>
      <c r="D182" s="27"/>
      <c r="E182" s="42" t="n">
        <f aca="false">E179+A182+(B182*1.2)+A185</f>
        <v>61819.1247085859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1736.06670964331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1798.24391999999</v>
      </c>
      <c r="B201" s="47" t="n">
        <f aca="false">E179+A201+(B182*1.2)+A185</f>
        <v>57592.03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1736.06670964331</v>
      </c>
      <c r="B212" s="166" t="str">
        <f aca="false">B167</f>
        <v>0</v>
      </c>
      <c r="C212" s="164"/>
      <c r="D212" s="164"/>
      <c r="E212" s="166" t="n">
        <f aca="false">E167</f>
        <v>1736.06670964331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6025.33862858591</v>
      </c>
      <c r="B224" s="42" t="n">
        <f aca="false">B182</f>
        <v>199.991666666667</v>
      </c>
      <c r="C224" s="42"/>
      <c r="D224" s="27"/>
      <c r="E224" s="42" t="n">
        <f aca="false">E182</f>
        <v>61819.1247085859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1736.06670964331</v>
      </c>
      <c r="B230" s="42" t="str">
        <f aca="false">B167</f>
        <v>0</v>
      </c>
      <c r="C230" s="47"/>
      <c r="D230" s="47"/>
      <c r="E230" s="42" t="n">
        <f aca="false">E167</f>
        <v>1736.06670964331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</f>
        <v>31.7939976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10.5979992</v>
      </c>
      <c r="B236" s="42" t="n">
        <f aca="false">E233+A236</f>
        <v>42.3919968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4252.09470858592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3439.16276738592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0.115</v>
      </c>
      <c r="C260" s="47"/>
      <c r="D260" s="156" t="s">
        <v>229</v>
      </c>
      <c r="E260" s="156"/>
      <c r="F260" s="135" t="n">
        <f aca="false">B254</f>
        <v>4252.09470858592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3439.16276738592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75" zoomScaleNormal="75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425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426</v>
      </c>
      <c r="C35" s="207"/>
      <c r="D35" s="207" t="s">
        <v>423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57652.6105976837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408.9659706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4036.58626654822</v>
      </c>
      <c r="C86" s="36" t="n">
        <f aca="false">(B82/((1+B84)^(B85+1)))</f>
        <v>4036.58626654822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26.4088043595078</v>
      </c>
      <c r="C87" s="36" t="n">
        <f aca="false">((1-(1/((1+B84)^B85)))/B84)</f>
        <v>26.4088043595078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1817.28044481398</v>
      </c>
      <c r="C89" s="36" t="n">
        <f aca="false">(B88/B87)</f>
        <v>1817.28044481398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58152.9742340474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58152.9742340474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1817.28044481398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1817.28044481398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/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406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1817.28044481398</v>
      </c>
      <c r="B167" s="166" t="str">
        <f aca="false">B94</f>
        <v>0</v>
      </c>
      <c r="C167" s="164"/>
      <c r="D167" s="164"/>
      <c r="E167" s="166" t="n">
        <f aca="false">B96</f>
        <v>1817.28044481398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9624.17815404738</v>
      </c>
      <c r="B182" s="42" t="n">
        <f aca="false">B114</f>
        <v>239.99</v>
      </c>
      <c r="C182" s="42"/>
      <c r="D182" s="27"/>
      <c r="E182" s="42" t="n">
        <f aca="false">E179+A182+B182+A185</f>
        <v>64417.9642340474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408.9659706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-1071.0340294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1817.28044481398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1817.28044481398</v>
      </c>
      <c r="B212" s="166" t="str">
        <f aca="false">B167</f>
        <v>0</v>
      </c>
      <c r="C212" s="164"/>
      <c r="D212" s="164"/>
      <c r="E212" s="166" t="n">
        <f aca="false">E167</f>
        <v>1817.28044481398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9624.17815404738</v>
      </c>
      <c r="B224" s="42" t="n">
        <f aca="false">B182</f>
        <v>239.99</v>
      </c>
      <c r="C224" s="42"/>
      <c r="D224" s="27"/>
      <c r="E224" s="42" t="n">
        <f aca="false">E182</f>
        <v>64417.9642340474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1817.28044481398</v>
      </c>
      <c r="B230" s="42" t="str">
        <f aca="false">B167</f>
        <v>0</v>
      </c>
      <c r="C230" s="47"/>
      <c r="D230" s="47"/>
      <c r="E230" s="42" t="n">
        <f aca="false">E167</f>
        <v>1817.28044481398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12.71759904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408.9659706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-1071.0340294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4330.29423404738</v>
      </c>
      <c r="C254" s="182"/>
      <c r="D254" s="183" t="s">
        <v>230</v>
      </c>
      <c r="E254" s="183"/>
      <c r="F254" s="185" t="n">
        <f aca="false">F261+F267+F269+B270+B271</f>
        <v>408.9659706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3941.32826344738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4330.29423404738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408.9659706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3941.32826344738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7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430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7.332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935.435397885191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199.99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7.332</v>
      </c>
      <c r="C134" s="295"/>
      <c r="D134" s="290" t="n">
        <f aca="false">B97</f>
        <v>935.435397885191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7.332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935.435397885191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7.332</v>
      </c>
      <c r="C143" s="199"/>
      <c r="D143" s="42" t="n">
        <f aca="false">B97</f>
        <v>935.435397885191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1.4664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471.4664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935.435397885191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7.332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7.332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935.435397885191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7.332</v>
      </c>
      <c r="C186" s="199"/>
      <c r="D186" s="42" t="n">
        <f aca="false">B97</f>
        <v>935.435397885191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1.4664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471.4664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294.664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3753.96372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3753.96372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14.664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430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8.7984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1125.53806174535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239.99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8.7984</v>
      </c>
      <c r="C134" s="295"/>
      <c r="D134" s="290" t="n">
        <f aca="false">B97</f>
        <v>1125.53806174535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8.7984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1125.53806174535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8.7984</v>
      </c>
      <c r="C143" s="199"/>
      <c r="D143" s="42" t="n">
        <f aca="false">B97</f>
        <v>1125.53806174535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1.4664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471.4664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1125.53806174535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8.7984</v>
      </c>
      <c r="C177" s="295"/>
      <c r="D177" s="290" t="n">
        <f aca="false">B91</f>
        <v>13304.4184875294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8.7984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1125.53806174535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8.7984</v>
      </c>
      <c r="C186" s="199"/>
      <c r="D186" s="42" t="n">
        <f aca="false">B97</f>
        <v>1125.53806174535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1.4664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471.4664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294.664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3753.96372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3753.96372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14.664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75" zoomScaleNormal="75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 t="n">
        <v>23125</v>
      </c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 t="n">
        <v>0</v>
      </c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 t="n">
        <v>0</v>
      </c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7.943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939.899071640777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0.0</v>
      </c>
      <c r="C111" s="284"/>
      <c r="D111" s="109" t="s">
        <v>407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7.943</v>
      </c>
      <c r="C134" s="295"/>
      <c r="D134" s="290" t="n">
        <f aca="false">B97</f>
        <v>939.899071640777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8387.604644767</v>
      </c>
      <c r="C137" s="199"/>
      <c r="D137" s="42" t="n">
        <f aca="false">IF(A111="YES",B95*B63,0)</f>
        <v>71.487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8459.091644767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7.943</v>
      </c>
      <c r="C143" s="199"/>
      <c r="D143" s="42" t="n">
        <f aca="false">B97</f>
        <v>939.899071640777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2.1996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472.1996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939.899071640777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7.943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8387.604644767</v>
      </c>
      <c r="C180" s="199"/>
      <c r="D180" s="42" t="n">
        <f aca="false">IF(A111="YES",B95*B63,0)</f>
        <v>71.487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8459.091644767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7.943</v>
      </c>
      <c r="C186" s="199"/>
      <c r="D186" s="42" t="n">
        <f aca="false">B97</f>
        <v>939.899071640777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2.1996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472.1996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301.996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3761.29572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3761.29572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21.996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n">
        <f aca="false">IF(B38="YES",D38+A41,D38)</f>
        <v>560</v>
      </c>
      <c r="C41" s="224"/>
      <c r="D41" s="106" t="s">
        <v>417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106" t="s">
        <v>419</v>
      </c>
      <c r="C44" s="106"/>
      <c r="D44" s="106" t="s">
        <v>428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421</v>
      </c>
      <c r="C47" s="348"/>
      <c r="D47" s="106" t="s">
        <v>421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7" t="s">
        <v>291</v>
      </c>
      <c r="B80" s="338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39" t="s">
        <v>292</v>
      </c>
      <c r="B81" s="340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1000.10339788519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6" t="n">
        <v>20.0</v>
      </c>
      <c r="C111" s="286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72</v>
      </c>
      <c r="C134" s="295"/>
      <c r="D134" s="290" t="n">
        <f aca="false">B97</f>
        <v>1000.10339788519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1000.10339788519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72</v>
      </c>
      <c r="C143" s="199"/>
      <c r="D143" s="42" t="n">
        <f aca="false">B97</f>
        <v>1000.10339788519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1455.17965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1415.18165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14.4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484.4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1000.10339788519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72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1000.10339788519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72</v>
      </c>
      <c r="C186" s="199"/>
      <c r="D186" s="42" t="n">
        <f aca="false">B97</f>
        <v>1000.10339788519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14.4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484.4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424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3883.29972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3883.29972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144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412</v>
      </c>
      <c r="B41" s="224" t="str">
        <f aca="false">IF(B38="YES",D38+A41,D38)</f>
        <v>500</v>
      </c>
      <c r="C41" s="224"/>
      <c r="D41" s="106" t="s">
        <v>417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106" t="s">
        <v>419</v>
      </c>
      <c r="C44" s="106"/>
      <c r="D44" s="106" t="s">
        <v>412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421</v>
      </c>
      <c r="C47" s="348"/>
      <c r="D47" s="106" t="s">
        <v>421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1116.73966174535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0</v>
      </c>
      <c r="C134" s="295"/>
      <c r="D134" s="290" t="n">
        <f aca="false">B97</f>
        <v>1116.73966174535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1116.73966174535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0</v>
      </c>
      <c r="C143" s="199"/>
      <c r="D143" s="42" t="n">
        <f aca="false">B97</f>
        <v>1116.73966174535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1440.77965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1400.78165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1116.73966174535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0</v>
      </c>
      <c r="C177" s="295"/>
      <c r="D177" s="290" t="n">
        <f aca="false">B97</f>
        <v>1116.73966174535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1116.73966174535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0</v>
      </c>
      <c r="C186" s="199"/>
      <c r="D186" s="42" t="n">
        <f aca="false">B97</f>
        <v>1116.73966174535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3739.29972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3739.29972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75" zoomScaleNormal="75" zoomScalePageLayoutView="100" workbookViewId="0">
      <selection pane="topLeft" activeCell="E223" activeCellId="0" sqref="E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s">
        <v>416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413</v>
      </c>
      <c r="B41" s="224" t="n">
        <f aca="false">IF(B38="YES",D38+A41,D38)</f>
        <v>550</v>
      </c>
      <c r="C41" s="224"/>
      <c r="D41" s="106" t="s">
        <v>417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415</v>
      </c>
      <c r="B44" s="106" t="s">
        <v>419</v>
      </c>
      <c r="C44" s="106"/>
      <c r="D44" s="106" t="s">
        <v>421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s">
        <v>421</v>
      </c>
      <c r="C47" s="348"/>
      <c r="D47" s="106" t="s">
        <v>421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991.956071640777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5" t="n">
        <v>1000.0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406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403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214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60</v>
      </c>
      <c r="C134" s="295"/>
      <c r="D134" s="290" t="n">
        <f aca="false">B97</f>
        <v>991.956071640777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931.956071640777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991.956071640777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60</v>
      </c>
      <c r="C143" s="199"/>
      <c r="D143" s="42" t="n">
        <f aca="false">B97</f>
        <v>991.956071640777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1452.77965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1412.78165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482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991.956071640777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60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931.956071640777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991.956071640777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60</v>
      </c>
      <c r="C186" s="199"/>
      <c r="D186" s="42" t="n">
        <f aca="false">B97</f>
        <v>991.956071640777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400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3859.29972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3859.29972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15.38</v>
      </c>
      <c r="E32" s="211"/>
      <c r="F32" s="67"/>
      <c r="G32" s="212" t="s">
        <v>256</v>
      </c>
      <c r="H32" s="210" t="n">
        <f aca="false">A41</f>
        <v>15.38</v>
      </c>
      <c r="J32" s="48" t="s">
        <v>50</v>
      </c>
      <c r="K32" s="242" t="s">
        <v>425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515.38</v>
      </c>
      <c r="B35" s="207" t="s">
        <v>426</v>
      </c>
      <c r="C35" s="207"/>
      <c r="D35" s="207" t="s">
        <v>423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403</v>
      </c>
      <c r="C38" s="207"/>
      <c r="D38" s="106" t="s">
        <v>416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15.38</v>
      </c>
      <c r="B41" s="224" t="n">
        <f aca="false">IF(B38="YES",D38+A41,D38)</f>
        <v>515.38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15.38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515.743636363636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515.743636363636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59616.8935861859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813.4319412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0.1675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0.0139583333333333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3797.41146916898</v>
      </c>
      <c r="C86" s="36" t="n">
        <f aca="false">(B82/((1+B84)^(B85+1)))</f>
        <v>3797.41146916898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25.666662635708</v>
      </c>
      <c r="C87" s="36" t="n">
        <f aca="false">((1-(1/((1+B84)^B85)))/B84)</f>
        <v>25.666662635708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48231.378530831</v>
      </c>
      <c r="C88" s="36" t="n">
        <f aca="false">B81-B86</f>
        <v>48231.378530831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1879.14491320467</v>
      </c>
      <c r="C89" s="36" t="n">
        <f aca="false">(B88/B87)</f>
        <v>1879.14491320467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60132.6372225495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60132.6372225495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IF(B38="YES",((H36/B85)*(1+A108)),"0")</f>
        <v>19.03275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1879.14491320467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1898.17766320467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/>
      <c r="E108" s="110" t="n">
        <f aca="false">B83</f>
        <v>0.1675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406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54228.79608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1879.14491320467</v>
      </c>
      <c r="B167" s="166" t="n">
        <f aca="false">B94</f>
        <v>19.03275</v>
      </c>
      <c r="C167" s="164"/>
      <c r="D167" s="164"/>
      <c r="E167" s="166" t="n">
        <f aca="false">B96</f>
        <v>1898.17766320467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54228.79608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11903.68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66397.468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813.4319412</v>
      </c>
      <c r="C188" s="36"/>
      <c r="D188" s="36"/>
      <c r="E188" s="42" t="n">
        <f aca="false">IF(E105="YES",(H36*A108)*0.1,0)</f>
        <v>10.1508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-356.4172588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1898.17766320467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5618.88391999999</v>
      </c>
      <c r="B201" s="47" t="n">
        <f aca="false">E179+A201+(B182*1.2)+A185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1879.14491320467</v>
      </c>
      <c r="B212" s="166" t="n">
        <f aca="false">B167</f>
        <v>19.03275</v>
      </c>
      <c r="C212" s="164"/>
      <c r="D212" s="164"/>
      <c r="E212" s="166" t="n">
        <f aca="false">E167</f>
        <v>1898.17766320467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54228.79608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11903.68</v>
      </c>
      <c r="B224" s="42" t="n">
        <f aca="false">B182</f>
        <v>199.991666666667</v>
      </c>
      <c r="C224" s="42"/>
      <c r="D224" s="27"/>
      <c r="E224" s="42" t="n">
        <f aca="false">E182</f>
        <v>66397.468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1879.14491320467</v>
      </c>
      <c r="B230" s="42" t="n">
        <f aca="false">B167</f>
        <v>19.03275</v>
      </c>
      <c r="C230" s="47"/>
      <c r="D230" s="47"/>
      <c r="E230" s="42" t="n">
        <f aca="false">E167</f>
        <v>1898.17766320467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10.5979992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813.4319412</v>
      </c>
      <c r="C240" s="36"/>
      <c r="D240" s="36"/>
      <c r="E240" s="42" t="n">
        <f aca="false">IF(E105="YES",(H36*A108)*0.1,0)</f>
        <v>10.1508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-356.4172588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0.1675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6309.79800000001</v>
      </c>
      <c r="C254" s="182"/>
      <c r="D254" s="183" t="s">
        <v>230</v>
      </c>
      <c r="E254" s="183"/>
      <c r="F254" s="185" t="n">
        <f aca="false">F261+F267+F269+B270+B271</f>
        <v>813.4319412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121.508</v>
      </c>
      <c r="C255" s="182"/>
      <c r="D255" s="183" t="s">
        <v>232</v>
      </c>
      <c r="E255" s="183"/>
      <c r="F255" s="185" t="n">
        <f aca="false">(B254-F254)+B255</f>
        <v>5617.87405880001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0.0725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0.1675</v>
      </c>
      <c r="C260" s="47"/>
      <c r="D260" s="156" t="s">
        <v>229</v>
      </c>
      <c r="E260" s="156"/>
      <c r="F260" s="135" t="n">
        <f aca="false">B254</f>
        <v>6309.79800000001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813.4319412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101.508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5617.87405880001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75" zoomScaleNormal="75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1.88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2" t="n">
        <v>150.0</v>
      </c>
      <c r="I10" s="7"/>
      <c r="J10" s="7"/>
      <c r="K10" s="6" t="s">
        <v>32</v>
      </c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 t="n">
        <v>0</v>
      </c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406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493.44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59" t="n">
        <f aca="false">K48</f>
        <v>1174.11596257932</v>
      </c>
      <c r="F33" s="359"/>
      <c r="G33" s="359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1153.55596257932</v>
      </c>
      <c r="B36" s="217" t="n">
        <f aca="false">IF(B26="YES",K42,"0.00")</f>
        <v>20.56</v>
      </c>
      <c r="C36" s="217"/>
      <c r="D36" s="217"/>
      <c r="E36" s="359" t="n">
        <f aca="false">K31</f>
        <v>25825</v>
      </c>
      <c r="F36" s="359"/>
      <c r="G36" s="359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36017.2462276288</v>
      </c>
      <c r="N39" s="6" t="n">
        <f aca="false">K39-L39</f>
        <v>8355.91717237121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n">
        <f aca="false">IF(B26="YES",K42,"0.00")</f>
        <v>20.56</v>
      </c>
      <c r="C40" s="109"/>
      <c r="D40" s="109"/>
      <c r="E40" s="170" t="n">
        <f aca="false">K32</f>
        <v>493.44</v>
      </c>
      <c r="F40" s="47"/>
      <c r="G40" s="47"/>
      <c r="H40" s="51"/>
      <c r="J40" s="7" t="s">
        <v>120</v>
      </c>
      <c r="K40" s="7" t="n">
        <f aca="false">(A40)/1.2</f>
        <v>21520.8333333333</v>
      </c>
      <c r="L40" s="7" t="n">
        <f aca="false">K39-L39</f>
        <v>8355.91717237121</v>
      </c>
      <c r="N40" s="6" t="n">
        <f aca="false">N38-N39</f>
        <v>-5444.23717237121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20.56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18608.3764324723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100.0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25764.7869675277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1153.55596257932</v>
      </c>
      <c r="L47" s="7" t="n">
        <f aca="false">L49-K42</f>
        <v>779.44</v>
      </c>
      <c r="M47" s="6" t="n">
        <f aca="false">K47-L47</f>
        <v>374.11596257932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1174.11596257932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1174.11596257932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20095.659682693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16858.0324871278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-1990.4490425293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-1990.4490425293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471.2589903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3311.87475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397.42497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314.1187275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1153.55596257932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1153.55596257932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1174.11596257932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1174.11596257932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62834.53204</v>
      </c>
      <c r="C81" s="36"/>
      <c r="D81" s="36"/>
      <c r="E81" s="27"/>
      <c r="F81" s="29" t="s">
        <v>119</v>
      </c>
      <c r="G81" s="31" t="n">
        <f aca="false">G158</f>
        <v>62834.53204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41882.497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25825</v>
      </c>
      <c r="C82" s="36"/>
      <c r="D82" s="36"/>
      <c r="E82" s="27"/>
      <c r="F82" s="35" t="s">
        <v>120</v>
      </c>
      <c r="G82" s="37" t="n">
        <f aca="false">IF(A111="YES",A40,0)</f>
        <v>25825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25825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25825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23</v>
      </c>
      <c r="C85" s="36"/>
      <c r="D85" s="36"/>
      <c r="E85" s="27"/>
      <c r="F85" s="35" t="s">
        <v>123</v>
      </c>
      <c r="G85" s="37" t="n">
        <f aca="false">IF(G82=0,(B59+B58),(B59))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20338.8952407176</v>
      </c>
      <c r="C86" s="36"/>
      <c r="D86" s="36"/>
      <c r="E86" s="27"/>
      <c r="F86" s="35" t="s">
        <v>124</v>
      </c>
      <c r="G86" s="37" t="n">
        <f aca="false">(G82/((1+G84)^(G85+1)))</f>
        <v>22460.3103539941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19491.8910272557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19491.8910272557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20.4558211302041</v>
      </c>
      <c r="C87" s="36"/>
      <c r="D87" s="36"/>
      <c r="E87" s="27"/>
      <c r="F87" s="35" t="s">
        <v>125</v>
      </c>
      <c r="G87" s="37" t="n">
        <f aca="false">((1-(1/((1+G84)^G85)))/G84)</f>
        <v>21.4653873750747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42495.6367992824</v>
      </c>
      <c r="C88" s="36"/>
      <c r="D88" s="36"/>
      <c r="E88" s="27"/>
      <c r="F88" s="35" t="s">
        <v>126</v>
      </c>
      <c r="G88" s="37" t="n">
        <f aca="false">G81-G86</f>
        <v>40374.2216860059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22390.6059727443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22390.6059727443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2077.43490367812</v>
      </c>
      <c r="C89" s="36"/>
      <c r="D89" s="36"/>
      <c r="E89" s="27"/>
      <c r="F89" s="35" t="s">
        <v>127</v>
      </c>
      <c r="G89" s="37" t="n">
        <f aca="false">(G88/G87)</f>
        <v>1880.89881540586</v>
      </c>
      <c r="H89" s="37"/>
      <c r="J89" s="35" t="s">
        <v>127</v>
      </c>
      <c r="K89" s="37" t="n">
        <f aca="false">(K88/K87)</f>
        <v>1936.66850387093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1117.16930692932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1117.16930692932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47781.0027845967</v>
      </c>
      <c r="C90" s="36"/>
      <c r="D90" s="36"/>
      <c r="E90" s="27"/>
      <c r="F90" s="35" t="s">
        <v>128</v>
      </c>
      <c r="G90" s="37" t="n">
        <f aca="false">((G89*(G85))+G77)</f>
        <v>43260.6727543348</v>
      </c>
      <c r="H90" s="37"/>
      <c r="J90" s="35" t="s">
        <v>128</v>
      </c>
      <c r="K90" s="37" t="n">
        <f aca="false">((K89*(K85))+K77)</f>
        <v>46480.0440929024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25694.8940593744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25694.8940593744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47781.0027845967</v>
      </c>
      <c r="C92" s="36"/>
      <c r="D92" s="36"/>
      <c r="E92" s="27"/>
      <c r="F92" s="60" t="s">
        <v>130</v>
      </c>
      <c r="G92" s="69" t="n">
        <f aca="false">(G90+G91)</f>
        <v>43260.6727543348</v>
      </c>
      <c r="H92" s="37"/>
      <c r="J92" s="60" t="s">
        <v>130</v>
      </c>
      <c r="K92" s="69" t="n">
        <f aca="false">(K90+K91)</f>
        <v>46480.0440929024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25694.8940593744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25694.8940593744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27.8900869565217</v>
      </c>
      <c r="C94" s="36"/>
      <c r="D94" s="36"/>
      <c r="E94" s="27"/>
      <c r="F94" s="92" t="s">
        <v>131</v>
      </c>
      <c r="G94" s="96" t="n">
        <f aca="false">IF(B26="YES",((E40/B85)*(1+A108)*(C45/100)),"0")</f>
        <v>27.8900869565217</v>
      </c>
      <c r="H94" s="37"/>
      <c r="J94" s="92" t="s">
        <v>131</v>
      </c>
      <c r="K94" s="93" t="n">
        <f aca="false">((E40/K85)*(1+J108))*1.2</f>
        <v>32.0736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25.7446956521739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30.8936347826087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2077.43490367812</v>
      </c>
      <c r="C95" s="36"/>
      <c r="D95" s="36"/>
      <c r="E95" s="27"/>
      <c r="F95" s="97" t="s">
        <v>132</v>
      </c>
      <c r="G95" s="98" t="n">
        <f aca="false">G92/(G85)</f>
        <v>1880.89881540586</v>
      </c>
      <c r="H95" s="37"/>
      <c r="J95" s="97" t="s">
        <v>132</v>
      </c>
      <c r="K95" s="98" t="n">
        <f aca="false">K92/(K85)</f>
        <v>1936.66850387093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1117.16930692932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1117.16930692932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2105.32499063464</v>
      </c>
      <c r="C96" s="36"/>
      <c r="D96" s="36"/>
      <c r="E96" s="27"/>
      <c r="F96" s="99" t="s">
        <v>133</v>
      </c>
      <c r="G96" s="100" t="n">
        <f aca="false">G94+G95</f>
        <v>1908.78890236238</v>
      </c>
      <c r="H96" s="37"/>
      <c r="J96" s="99" t="s">
        <v>133</v>
      </c>
      <c r="K96" s="100" t="n">
        <f aca="false">(K94+K95)</f>
        <v>1968.74210387093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1142.91400258149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1148.06294171193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/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0" t="s">
        <v>406</v>
      </c>
      <c r="F105" s="360"/>
      <c r="G105" s="360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410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406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1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361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361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361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(U121*U122)+U123</f>
        <v>11002.0825</v>
      </c>
      <c r="V124" s="35" t="n">
        <f aca="false">(V121*V122)+V123</f>
        <v>0</v>
      </c>
      <c r="W124" s="31" t="n">
        <f aca="false">(W121*W122)+W123</f>
        <v>0</v>
      </c>
      <c r="X124" s="35" t="n">
        <f aca="false">(X121*X122)+X123</f>
        <v>0</v>
      </c>
      <c r="Y124" s="31" t="n">
        <f aca="false">(Y121*Y122)+Y123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33006.2475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33006.2475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6631.2495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40882.497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40882.497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-44997.0156166667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-12146.29908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62834.53204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41882.497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2077.43490367812</v>
      </c>
      <c r="B167" s="166" t="n">
        <f aca="false">B94</f>
        <v>27.8900869565217</v>
      </c>
      <c r="C167" s="164"/>
      <c r="D167" s="164"/>
      <c r="E167" s="166" t="n">
        <f aca="false">B96</f>
        <v>2105.32499063464</v>
      </c>
      <c r="F167" s="27"/>
      <c r="G167" s="27" t="n">
        <f aca="false">ROUND(G95,2)</f>
        <v>1880.9</v>
      </c>
      <c r="H167" s="37"/>
      <c r="J167" s="165" t="n">
        <f aca="false">K95</f>
        <v>1936.66850387093</v>
      </c>
      <c r="K167" s="166" t="n">
        <f aca="false">K94</f>
        <v>32.0736</v>
      </c>
      <c r="L167" s="164"/>
      <c r="M167" s="164"/>
      <c r="N167" s="166" t="n">
        <f aca="false">K96</f>
        <v>1968.74210387093</v>
      </c>
      <c r="O167" s="27"/>
      <c r="P167" s="27"/>
      <c r="Q167" s="37"/>
      <c r="S167" s="165" t="n">
        <f aca="false">T95</f>
        <v>1117.16930692932</v>
      </c>
      <c r="T167" s="166" t="n">
        <f aca="false">T94</f>
        <v>25.7446956521739</v>
      </c>
      <c r="U167" s="164"/>
      <c r="V167" s="164"/>
      <c r="W167" s="166" t="n">
        <f aca="false">T96</f>
        <v>1142.91400258149</v>
      </c>
      <c r="X167" s="27"/>
      <c r="Y167" s="27"/>
      <c r="Z167" s="37"/>
      <c r="AB167" s="165" t="n">
        <f aca="false">AC95</f>
        <v>1117.16930692932</v>
      </c>
      <c r="AC167" s="166" t="n">
        <f aca="false">AC94</f>
        <v>30.8936347826087</v>
      </c>
      <c r="AD167" s="164"/>
      <c r="AE167" s="164"/>
      <c r="AF167" s="166" t="n">
        <f aca="false">AC96</f>
        <v>1148.06294171193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214" t="n">
        <f aca="false">K30</f>
        <v>8000</v>
      </c>
      <c r="C170" s="169"/>
      <c r="D170" s="27"/>
      <c r="E170" s="170" t="n">
        <f aca="false">IF(A111="YES",A40,0)</f>
        <v>25825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25825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25825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25825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33156.2475</v>
      </c>
      <c r="T173" s="42" t="n">
        <f aca="false">Z137</f>
        <v>6631.2495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63634.53204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40882.497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62834.53204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41882.497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10771.36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73870.878</v>
      </c>
      <c r="F182" s="27"/>
      <c r="G182" s="27"/>
      <c r="H182" s="107"/>
      <c r="J182" s="113" t="n">
        <f aca="false">(J167*K59)+N185-N179-J185</f>
        <v>33738.3715890315</v>
      </c>
      <c r="K182" s="42" t="n">
        <f aca="false">K114</f>
        <v>239.99</v>
      </c>
      <c r="L182" s="42"/>
      <c r="M182" s="27"/>
      <c r="N182" s="42" t="n">
        <f aca="false">N179+J182+K182+J185</f>
        <v>70628.3655890315</v>
      </c>
      <c r="O182" s="27"/>
      <c r="P182" s="27"/>
      <c r="Q182" s="107"/>
      <c r="S182" s="113" t="n">
        <f aca="false">(S167*T59)+W185-W179-S185</f>
        <v>9637.39705937438</v>
      </c>
      <c r="T182" s="42" t="n">
        <f aca="false">T114</f>
        <v>199.99</v>
      </c>
      <c r="U182" s="42"/>
      <c r="V182" s="27"/>
      <c r="W182" s="42" t="n">
        <f aca="false">W179+S182+T182+S185</f>
        <v>51729.8840593744</v>
      </c>
      <c r="X182" s="27"/>
      <c r="Y182" s="27"/>
      <c r="Z182" s="107"/>
      <c r="AB182" s="113" t="n">
        <f aca="false">(AB167*AC59)+AF185-AF179-AB185</f>
        <v>9637.39705937438</v>
      </c>
      <c r="AC182" s="42" t="n">
        <f aca="false">AC114</f>
        <v>239.99</v>
      </c>
      <c r="AD182" s="42"/>
      <c r="AE182" s="27"/>
      <c r="AF182" s="42" t="n">
        <f aca="false">AF179+AB182+AC182+AB185</f>
        <v>51769.8840593744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25850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25845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25835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25835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10.5979992</v>
      </c>
      <c r="B188" s="42" t="n">
        <f aca="false">(G158*B67)</f>
        <v>471.2589903</v>
      </c>
      <c r="C188" s="36"/>
      <c r="D188" s="36"/>
      <c r="E188" s="42" t="n">
        <f aca="false">(E40*A108)*0.1*(C45/100)</f>
        <v>14.8032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1907.81270833333</v>
      </c>
      <c r="L188" s="36"/>
      <c r="M188" s="36"/>
      <c r="N188" s="42" t="n">
        <f aca="false">(E40*J108)*0.1</f>
        <v>14.8032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261.76560625</v>
      </c>
      <c r="U188" s="36"/>
      <c r="V188" s="36"/>
      <c r="W188" s="42" t="n">
        <f aca="false">(E40*S108)*0.1</f>
        <v>9.8688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261.76560625</v>
      </c>
      <c r="AD188" s="36"/>
      <c r="AE188" s="36"/>
      <c r="AF188" s="42" t="n">
        <f aca="false">(E40*AB108)*0.1</f>
        <v>9.8688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506.0621903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3062.60590833333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1371.62440625</v>
      </c>
      <c r="U191" s="36"/>
      <c r="V191" s="36"/>
      <c r="W191" s="42" t="n">
        <f aca="false">Z148</f>
        <v>-12146.29908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1411.62440625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2105.32499063464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n">
        <f aca="false">K96</f>
        <v>1968.74210387093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n">
        <f aca="false">T96</f>
        <v>1142.91400258149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n">
        <f aca="false">AC96</f>
        <v>1148.06294171193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6251.16796000001</v>
      </c>
      <c r="B201" s="47" t="n">
        <f aca="false">E179+A201+(B182*1.2)+A185</f>
        <v>69350.69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2077.43490367812</v>
      </c>
      <c r="B212" s="166" t="n">
        <f aca="false">B167</f>
        <v>27.8900869565217</v>
      </c>
      <c r="C212" s="164"/>
      <c r="D212" s="164"/>
      <c r="E212" s="166" t="n">
        <f aca="false">E167</f>
        <v>2105.32499063464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62834.53204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10771.36</v>
      </c>
      <c r="B224" s="42" t="n">
        <f aca="false">B182</f>
        <v>199.991666666667</v>
      </c>
      <c r="C224" s="42"/>
      <c r="D224" s="27"/>
      <c r="E224" s="42" t="n">
        <f aca="false">E182</f>
        <v>73870.878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2077.43490367812</v>
      </c>
      <c r="B230" s="42" t="n">
        <f aca="false">B167</f>
        <v>27.8900869565217</v>
      </c>
      <c r="C230" s="47"/>
      <c r="D230" s="47"/>
      <c r="E230" s="42" t="n">
        <f aca="false">E167</f>
        <v>2105.32499063464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25825</v>
      </c>
      <c r="B233" s="42" t="n">
        <f aca="false">E185</f>
        <v>25850</v>
      </c>
      <c r="C233" s="36"/>
      <c r="D233" s="36"/>
      <c r="E233" s="42" t="n">
        <f aca="false">A188</f>
        <v>10.5979992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471.2589903</v>
      </c>
      <c r="C240" s="36"/>
      <c r="D240" s="36"/>
      <c r="E240" s="42" t="n">
        <f aca="false">E188</f>
        <v>14.8032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8144.1754903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4545.18799999998</v>
      </c>
      <c r="C254" s="182"/>
      <c r="D254" s="183" t="s">
        <v>230</v>
      </c>
      <c r="E254" s="183"/>
      <c r="F254" s="185" t="n">
        <f aca="false">F261+F267+F269+B270+B271</f>
        <v>471.2589903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168.032</v>
      </c>
      <c r="C255" s="182"/>
      <c r="D255" s="183" t="s">
        <v>232</v>
      </c>
      <c r="E255" s="183"/>
      <c r="F255" s="185" t="n">
        <f aca="false">(B254-F254)+B255</f>
        <v>4241.96100969998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4545.18799999998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471.2589903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148.032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4241.96100969998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$K$9:$K$10</formula1>
      <formula2>0</formula2>
    </dataValidation>
    <dataValidation allowBlank="true" errorStyle="stop" operator="between" showDropDown="false" showErrorMessage="true" showInputMessage="false" sqref="B70" type="list">
      <formula1>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75" zoomScaleNormal="75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58" t="n">
        <v>35.0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35000.0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4425.0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59" t="n">
        <f aca="false">K48</f>
        <v>1310.58763327616</v>
      </c>
      <c r="F33" s="359"/>
      <c r="G33" s="359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1310.58763327616</v>
      </c>
      <c r="B36" s="217" t="str">
        <f aca="false">IF(B26="YES",K42,"0.00")</f>
        <v>0.00</v>
      </c>
      <c r="C36" s="217"/>
      <c r="D36" s="217"/>
      <c r="E36" s="359" t="n">
        <f aca="false">K31</f>
        <v>4425</v>
      </c>
      <c r="F36" s="359"/>
      <c r="G36" s="359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28251.1620506993</v>
      </c>
      <c r="N39" s="6" t="n">
        <f aca="false">K39-L39</f>
        <v>16122.0013493007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3687.5</v>
      </c>
      <c r="L40" s="7" t="n">
        <f aca="false">K39-L39</f>
        <v>16122.0013493007</v>
      </c>
      <c r="N40" s="6" t="n">
        <f aca="false">N38-N39</f>
        <v>-13210.3213493007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2990.85365528518</v>
      </c>
      <c r="L44" s="7"/>
    </row>
    <row r="45" customFormat="false" ht="18.75" hidden="false" customHeight="false" outlineLevel="0" collapsed="false">
      <c r="A45" s="402" t="n">
        <v>100.0</v>
      </c>
      <c r="B45" s="36"/>
      <c r="C45" s="403" t="n">
        <v>100.0</v>
      </c>
      <c r="D45" s="403"/>
      <c r="E45" s="403"/>
      <c r="F45" s="36"/>
      <c r="G45" s="36"/>
      <c r="H45" s="37"/>
      <c r="J45" s="7" t="s">
        <v>379</v>
      </c>
      <c r="K45" s="7" t="n">
        <f aca="false">(K39-K44)</f>
        <v>41382.3097447148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31.5753854942677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1310.58763327616</v>
      </c>
      <c r="L47" s="7" t="n">
        <f aca="false">L49-K42</f>
        <v>800</v>
      </c>
      <c r="M47" s="6" t="n">
        <f aca="false">K47-L47</f>
        <v>510.587633276164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1310.58763327616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1310.58763327616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28177.234052004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3948.98964597875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16567.6176838284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851.364483335681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984.5179806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3919.0517875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518.8603775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410.099449791667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1310.58763327616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1310.58763327616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1310.58763327616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1310.58763327616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65634.53204</v>
      </c>
      <c r="C81" s="36"/>
      <c r="D81" s="36"/>
      <c r="E81" s="27"/>
      <c r="F81" s="29" t="s">
        <v>119</v>
      </c>
      <c r="G81" s="31" t="n">
        <f aca="false">G158</f>
        <v>65634.53204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4425</v>
      </c>
      <c r="C82" s="36"/>
      <c r="D82" s="36"/>
      <c r="E82" s="27"/>
      <c r="F82" s="35" t="s">
        <v>120</v>
      </c>
      <c r="G82" s="37" t="n">
        <f aca="false">IF(A111="YES",A40,0)</f>
        <v>4425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4425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4425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3123.67033112163</v>
      </c>
      <c r="C86" s="36"/>
      <c r="D86" s="36"/>
      <c r="E86" s="27"/>
      <c r="F86" s="35" t="s">
        <v>124</v>
      </c>
      <c r="G86" s="37" t="n">
        <f aca="false">(G82/((1+G84)^(G85+1)))</f>
        <v>3609.96036192921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3026.04785071713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3026.04785071713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28.7026658885233</v>
      </c>
      <c r="C87" s="36"/>
      <c r="D87" s="36"/>
      <c r="E87" s="27"/>
      <c r="F87" s="35" t="s">
        <v>125</v>
      </c>
      <c r="G87" s="37" t="n">
        <f aca="false">((1-(1/((1+G84)^G85)))/G84)</f>
        <v>30.7595752429843</v>
      </c>
      <c r="H87" s="37"/>
      <c r="J87" s="35" t="s">
        <v>125</v>
      </c>
      <c r="K87" s="37" t="n">
        <f aca="false">((1-(1/((1+K84)^K85)))/K84)</f>
        <v>24.9986193320351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62510.8617088784</v>
      </c>
      <c r="C88" s="36"/>
      <c r="D88" s="36"/>
      <c r="E88" s="27"/>
      <c r="F88" s="35" t="s">
        <v>126</v>
      </c>
      <c r="G88" s="37" t="n">
        <f aca="false">G81-G86</f>
        <v>62024.5716780708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51926.9231592829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38856.4491492829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2177.87650637264</v>
      </c>
      <c r="C89" s="36"/>
      <c r="D89" s="36"/>
      <c r="E89" s="27"/>
      <c r="F89" s="35" t="s">
        <v>127</v>
      </c>
      <c r="G89" s="37" t="n">
        <f aca="false">(G88/G87)</f>
        <v>2016.43134497501</v>
      </c>
      <c r="H89" s="37"/>
      <c r="J89" s="35" t="s">
        <v>127</v>
      </c>
      <c r="K89" s="37" t="n">
        <f aca="false">(K88/K87)</f>
        <v>1465.28108266601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1836.4172014263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1374.17446023534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74047.8012166698</v>
      </c>
      <c r="C90" s="36"/>
      <c r="D90" s="36"/>
      <c r="E90" s="27"/>
      <c r="F90" s="35" t="s">
        <v>128</v>
      </c>
      <c r="G90" s="37" t="n">
        <f aca="false">((G89*(G85))+G77)</f>
        <v>68558.6657291504</v>
      </c>
      <c r="H90" s="37"/>
      <c r="J90" s="35" t="s">
        <v>128</v>
      </c>
      <c r="K90" s="37" t="n">
        <f aca="false">((K89*(K85))+K77)</f>
        <v>51284.8378933105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62438.1848484941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46721.9316480014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74047.8012166698</v>
      </c>
      <c r="C92" s="36"/>
      <c r="D92" s="36"/>
      <c r="E92" s="27"/>
      <c r="F92" s="60" t="s">
        <v>130</v>
      </c>
      <c r="G92" s="69" t="n">
        <f aca="false">(G90+G91)</f>
        <v>68558.6657291504</v>
      </c>
      <c r="H92" s="37"/>
      <c r="J92" s="60" t="s">
        <v>130</v>
      </c>
      <c r="K92" s="69" t="n">
        <f aca="false">(K90+K91)</f>
        <v>51284.8378933105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62438.1848484941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46721.9316480014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2177.87650637264</v>
      </c>
      <c r="C95" s="36"/>
      <c r="D95" s="36"/>
      <c r="E95" s="27"/>
      <c r="F95" s="97" t="s">
        <v>132</v>
      </c>
      <c r="G95" s="98" t="n">
        <f aca="false">G92/(G85)</f>
        <v>2016.43134497501</v>
      </c>
      <c r="H95" s="37"/>
      <c r="J95" s="97" t="s">
        <v>132</v>
      </c>
      <c r="K95" s="98" t="n">
        <f aca="false">K92/(K85)</f>
        <v>1465.28108266601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1836.4172014263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1374.17446023534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2177.87650637264</v>
      </c>
      <c r="C96" s="36"/>
      <c r="D96" s="36"/>
      <c r="E96" s="27"/>
      <c r="F96" s="99" t="s">
        <v>133</v>
      </c>
      <c r="G96" s="100" t="n">
        <f aca="false">G94+G95</f>
        <v>2016.43134497501</v>
      </c>
      <c r="H96" s="37"/>
      <c r="J96" s="99" t="s">
        <v>133</v>
      </c>
      <c r="K96" s="100" t="n">
        <f aca="false">(K94+K95)</f>
        <v>1465.28108266601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1836.4172014263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1374.17446023534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135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s">
        <v>405</v>
      </c>
      <c r="C108" s="109"/>
      <c r="D108" s="109"/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406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1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361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361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361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-47330.34895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4000.0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65634.53204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2177.87650637264</v>
      </c>
      <c r="B167" s="166" t="str">
        <f aca="false">B94</f>
        <v>0</v>
      </c>
      <c r="C167" s="164"/>
      <c r="D167" s="164"/>
      <c r="E167" s="166" t="n">
        <f aca="false">B96</f>
        <v>2177.87650637264</v>
      </c>
      <c r="F167" s="27"/>
      <c r="G167" s="27" t="n">
        <f aca="false">ROUND(G95,2)</f>
        <v>2016.43</v>
      </c>
      <c r="H167" s="37"/>
      <c r="J167" s="165" t="n">
        <f aca="false">K95</f>
        <v>1465.28108266601</v>
      </c>
      <c r="K167" s="166" t="n">
        <f aca="false">K94</f>
        <v>0</v>
      </c>
      <c r="L167" s="164"/>
      <c r="M167" s="164"/>
      <c r="N167" s="166" t="n">
        <f aca="false">K96</f>
        <v>1465.28108266601</v>
      </c>
      <c r="O167" s="27"/>
      <c r="P167" s="27"/>
      <c r="Q167" s="37"/>
      <c r="S167" s="165" t="n">
        <f aca="false">T95</f>
        <v>1836.4172014263</v>
      </c>
      <c r="T167" s="166" t="n">
        <f aca="false">T94</f>
        <v>0</v>
      </c>
      <c r="U167" s="164"/>
      <c r="V167" s="164"/>
      <c r="W167" s="166" t="n">
        <f aca="false">T96</f>
        <v>1836.4172014263</v>
      </c>
      <c r="X167" s="27"/>
      <c r="Y167" s="27"/>
      <c r="Z167" s="37"/>
      <c r="AB167" s="165" t="n">
        <f aca="false">AC95</f>
        <v>1374.17446023534</v>
      </c>
      <c r="AC167" s="166" t="n">
        <f aca="false">AC94</f>
        <v>0</v>
      </c>
      <c r="AD167" s="164"/>
      <c r="AE167" s="164"/>
      <c r="AF167" s="166" t="n">
        <f aca="false">AC96</f>
        <v>1374.17446023534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214" t="n">
        <f aca="false">K30</f>
        <v>35000</v>
      </c>
      <c r="C170" s="169"/>
      <c r="D170" s="27"/>
      <c r="E170" s="170" t="n">
        <f aca="false">IF(A111="YES",A40,0)</f>
        <v>4425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4425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4425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4425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63634.53204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65634.53204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12838.39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78737.91</v>
      </c>
      <c r="F182" s="27"/>
      <c r="G182" s="27"/>
      <c r="H182" s="107"/>
      <c r="J182" s="113" t="n">
        <f aca="false">(J167*K59)+N185-N179-J185</f>
        <v>17614.5528106445</v>
      </c>
      <c r="K182" s="42" t="n">
        <f aca="false">K114</f>
        <v>239.99</v>
      </c>
      <c r="L182" s="42"/>
      <c r="M182" s="27"/>
      <c r="N182" s="42" t="n">
        <f aca="false">N179+J182+K182+J185</f>
        <v>54504.5468106445</v>
      </c>
      <c r="O182" s="27"/>
      <c r="P182" s="27"/>
      <c r="Q182" s="107"/>
      <c r="S182" s="113" t="n">
        <f aca="false">(S167*T59)+W185-W179-S185</f>
        <v>11910.2138384941</v>
      </c>
      <c r="T182" s="42" t="n">
        <f aca="false">T114</f>
        <v>199.99</v>
      </c>
      <c r="U182" s="42"/>
      <c r="V182" s="27"/>
      <c r="W182" s="42" t="n">
        <f aca="false">W179+S182+T182+S185</f>
        <v>67073.1748484942</v>
      </c>
      <c r="X182" s="27"/>
      <c r="Y182" s="27"/>
      <c r="Z182" s="107"/>
      <c r="AB182" s="113" t="n">
        <f aca="false">(AB167*AC59)+AF185-AF179-AB185</f>
        <v>9264.43464800143</v>
      </c>
      <c r="AC182" s="42" t="n">
        <f aca="false">AC114</f>
        <v>239.99</v>
      </c>
      <c r="AD182" s="42"/>
      <c r="AE182" s="27"/>
      <c r="AF182" s="42" t="n">
        <f aca="false">AF179+AB182+AC182+AB185</f>
        <v>51396.9216480014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(IF(E170=0,E167+A185,E170+A185))</f>
        <v>4450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4445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4435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4435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B68</f>
        <v>984.5179806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2257.57837152778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448.400978727431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341.749541493056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1004.5179806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3397.56837152778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1548.39097872743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1481.73954149306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2177.87650637264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1465.28108266601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1836.4172014263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1374.17446023534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7349.08795999999</v>
      </c>
      <c r="B201" s="47" t="n">
        <f aca="false">E179+A201+B182+A185</f>
        <v>73248.61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2177.87650637264</v>
      </c>
      <c r="B212" s="166" t="str">
        <f aca="false">B167</f>
        <v>0</v>
      </c>
      <c r="C212" s="164"/>
      <c r="D212" s="164"/>
      <c r="E212" s="166" t="n">
        <f aca="false">E167</f>
        <v>2177.87650637264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65634.53204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12838.39</v>
      </c>
      <c r="B224" s="42" t="n">
        <f aca="false">B182</f>
        <v>239.99</v>
      </c>
      <c r="C224" s="42"/>
      <c r="D224" s="27"/>
      <c r="E224" s="42" t="n">
        <f aca="false">E182</f>
        <v>78737.91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2177.87650637264</v>
      </c>
      <c r="B230" s="42" t="str">
        <f aca="false">B167</f>
        <v>0</v>
      </c>
      <c r="C230" s="47"/>
      <c r="D230" s="47"/>
      <c r="E230" s="42" t="n">
        <f aca="false">E167</f>
        <v>2177.87650637264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4425</v>
      </c>
      <c r="B233" s="42" t="n">
        <f aca="false">E185</f>
        <v>4450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984.5179806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5842.6312806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5514.3</v>
      </c>
      <c r="C254" s="182"/>
      <c r="D254" s="183" t="s">
        <v>230</v>
      </c>
      <c r="E254" s="183"/>
      <c r="F254" s="185" t="n">
        <f aca="false">F261+F267+F269+B270+B271</f>
        <v>984.5179806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4549.7820194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5514.3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984.5179806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4549.7820194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errorStyle="stop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errorStyle="stop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errorStyle="stop" operator="between" showDropDown="false" showErrorMessage="true" showInputMessage="true" sqref="B105 K105 T105 AC105" type="list">
      <formula1>$Y$127:$Y$136</formula1>
      <formula2>0</formula2>
    </dataValidation>
    <dataValidation allowBlank="true" errorStyle="stop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5" colorId="64" zoomScale="75" zoomScaleNormal="75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2.5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555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406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59" t="n">
        <f aca="false">K48</f>
        <v>1276.04937773205</v>
      </c>
      <c r="F33" s="359"/>
      <c r="G33" s="359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1226.04937773205</v>
      </c>
      <c r="B36" s="217" t="n">
        <f aca="false">IF(B26="YES",K42,"0.00")</f>
        <v>50</v>
      </c>
      <c r="C36" s="217"/>
      <c r="D36" s="217"/>
      <c r="E36" s="359" t="n">
        <f aca="false">K31</f>
        <v>25825</v>
      </c>
      <c r="F36" s="359"/>
      <c r="G36" s="359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34004.9910269136</v>
      </c>
      <c r="N39" s="6" t="n">
        <f aca="false">K39-L39</f>
        <v>10368.1723730864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50</v>
      </c>
      <c r="C40" s="109"/>
      <c r="D40" s="109"/>
      <c r="E40" s="170" t="n">
        <f aca="false">K32</f>
        <v>1200</v>
      </c>
      <c r="F40" s="47"/>
      <c r="G40" s="47"/>
      <c r="H40" s="51"/>
      <c r="J40" s="7" t="s">
        <v>120</v>
      </c>
      <c r="K40" s="7" t="n">
        <f aca="false">(A40)/1.2</f>
        <v>21520.8333333333</v>
      </c>
      <c r="L40" s="7" t="n">
        <f aca="false">K39-L39</f>
        <v>10368.1723730864</v>
      </c>
      <c r="N40" s="6" t="n">
        <f aca="false">N38-N39</f>
        <v>-7456.49237308641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17670.2794537968</v>
      </c>
      <c r="L44" s="7"/>
    </row>
    <row r="45" customFormat="false" ht="18.75" hidden="false" customHeight="false" outlineLevel="0" collapsed="false">
      <c r="A45" s="404" t="n">
        <v>100.0</v>
      </c>
      <c r="B45" s="36"/>
      <c r="C45" s="403" t="n">
        <v>100.0</v>
      </c>
      <c r="D45" s="403"/>
      <c r="E45" s="403"/>
      <c r="F45" s="36"/>
      <c r="G45" s="36"/>
      <c r="H45" s="37"/>
      <c r="J45" s="7" t="s">
        <v>379</v>
      </c>
      <c r="K45" s="7" t="n">
        <f aca="false">(K39-K44)</f>
        <v>26702.8839462033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1226.04937773205</v>
      </c>
      <c r="L47" s="7" t="n">
        <f aca="false">L49-K42</f>
        <v>750</v>
      </c>
      <c r="M47" s="6" t="n">
        <f aca="false">K47-L47</f>
        <v>476.049377732051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1276.04937773205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1276.04937773205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21669.5130207692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15118.1905234622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11269.0549427971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-3730.29100619485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956.0179806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3311.87475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397.42497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314.1187275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0.05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1226.04937773205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1226.04937773205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1276.04937773205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1276.04937773205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63734.53204</v>
      </c>
      <c r="C81" s="36"/>
      <c r="D81" s="36"/>
      <c r="E81" s="27"/>
      <c r="F81" s="29" t="s">
        <v>119</v>
      </c>
      <c r="G81" s="31" t="n">
        <f aca="false">G158</f>
        <v>63734.53204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25825</v>
      </c>
      <c r="C82" s="36"/>
      <c r="D82" s="36"/>
      <c r="E82" s="27"/>
      <c r="F82" s="35" t="s">
        <v>120</v>
      </c>
      <c r="G82" s="37" t="n">
        <f aca="false">IF(A111="YES",A40,0)</f>
        <v>25825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25825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25825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23</v>
      </c>
      <c r="C85" s="36"/>
      <c r="D85" s="36"/>
      <c r="E85" s="27"/>
      <c r="F85" s="35" t="s">
        <v>123</v>
      </c>
      <c r="G85" s="37" t="n">
        <f aca="false">IF(G82=0,(B59+B58),(B59))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19357.5226432496</v>
      </c>
      <c r="C86" s="36"/>
      <c r="D86" s="36"/>
      <c r="E86" s="27"/>
      <c r="F86" s="35" t="s">
        <v>124</v>
      </c>
      <c r="G86" s="37" t="n">
        <f aca="false">(G82/((1+G84)^(G85+1)))</f>
        <v>21372.2029993672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19491.8910272557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19491.8910272557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19.9760690316744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44377.0093967504</v>
      </c>
      <c r="C88" s="36"/>
      <c r="D88" s="36"/>
      <c r="E88" s="27"/>
      <c r="F88" s="35" t="s">
        <v>126</v>
      </c>
      <c r="G88" s="37" t="n">
        <f aca="false">G81-G86</f>
        <v>42362.3290406328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35461.0799827443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22390.6059727443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2221.5086124495</v>
      </c>
      <c r="C89" s="36"/>
      <c r="D89" s="36"/>
      <c r="E89" s="27"/>
      <c r="F89" s="35" t="s">
        <v>127</v>
      </c>
      <c r="G89" s="37" t="n">
        <f aca="false">(G88/G87)</f>
        <v>2021.87158506595</v>
      </c>
      <c r="H89" s="37"/>
      <c r="J89" s="35" t="s">
        <v>127</v>
      </c>
      <c r="K89" s="37" t="n">
        <f aca="false">(K88/K87)</f>
        <v>1936.66850387093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1769.31478297245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1117.16930692932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51094.6980863384</v>
      </c>
      <c r="C90" s="36"/>
      <c r="D90" s="36"/>
      <c r="E90" s="27"/>
      <c r="F90" s="35" t="s">
        <v>128</v>
      </c>
      <c r="G90" s="37" t="n">
        <f aca="false">((G89*(G85))+G77)</f>
        <v>46503.0464565169</v>
      </c>
      <c r="H90" s="37"/>
      <c r="J90" s="35" t="s">
        <v>128</v>
      </c>
      <c r="K90" s="37" t="n">
        <f aca="false">((K89*(K85))+K77)</f>
        <v>46480.0440929024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40694.2400083663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25694.8940593744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51094.6980863384</v>
      </c>
      <c r="C92" s="36"/>
      <c r="D92" s="36"/>
      <c r="E92" s="27"/>
      <c r="F92" s="60" t="s">
        <v>130</v>
      </c>
      <c r="G92" s="69" t="n">
        <f aca="false">(G90+G91)</f>
        <v>46503.0464565169</v>
      </c>
      <c r="H92" s="37"/>
      <c r="J92" s="60" t="s">
        <v>130</v>
      </c>
      <c r="K92" s="69" t="n">
        <f aca="false">(K90+K91)</f>
        <v>46480.0440929024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40694.2400083663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25694.8940593744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IF(B26="YES",((E40/B85)*(1+A108)*1.2*(C45/100)),"0")</f>
        <v>81.3913043478261</v>
      </c>
      <c r="C94" s="36"/>
      <c r="D94" s="36"/>
      <c r="E94" s="27"/>
      <c r="F94" s="92" t="s">
        <v>131</v>
      </c>
      <c r="G94" s="96" t="n">
        <f aca="false">IF(B26="YES",((E40/B85)*(1+A108)*(C45/100)),"0")</f>
        <v>67.8260869565217</v>
      </c>
      <c r="H94" s="37"/>
      <c r="J94" s="92" t="s">
        <v>131</v>
      </c>
      <c r="K94" s="93" t="n">
        <f aca="false">((E40/K85)*(1+J108))*1.2</f>
        <v>78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62.6086956521739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75.1304347826087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2221.5086124495</v>
      </c>
      <c r="C95" s="36"/>
      <c r="D95" s="36"/>
      <c r="E95" s="27"/>
      <c r="F95" s="97" t="s">
        <v>132</v>
      </c>
      <c r="G95" s="98" t="n">
        <f aca="false">G92/(G85)</f>
        <v>2021.87158506595</v>
      </c>
      <c r="H95" s="37"/>
      <c r="J95" s="97" t="s">
        <v>132</v>
      </c>
      <c r="K95" s="98" t="n">
        <f aca="false">K92/(K85)</f>
        <v>1936.66850387093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1769.31478297245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1117.16930692932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2302.89991679732</v>
      </c>
      <c r="C96" s="36"/>
      <c r="D96" s="36"/>
      <c r="E96" s="27"/>
      <c r="F96" s="99" t="s">
        <v>133</v>
      </c>
      <c r="G96" s="100" t="n">
        <f aca="false">G94+G95</f>
        <v>2089.69767202248</v>
      </c>
      <c r="H96" s="37"/>
      <c r="J96" s="99" t="s">
        <v>133</v>
      </c>
      <c r="K96" s="100" t="n">
        <f aca="false">(K94+K95)</f>
        <v>2014.66850387093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1831.92347862462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1192.29974171193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137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406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405</v>
      </c>
      <c r="C108" s="109"/>
      <c r="D108" s="109"/>
      <c r="E108" s="110" t="n">
        <f aca="false">B83</f>
        <v>0.145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406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1000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1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361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361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361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-45747.0156166667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1000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63734.53204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2221.5086124495</v>
      </c>
      <c r="B167" s="166" t="n">
        <f aca="false">B94</f>
        <v>81.3913043478261</v>
      </c>
      <c r="C167" s="164"/>
      <c r="D167" s="164"/>
      <c r="E167" s="166" t="n">
        <f aca="false">B96</f>
        <v>2302.89991679732</v>
      </c>
      <c r="F167" s="27"/>
      <c r="G167" s="27" t="n">
        <f aca="false">ROUND(G95,2)</f>
        <v>2021.87</v>
      </c>
      <c r="H167" s="37"/>
      <c r="J167" s="165" t="n">
        <f aca="false">K95</f>
        <v>1936.66850387093</v>
      </c>
      <c r="K167" s="166" t="n">
        <f aca="false">K94</f>
        <v>78</v>
      </c>
      <c r="L167" s="164"/>
      <c r="M167" s="164"/>
      <c r="N167" s="166" t="n">
        <f aca="false">K96</f>
        <v>2014.66850387093</v>
      </c>
      <c r="O167" s="27"/>
      <c r="P167" s="27"/>
      <c r="Q167" s="37"/>
      <c r="S167" s="165" t="n">
        <f aca="false">T95</f>
        <v>1769.31478297245</v>
      </c>
      <c r="T167" s="166" t="n">
        <f aca="false">T94</f>
        <v>62.6086956521739</v>
      </c>
      <c r="U167" s="164"/>
      <c r="V167" s="164"/>
      <c r="W167" s="166" t="n">
        <f aca="false">T96</f>
        <v>1831.92347862462</v>
      </c>
      <c r="X167" s="27"/>
      <c r="Y167" s="27"/>
      <c r="Z167" s="37"/>
      <c r="AB167" s="165" t="n">
        <f aca="false">AC95</f>
        <v>1117.16930692932</v>
      </c>
      <c r="AC167" s="166" t="n">
        <f aca="false">AC94</f>
        <v>75.1304347826087</v>
      </c>
      <c r="AD167" s="164"/>
      <c r="AE167" s="164"/>
      <c r="AF167" s="166" t="n">
        <f aca="false">AC96</f>
        <v>1192.29974171193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25825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25825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25825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25825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63634.53204</v>
      </c>
      <c r="B176" s="42" t="n">
        <f aca="false">B111</f>
        <v>1000</v>
      </c>
      <c r="C176" s="42"/>
      <c r="D176" s="27"/>
      <c r="E176" s="42" t="n">
        <f aca="false">E111</f>
        <v>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1000</v>
      </c>
      <c r="B179" s="42" t="n">
        <f aca="false">G154</f>
        <v>0</v>
      </c>
      <c r="C179" s="42"/>
      <c r="D179" s="27"/>
      <c r="E179" s="42" t="n">
        <f aca="false">G158</f>
        <v>63734.53204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13185.2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77184.72</v>
      </c>
      <c r="F182" s="27"/>
      <c r="G182" s="27"/>
      <c r="H182" s="107"/>
      <c r="J182" s="113" t="n">
        <f aca="false">(J167*K59)+N185-N179-J185</f>
        <v>33738.3715890315</v>
      </c>
      <c r="K182" s="42" t="n">
        <f aca="false">K114</f>
        <v>239.99</v>
      </c>
      <c r="L182" s="42"/>
      <c r="M182" s="27"/>
      <c r="N182" s="42" t="n">
        <f aca="false">N179+J182+K182+J185</f>
        <v>70628.3655890315</v>
      </c>
      <c r="O182" s="27"/>
      <c r="P182" s="27"/>
      <c r="Q182" s="107"/>
      <c r="S182" s="113" t="n">
        <f aca="false">(S167*T59)+W185-W179-S185</f>
        <v>11566.2689983663</v>
      </c>
      <c r="T182" s="42" t="n">
        <f aca="false">T114</f>
        <v>199.99</v>
      </c>
      <c r="U182" s="42"/>
      <c r="V182" s="27"/>
      <c r="W182" s="42" t="n">
        <f aca="false">W179+S182+T182+S185</f>
        <v>66729.2300083663</v>
      </c>
      <c r="X182" s="27"/>
      <c r="Y182" s="27"/>
      <c r="Z182" s="107"/>
      <c r="AB182" s="113" t="n">
        <f aca="false">(AB167*AC59)+AF185-AF179-AB185</f>
        <v>9637.39705937438</v>
      </c>
      <c r="AC182" s="42" t="n">
        <f aca="false">AC114</f>
        <v>239.99</v>
      </c>
      <c r="AD182" s="42"/>
      <c r="AE182" s="27"/>
      <c r="AF182" s="42" t="n">
        <f aca="false">AF179+AB182+AC182+AB185</f>
        <v>51769.8840593744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1239.99</v>
      </c>
      <c r="C185" s="42"/>
      <c r="D185" s="27"/>
      <c r="E185" s="42" t="n">
        <f aca="false">IF( E170=0, A185+E167, E170+A185)</f>
        <v>25850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25845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25835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25835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0.105979992</v>
      </c>
      <c r="B188" s="42" t="n">
        <f aca="false">(G158*B67)</f>
        <v>956.0179806</v>
      </c>
      <c r="C188" s="36"/>
      <c r="D188" s="36"/>
      <c r="E188" s="42" t="n">
        <f aca="false">(E40*A108)*0.1*C45/100</f>
        <v>36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1907.81270833333</v>
      </c>
      <c r="L188" s="36"/>
      <c r="M188" s="36"/>
      <c r="N188" s="42" t="n">
        <f aca="false">(E40*J108)*0.1</f>
        <v>36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343.4560688125</v>
      </c>
      <c r="U188" s="36"/>
      <c r="V188" s="36"/>
      <c r="W188" s="42" t="n">
        <f aca="false">(E40*S108)*0.1</f>
        <v>24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261.76560625</v>
      </c>
      <c r="AD188" s="36"/>
      <c r="AE188" s="36"/>
      <c r="AF188" s="42" t="n">
        <f aca="false">(E40*AB108)*0.1</f>
        <v>24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1012.0179806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3083.80270833333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1467.4460688125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1425.75560625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2302.89991679732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n">
        <f aca="false">K96</f>
        <v>2014.66850387093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n">
        <f aca="false">T96</f>
        <v>1831.92347862462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n">
        <f aca="false">AC96</f>
        <v>1192.29974171193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8593.47795999999</v>
      </c>
      <c r="B201" s="47" t="n">
        <f aca="false">E179+A201+B182+A185</f>
        <v>72593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2221.5086124495</v>
      </c>
      <c r="B212" s="166" t="n">
        <f aca="false">B167</f>
        <v>81.3913043478261</v>
      </c>
      <c r="C212" s="164"/>
      <c r="D212" s="164"/>
      <c r="E212" s="166" t="n">
        <f aca="false">E167</f>
        <v>2302.89991679732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1000</v>
      </c>
      <c r="B221" s="42" t="n">
        <f aca="false">B179</f>
        <v>0</v>
      </c>
      <c r="C221" s="42"/>
      <c r="D221" s="27"/>
      <c r="E221" s="42" t="n">
        <f aca="false">E179</f>
        <v>63734.53204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13185.2</v>
      </c>
      <c r="B224" s="42" t="n">
        <f aca="false">B182</f>
        <v>239.99</v>
      </c>
      <c r="C224" s="42"/>
      <c r="D224" s="27"/>
      <c r="E224" s="42" t="n">
        <f aca="false">E182</f>
        <v>77184.72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1239.99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2221.5086124495</v>
      </c>
      <c r="B230" s="42" t="n">
        <f aca="false">B167</f>
        <v>81.3913043478261</v>
      </c>
      <c r="C230" s="47"/>
      <c r="D230" s="47"/>
      <c r="E230" s="42" t="n">
        <f aca="false">E167</f>
        <v>2302.89991679732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25825</v>
      </c>
      <c r="B233" s="42" t="n">
        <f aca="false">E185</f>
        <v>25850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956.0179806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8750.1312806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4616.72</v>
      </c>
      <c r="C254" s="182"/>
      <c r="D254" s="183" t="s">
        <v>230</v>
      </c>
      <c r="E254" s="183"/>
      <c r="F254" s="185" t="n">
        <f aca="false">F261+F267+F269+B270+B271</f>
        <v>956.0179806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4040.7020194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4616.72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956.0179806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4040.7020194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E105" type="list">
      <formula1>$Z$19:$Z$20</formula1>
      <formula2>0</formula2>
    </dataValidation>
    <dataValidation allowBlank="true" errorStyle="stop" operator="between" showDropDown="false" showErrorMessage="true" showInputMessage="true" sqref="B26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75" zoomScaleNormal="75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397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5" t="s">
        <v>156</v>
      </c>
      <c r="C2" s="395"/>
      <c r="D2" s="395" t="s">
        <v>157</v>
      </c>
      <c r="E2" s="395"/>
      <c r="F2" s="395" t="s">
        <v>158</v>
      </c>
      <c r="G2" s="395"/>
      <c r="H2" s="350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6" t="n">
        <v>44008.33</v>
      </c>
      <c r="C3" s="396" t="n">
        <v>0</v>
      </c>
      <c r="D3" s="396" t="n">
        <v>0.0</v>
      </c>
      <c r="E3" s="396"/>
      <c r="F3" s="396" t="n">
        <v>0.0</v>
      </c>
      <c r="G3" s="396"/>
      <c r="H3" s="352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6" t="n">
        <v>0.0</v>
      </c>
      <c r="C5" s="396" t="n">
        <v>0</v>
      </c>
      <c r="D5" s="396" t="n">
        <v>0.0</v>
      </c>
      <c r="E5" s="396"/>
      <c r="F5" s="396" t="n">
        <v>0.0</v>
      </c>
      <c r="G5" s="396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3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2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2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2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2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4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2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5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5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5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399" t="s">
        <v>184</v>
      </c>
      <c r="B21" s="399"/>
      <c r="C21" s="399"/>
      <c r="D21" s="399"/>
      <c r="E21" s="399"/>
      <c r="F21" s="399"/>
      <c r="G21" s="356"/>
      <c r="H21" s="357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406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58" t="n">
        <v>24.0</v>
      </c>
    </row>
    <row r="30" customFormat="false" ht="18.75" hidden="false" customHeight="false" outlineLevel="0" collapsed="false">
      <c r="A30" s="35" t="s">
        <v>195</v>
      </c>
      <c r="B30" s="106" t="s">
        <v>412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59" t="n">
        <f aca="false">K48</f>
        <v>1379.29653909154</v>
      </c>
      <c r="F33" s="359"/>
      <c r="G33" s="359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1274.27653909154</v>
      </c>
      <c r="B36" s="217" t="n">
        <f aca="false">IF(B26="YES",K42,"0.00")</f>
        <v>105.02</v>
      </c>
      <c r="C36" s="217"/>
      <c r="D36" s="217"/>
      <c r="E36" s="359" t="n">
        <f aca="false">K31</f>
        <v>8850</v>
      </c>
      <c r="F36" s="359"/>
      <c r="G36" s="359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26724.8960894431</v>
      </c>
      <c r="N39" s="6" t="n">
        <f aca="false">K39-L39</f>
        <v>17648.2673105569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105.02</v>
      </c>
      <c r="C40" s="109"/>
      <c r="D40" s="109"/>
      <c r="E40" s="170" t="n">
        <f aca="false">K32</f>
        <v>3675.7</v>
      </c>
      <c r="F40" s="47"/>
      <c r="G40" s="47"/>
      <c r="H40" s="51"/>
      <c r="J40" s="7" t="s">
        <v>120</v>
      </c>
      <c r="K40" s="7" t="n">
        <f aca="false">(A40)/1.2</f>
        <v>7375</v>
      </c>
      <c r="L40" s="7" t="n">
        <f aca="false">K39-L39</f>
        <v>17648.2673105569</v>
      </c>
      <c r="N40" s="6" t="n">
        <f aca="false">N38-N39</f>
        <v>-14736.5873105569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105.02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5552.33249235132</v>
      </c>
      <c r="L44" s="7"/>
    </row>
    <row r="45" customFormat="false" ht="18.75" hidden="false" customHeight="false" outlineLevel="0" collapsed="false">
      <c r="A45" s="404" t="n">
        <v>100.0</v>
      </c>
      <c r="B45" s="36"/>
      <c r="C45" s="403" t="n">
        <v>100.0</v>
      </c>
      <c r="D45" s="403"/>
      <c r="E45" s="403"/>
      <c r="F45" s="36"/>
      <c r="G45" s="36"/>
      <c r="H45" s="37"/>
      <c r="J45" s="7" t="s">
        <v>379</v>
      </c>
      <c r="K45" s="7" t="n">
        <f aca="false">(K39-K44)</f>
        <v>38820.8309076487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30.4649969741457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1274.27653909154</v>
      </c>
      <c r="L47" s="7" t="n">
        <f aca="false">L49-K42</f>
        <v>694.98</v>
      </c>
      <c r="M47" s="6" t="n">
        <f aca="false">K47-L47</f>
        <v>579.296539091544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1379.29653909154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1379.29653909154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26721.6832734843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5219.87794244046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14199.9130583891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-1516.34014210362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485.5089903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3919.0517875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518.8603775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410.099449791667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1274.27653909154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1274.27653909154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1379.29653909154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1379.29653909154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64734.53204</v>
      </c>
      <c r="C81" s="36"/>
      <c r="D81" s="36"/>
      <c r="E81" s="27"/>
      <c r="F81" s="29" t="s">
        <v>119</v>
      </c>
      <c r="G81" s="31" t="n">
        <f aca="false">G158</f>
        <v>64734.53204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8850</v>
      </c>
      <c r="C82" s="36"/>
      <c r="D82" s="36"/>
      <c r="E82" s="27"/>
      <c r="F82" s="35" t="s">
        <v>120</v>
      </c>
      <c r="G82" s="37" t="n">
        <f aca="false">IF(A111="YES",A40,0)</f>
        <v>8850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8850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8850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0.1375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0.0114583333333333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5939.68454456854</v>
      </c>
      <c r="C86" s="36"/>
      <c r="D86" s="36"/>
      <c r="E86" s="27"/>
      <c r="F86" s="35" t="s">
        <v>124</v>
      </c>
      <c r="G86" s="37" t="n">
        <f aca="false">(G82/((1+G84)^(G85+1)))</f>
        <v>6715.54614949892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6052.09570143427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6052.09570143427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28.0284160988593</v>
      </c>
      <c r="C87" s="36"/>
      <c r="D87" s="36"/>
      <c r="E87" s="27"/>
      <c r="F87" s="35" t="s">
        <v>125</v>
      </c>
      <c r="G87" s="37" t="n">
        <f aca="false">((1-(1/((1+G84)^G85)))/G84)</f>
        <v>29.706178200191</v>
      </c>
      <c r="H87" s="37"/>
      <c r="J87" s="35" t="s">
        <v>125</v>
      </c>
      <c r="K87" s="37" t="n">
        <f aca="false">((1-(1/((1+K84)^K85)))/K84)</f>
        <v>24.9986193320351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58794.8474954315</v>
      </c>
      <c r="C88" s="36"/>
      <c r="D88" s="36"/>
      <c r="E88" s="27"/>
      <c r="F88" s="35" t="s">
        <v>126</v>
      </c>
      <c r="G88" s="37" t="n">
        <f aca="false">G81-G86</f>
        <v>58018.9858905011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48900.8753085657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35830.4012985657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2097.68712181436</v>
      </c>
      <c r="C89" s="36"/>
      <c r="D89" s="36"/>
      <c r="E89" s="27"/>
      <c r="F89" s="35" t="s">
        <v>127</v>
      </c>
      <c r="G89" s="37" t="n">
        <f aca="false">(G88/G87)</f>
        <v>1953.09492522091</v>
      </c>
      <c r="H89" s="37"/>
      <c r="J89" s="35" t="s">
        <v>127</v>
      </c>
      <c r="K89" s="37" t="n">
        <f aca="false">(K88/K87)</f>
        <v>1465.28108266601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1729.39976254686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1267.15702135589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71321.3621416884</v>
      </c>
      <c r="C90" s="36"/>
      <c r="D90" s="36"/>
      <c r="E90" s="27"/>
      <c r="F90" s="35" t="s">
        <v>128</v>
      </c>
      <c r="G90" s="37" t="n">
        <f aca="false">((G89*(G85))+G77)</f>
        <v>66405.227457511</v>
      </c>
      <c r="H90" s="37"/>
      <c r="J90" s="35" t="s">
        <v>128</v>
      </c>
      <c r="K90" s="37" t="n">
        <f aca="false">((K89*(K85))+K77)</f>
        <v>51284.8378933105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58799.5919265931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43083.3387261004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71321.3621416884</v>
      </c>
      <c r="C92" s="36"/>
      <c r="D92" s="36"/>
      <c r="E92" s="27"/>
      <c r="F92" s="60" t="s">
        <v>130</v>
      </c>
      <c r="G92" s="69" t="n">
        <f aca="false">(G90+G91)</f>
        <v>66405.227457511</v>
      </c>
      <c r="H92" s="37"/>
      <c r="J92" s="60" t="s">
        <v>130</v>
      </c>
      <c r="K92" s="69" t="n">
        <f aca="false">(K90+K91)</f>
        <v>51284.8378933105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58799.5919265931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43083.3387261004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IF(B26="YES",((E40/B85)*(1+A108)*(C45/100)),"0")</f>
        <v>129.730588235294</v>
      </c>
      <c r="C94" s="36"/>
      <c r="D94" s="36"/>
      <c r="E94" s="27"/>
      <c r="F94" s="92" t="s">
        <v>131</v>
      </c>
      <c r="G94" s="96" t="n">
        <f aca="false">IF(B26="YES",((E40/B85)*(1+A108)*(C45/100)),"0")</f>
        <v>129.730588235294</v>
      </c>
      <c r="H94" s="37"/>
      <c r="J94" s="92" t="s">
        <v>131</v>
      </c>
      <c r="K94" s="93" t="n">
        <f aca="false">((E40/K85)*(1+J108))*1.2</f>
        <v>163.8312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129.730588235294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155.676705882353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2097.68712181436</v>
      </c>
      <c r="C95" s="36"/>
      <c r="D95" s="36"/>
      <c r="E95" s="27"/>
      <c r="F95" s="97" t="s">
        <v>132</v>
      </c>
      <c r="G95" s="98" t="n">
        <f aca="false">G92/(G85)</f>
        <v>1953.09492522091</v>
      </c>
      <c r="H95" s="37"/>
      <c r="J95" s="97" t="s">
        <v>132</v>
      </c>
      <c r="K95" s="98" t="n">
        <f aca="false">K92/(K85)</f>
        <v>1465.28108266601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1729.39976254686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1267.15702135589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2227.41771004966</v>
      </c>
      <c r="C96" s="36"/>
      <c r="D96" s="36"/>
      <c r="E96" s="27"/>
      <c r="F96" s="99" t="s">
        <v>133</v>
      </c>
      <c r="G96" s="100" t="n">
        <f aca="false">G94+G95</f>
        <v>2082.82551345621</v>
      </c>
      <c r="H96" s="37"/>
      <c r="J96" s="99" t="s">
        <v>133</v>
      </c>
      <c r="K96" s="100" t="n">
        <f aca="false">(K94+K95)</f>
        <v>1629.11228266601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1859.13035078215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1422.83372723825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406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410</v>
      </c>
      <c r="C108" s="109"/>
      <c r="D108" s="109"/>
      <c r="E108" s="110" t="n">
        <f aca="false">B83</f>
        <v>0.1375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406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1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361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361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361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-46580.34895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64734.53204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2097.68712181436</v>
      </c>
      <c r="B167" s="166" t="n">
        <f aca="false">B94</f>
        <v>129.730588235294</v>
      </c>
      <c r="C167" s="164"/>
      <c r="D167" s="164"/>
      <c r="E167" s="166" t="n">
        <f aca="false">B96</f>
        <v>2227.41771004966</v>
      </c>
      <c r="F167" s="27"/>
      <c r="G167" s="27" t="n">
        <f aca="false">ROUND(G95,2)</f>
        <v>1953.09</v>
      </c>
      <c r="H167" s="37"/>
      <c r="J167" s="165" t="n">
        <f aca="false">K95</f>
        <v>1465.28108266601</v>
      </c>
      <c r="K167" s="166" t="n">
        <f aca="false">K94</f>
        <v>163.8312</v>
      </c>
      <c r="L167" s="164"/>
      <c r="M167" s="164"/>
      <c r="N167" s="166" t="n">
        <f aca="false">K96</f>
        <v>1629.11228266601</v>
      </c>
      <c r="O167" s="27"/>
      <c r="P167" s="27"/>
      <c r="Q167" s="37"/>
      <c r="S167" s="165" t="n">
        <f aca="false">T95</f>
        <v>1729.39976254686</v>
      </c>
      <c r="T167" s="166" t="n">
        <f aca="false">T94</f>
        <v>129.730588235294</v>
      </c>
      <c r="U167" s="164"/>
      <c r="V167" s="164"/>
      <c r="W167" s="166" t="n">
        <f aca="false">T96</f>
        <v>1859.13035078215</v>
      </c>
      <c r="X167" s="27"/>
      <c r="Y167" s="27"/>
      <c r="Z167" s="37"/>
      <c r="AB167" s="165" t="n">
        <f aca="false">AC95</f>
        <v>1267.15702135589</v>
      </c>
      <c r="AC167" s="166" t="n">
        <f aca="false">AC94</f>
        <v>155.676705882353</v>
      </c>
      <c r="AD167" s="164"/>
      <c r="AE167" s="164"/>
      <c r="AF167" s="166" t="n">
        <f aca="false">AC96</f>
        <v>1422.83372723825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168" t="n">
        <f aca="false">K30</f>
        <v>35000</v>
      </c>
      <c r="C170" s="169"/>
      <c r="D170" s="27"/>
      <c r="E170" s="170" t="n">
        <f aca="false">IF(A111="YES",A40,0)</f>
        <v>8850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8850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8850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8850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H141-H137-H139-H140-H142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63634.53204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64734.53204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15436.93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80436.448</v>
      </c>
      <c r="F182" s="27"/>
      <c r="G182" s="27"/>
      <c r="H182" s="107"/>
      <c r="J182" s="113" t="n">
        <f aca="false">(J167*K59)+N185-N179-J185</f>
        <v>22039.5528106445</v>
      </c>
      <c r="K182" s="42" t="n">
        <f aca="false">K114</f>
        <v>239.99</v>
      </c>
      <c r="L182" s="42"/>
      <c r="M182" s="27"/>
      <c r="N182" s="42" t="n">
        <f aca="false">N179+J182+K182+J185</f>
        <v>58929.5468106445</v>
      </c>
      <c r="O182" s="27"/>
      <c r="P182" s="27"/>
      <c r="Q182" s="107"/>
      <c r="S182" s="113" t="n">
        <f aca="false">(S167*T59)+W185-W179-S185</f>
        <v>12696.6209165931</v>
      </c>
      <c r="T182" s="42" t="n">
        <f aca="false">T114</f>
        <v>199.99</v>
      </c>
      <c r="U182" s="42"/>
      <c r="V182" s="27"/>
      <c r="W182" s="42" t="n">
        <f aca="false">W179+S182+T182+S185</f>
        <v>67859.5819265931</v>
      </c>
      <c r="X182" s="27"/>
      <c r="Y182" s="27"/>
      <c r="Z182" s="107"/>
      <c r="AB182" s="113" t="n">
        <f aca="false">(AB167*AC59)+AF185-AF179-AB185</f>
        <v>10050.8417261004</v>
      </c>
      <c r="AC182" s="42" t="n">
        <f aca="false">AC114</f>
        <v>239.99</v>
      </c>
      <c r="AD182" s="42"/>
      <c r="AE182" s="27"/>
      <c r="AF182" s="42" t="n">
        <f aca="false">AF179+AB182+AC182+AB185</f>
        <v>52183.3287261004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8875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8870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8860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8860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10.5979992</v>
      </c>
      <c r="B188" s="42" t="n">
        <f aca="false">(G158*B67)</f>
        <v>485.5089903</v>
      </c>
      <c r="C188" s="36"/>
      <c r="D188" s="36"/>
      <c r="E188" s="42" t="n">
        <f aca="false">(E40*A108)*0.1*(C45/100)</f>
        <v>73.514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2257.57837152778</v>
      </c>
      <c r="L188" s="36"/>
      <c r="M188" s="36"/>
      <c r="N188" s="42" t="n">
        <f aca="false">(E40*J108)*0.1</f>
        <v>110.271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448.400978727431</v>
      </c>
      <c r="U188" s="36"/>
      <c r="V188" s="36"/>
      <c r="W188" s="42" t="n">
        <f aca="false">(E40*S108)*0.1</f>
        <v>73.514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341.749541493056</v>
      </c>
      <c r="AD188" s="36"/>
      <c r="AE188" s="36"/>
      <c r="AF188" s="42" t="n">
        <f aca="false">(E40*AB108)*0.1</f>
        <v>73.514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579.0229903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3507.83937152778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1621.90497872743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1555.25354149306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2227.41771004966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1629.11228266601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1859.13035078215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1422.83372723825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10520.52796</v>
      </c>
      <c r="B201" s="47" t="n">
        <f aca="false">E179+A201+(B182*1.2)+A185</f>
        <v>75520.05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2097.68712181436</v>
      </c>
      <c r="B212" s="166" t="n">
        <f aca="false">B167</f>
        <v>129.730588235294</v>
      </c>
      <c r="C212" s="164"/>
      <c r="D212" s="164"/>
      <c r="E212" s="166" t="n">
        <f aca="false">E167</f>
        <v>2227.41771004966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64734.53204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15436.93</v>
      </c>
      <c r="B224" s="42" t="n">
        <f aca="false">B182</f>
        <v>199.991666666667</v>
      </c>
      <c r="C224" s="42"/>
      <c r="D224" s="27"/>
      <c r="E224" s="42" t="n">
        <f aca="false">E182</f>
        <v>80436.448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2097.68712181436</v>
      </c>
      <c r="B230" s="42" t="n">
        <f aca="false">B167</f>
        <v>129.730588235294</v>
      </c>
      <c r="C230" s="47"/>
      <c r="D230" s="47"/>
      <c r="E230" s="42" t="n">
        <f aca="false">E167</f>
        <v>2227.41771004966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8850</v>
      </c>
      <c r="B233" s="42" t="n">
        <f aca="false">E185</f>
        <v>8875</v>
      </c>
      <c r="C233" s="36"/>
      <c r="D233" s="36"/>
      <c r="E233" s="42" t="n">
        <f aca="false">J18*0.000006*100</f>
        <v>31.7939976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10.5979992</v>
      </c>
      <c r="B236" s="42" t="n">
        <f aca="false">E233+A236</f>
        <v>42.3919968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485.5089903</v>
      </c>
      <c r="C240" s="36"/>
      <c r="D240" s="36"/>
      <c r="E240" s="42" t="n">
        <f aca="false">E188</f>
        <v>73.514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6317.1362903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0.1375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4941.39799999999</v>
      </c>
      <c r="C254" s="182"/>
      <c r="D254" s="183" t="s">
        <v>230</v>
      </c>
      <c r="E254" s="183"/>
      <c r="F254" s="185" t="n">
        <f aca="false">F261+F267+F269+B270+B271</f>
        <v>485.5089903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755.14</v>
      </c>
      <c r="C255" s="182"/>
      <c r="D255" s="183" t="s">
        <v>232</v>
      </c>
      <c r="E255" s="183"/>
      <c r="F255" s="185" t="n">
        <f aca="false">(B254-F254)+B255</f>
        <v>5211.02900969999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0.0425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0.1375</v>
      </c>
      <c r="C260" s="47"/>
      <c r="D260" s="156" t="s">
        <v>229</v>
      </c>
      <c r="E260" s="156"/>
      <c r="F260" s="135" t="n">
        <f aca="false">B254</f>
        <v>4941.39799999999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485.5089903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735.14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5211.02900969999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 t="s">
        <v>31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2" t="n">
        <v>0</v>
      </c>
      <c r="F3" s="67"/>
      <c r="G3" s="67" t="n">
        <v>25000</v>
      </c>
      <c r="H3" s="67"/>
      <c r="I3" s="67" t="s">
        <v>32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3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405" t="n">
        <f aca="false">(B7+C7+D7+E3)</f>
        <v>43128.1634</v>
      </c>
      <c r="F9" s="67"/>
      <c r="G9" s="362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362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(E9+E10)*0.2</f>
        <v>8655.63268</v>
      </c>
      <c r="F11" s="67"/>
      <c r="G11" s="362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362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406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364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7" t="n">
        <f aca="false">IF(C107="YES",H31,0)</f>
        <v>25825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1440.0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7" t="n">
        <f aca="false">H48</f>
        <v>1286.04937773205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60</v>
      </c>
      <c r="C36" s="205"/>
      <c r="D36" s="170" t="n">
        <f aca="false">I31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46854.9641310989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60</v>
      </c>
      <c r="C40" s="109"/>
      <c r="D40" s="170" t="n">
        <f aca="false">I32</f>
        <v>1440</v>
      </c>
      <c r="E40" s="200"/>
      <c r="F40" s="67"/>
      <c r="G40" s="67" t="s">
        <v>120</v>
      </c>
      <c r="H40" s="7" t="n">
        <f aca="false">A40/1.2</f>
        <v>21520.8333333333</v>
      </c>
      <c r="I40" s="7" t="n">
        <f aca="false">H39-I39</f>
        <v>-2481.80073109885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60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17670.2794537968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100.0</v>
      </c>
      <c r="B45" s="199"/>
      <c r="C45" s="371" t="n">
        <v>100.0</v>
      </c>
      <c r="D45" s="371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1286.04937773205</v>
      </c>
      <c r="I48" s="7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1286.04937773205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200"/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379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337" t="s">
        <v>291</v>
      </c>
      <c r="B74" s="338" t="n">
        <v>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339" t="s">
        <v>292</v>
      </c>
      <c r="B75" s="340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341" t="s">
        <v>293</v>
      </c>
      <c r="B76" s="342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6010.50700294118</v>
      </c>
      <c r="C81" s="199"/>
      <c r="D81" s="199"/>
      <c r="E81" s="200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250.437791789216</v>
      </c>
      <c r="C82" s="199"/>
      <c r="D82" s="199"/>
      <c r="E82" s="200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200"/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35435.6920685104</v>
      </c>
      <c r="C85" s="199"/>
      <c r="D85" s="199"/>
      <c r="E85" s="200"/>
      <c r="F85" s="67"/>
      <c r="G85" s="265" t="s">
        <v>128</v>
      </c>
      <c r="H85" s="31" t="n">
        <f aca="false">((H83*H29)+H81)*1.2</f>
        <v>41890.2716586831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308.291861395438</v>
      </c>
      <c r="C86" s="199"/>
      <c r="D86" s="199"/>
      <c r="E86" s="200"/>
      <c r="F86" s="67"/>
      <c r="G86" s="198" t="s">
        <v>129</v>
      </c>
      <c r="H86" s="37" t="n">
        <f aca="false">((((H83*H29)+H81))/(1-H70))*H70</f>
        <v>295.715915299296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294.201695855972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35743.9839299058</v>
      </c>
      <c r="C87" s="199"/>
      <c r="D87" s="199"/>
      <c r="E87" s="200"/>
      <c r="F87" s="67"/>
      <c r="G87" s="262" t="s">
        <v>130</v>
      </c>
      <c r="H87" s="69" t="n">
        <f aca="false">IF(H110="YES",((H85+H86)-K114),(H85+H86))</f>
        <v>42185.9875739824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IF(B99=Y98,(D40+(D40*B105))/(B58),(D40+(D40*B105))/(B57+B58))*(C45/100)</f>
        <v>72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71.5034482758621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59.5862068965517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1489.33266374608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1561.33266374608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1526.19267496491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1267.31073832501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353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 t="s">
        <v>354</v>
      </c>
      <c r="C107" s="206" t="s">
        <v>406</v>
      </c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31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1000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429.020689655172</v>
      </c>
      <c r="I127" s="166"/>
      <c r="J127" s="301" t="n">
        <f aca="false">H91</f>
        <v>1526.19267496491</v>
      </c>
      <c r="K127" s="200"/>
      <c r="L127" s="67"/>
      <c r="M127" s="300" t="n">
        <f aca="false">N90</f>
        <v>1207.72453142845</v>
      </c>
      <c r="N127" s="166" t="n">
        <f aca="false">IF(M105="YES",N89*N57,0)</f>
        <v>357.51724137931</v>
      </c>
      <c r="O127" s="166"/>
      <c r="P127" s="166" t="n">
        <f aca="false">N91</f>
        <v>1267.31073832501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1489.33266374608</v>
      </c>
      <c r="B128" s="290" t="n">
        <f aca="false">IF(A105="YES",B89,0)</f>
        <v>72</v>
      </c>
      <c r="C128" s="294"/>
      <c r="D128" s="290" t="n">
        <f aca="false">B91</f>
        <v>1561.33266374608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214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214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1489.33266374608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8728.13536013428</v>
      </c>
      <c r="H133" s="42" t="n">
        <f aca="false">IF(G105="YES",H89*H57,0)</f>
        <v>429.020689655172</v>
      </c>
      <c r="I133" s="205"/>
      <c r="J133" s="170" t="n">
        <f aca="false">H91*H57</f>
        <v>9157.15604978946</v>
      </c>
      <c r="K133" s="200"/>
      <c r="L133" s="67"/>
      <c r="M133" s="171" t="n">
        <f aca="false">N90*N57</f>
        <v>7246.34718857073</v>
      </c>
      <c r="N133" s="42" t="n">
        <f aca="false">IF(M105="YES",N89*N57,0)</f>
        <v>357.51724137931</v>
      </c>
      <c r="O133" s="205"/>
      <c r="P133" s="170" t="n">
        <f aca="false">N91*N57</f>
        <v>7603.86442995004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1561.33266374608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1489.33266374608</v>
      </c>
      <c r="B137" s="42" t="n">
        <f aca="false">IF(A105="YES",B89,0)</f>
        <v>72</v>
      </c>
      <c r="C137" s="199"/>
      <c r="D137" s="42" t="n">
        <f aca="false">B91</f>
        <v>1561.33266374608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31.7939976</v>
      </c>
      <c r="B140" s="309" t="n">
        <f aca="false">IF(A105="YES",G18*0.000002,0)*100</f>
        <v>10.5979992</v>
      </c>
      <c r="C140" s="310"/>
      <c r="D140" s="309" t="n">
        <f aca="false">A140+B140</f>
        <v>42.3919968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28.8</v>
      </c>
      <c r="H142" s="42" t="n">
        <f aca="false">G102-100</f>
        <v>99.99</v>
      </c>
      <c r="I142" s="42"/>
      <c r="J142" s="42" t="n">
        <f aca="false">(H139+J139+G142+H142)-H145</f>
        <v>791.16495</v>
      </c>
      <c r="K142" s="107"/>
      <c r="L142" s="67"/>
      <c r="M142" s="113" t="n">
        <f aca="false">IF(M105="YES",((B36*N105)*0.1)*(M130),0)</f>
        <v>28.8</v>
      </c>
      <c r="N142" s="42" t="n">
        <f aca="false">M102-100</f>
        <v>99.99</v>
      </c>
      <c r="O142" s="42"/>
      <c r="P142" s="42" t="n">
        <f aca="false">(N139+P139+M142+N142)-N145</f>
        <v>791.16495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28.8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498.8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1526.19267496491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1267.31073832501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1561.33266374608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1489.33266374608</v>
      </c>
      <c r="B177" s="290" t="n">
        <f aca="false">IF(A105="YES",B89,0)</f>
        <v>72</v>
      </c>
      <c r="C177" s="294"/>
      <c r="D177" s="290" t="n">
        <f aca="false">B91</f>
        <v>1561.33266374608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1489.33266374608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1561.33266374608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1489.33266374608</v>
      </c>
      <c r="B186" s="42" t="n">
        <f aca="false">IF(A105="YES",B89,0)</f>
        <v>72</v>
      </c>
      <c r="C186" s="199"/>
      <c r="D186" s="42" t="n">
        <f aca="false">B91</f>
        <v>1561.33266374608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IF(A105="YES",G18*0.000002,0)*100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28.8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498.8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568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4954.62465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4954.62465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288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308.291861395438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$I$2:$I$3</formula1>
      <formula2>0</formula2>
    </dataValidation>
    <dataValidation allowBlank="true" errorStyle="stop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2" t="n">
        <v>0</v>
      </c>
      <c r="F3" s="67"/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3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405" t="n">
        <f aca="false">(B7+C7+D7+E3)</f>
        <v>43128.1634</v>
      </c>
      <c r="F9" s="67"/>
      <c r="G9" s="362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362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(E9+E10)*0.2</f>
        <v>8655.63268</v>
      </c>
      <c r="F11" s="67"/>
      <c r="G11" s="362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362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406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364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7" t="n">
        <f aca="false">H48</f>
        <v>1276.04937773205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50</v>
      </c>
      <c r="C36" s="205"/>
      <c r="D36" s="170" t="n">
        <f aca="false">H31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47072.7602854071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50</v>
      </c>
      <c r="C40" s="109"/>
      <c r="D40" s="170" t="n">
        <f aca="false">I32</f>
        <v>1200</v>
      </c>
      <c r="E40" s="200"/>
      <c r="F40" s="67"/>
      <c r="G40" s="67" t="s">
        <v>120</v>
      </c>
      <c r="H40" s="7" t="n">
        <f aca="false">(A40)/1.2</f>
        <v>21520.8333333333</v>
      </c>
      <c r="I40" s="7" t="n">
        <f aca="false">H39-I39</f>
        <v>-2699.59688540707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17670.2794537968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100.0</v>
      </c>
      <c r="B45" s="199"/>
      <c r="C45" s="407" t="n">
        <v>100.0</v>
      </c>
      <c r="D45" s="407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1276.04937773205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1276.04937773205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374" t="n">
        <f aca="false">D64/(B58+B57)</f>
        <v>193.19269375</v>
      </c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595.833333333333</v>
      </c>
      <c r="C76" s="199"/>
      <c r="D76" s="36" t="n">
        <f aca="false">B76</f>
        <v>595.833333333333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374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374" t="n">
        <f aca="false">(D73+D76+D79+D80)/(B58+B57)</f>
        <v>52.6597222222222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6606.34033627451</v>
      </c>
      <c r="C81" s="199"/>
      <c r="D81" s="199"/>
      <c r="E81" s="374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275.264180678105</v>
      </c>
      <c r="C82" s="199"/>
      <c r="D82" s="199"/>
      <c r="E82" s="374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374" t="n">
        <f aca="false">B83+E80+E77+E64</f>
        <v>1491.50963684153</v>
      </c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43237.8304822125</v>
      </c>
      <c r="C85" s="199"/>
      <c r="D85" s="199"/>
      <c r="E85" s="374" t="n">
        <f aca="false">B85/(B58+B57)</f>
        <v>1801.57627009219</v>
      </c>
      <c r="F85" s="67"/>
      <c r="G85" s="265" t="s">
        <v>128</v>
      </c>
      <c r="H85" s="31" t="n">
        <f aca="false">((H83*H29)+H81)*1.2</f>
        <v>41890.2716586831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((((B83*H29)+B81))/(1-B70))*B70</f>
        <v>313.475633933579</v>
      </c>
      <c r="C86" s="199"/>
      <c r="D86" s="199"/>
      <c r="E86" s="374" t="n">
        <f aca="false">B86/(B58+B57)</f>
        <v>13.0614847472325</v>
      </c>
      <c r="F86" s="67"/>
      <c r="G86" s="198" t="s">
        <v>129</v>
      </c>
      <c r="H86" s="37" t="n">
        <f aca="false">((((H83*H29)+H81))/(1-H70))*H70</f>
        <v>295.715915299296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294.201695855972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43551.3061161461</v>
      </c>
      <c r="C87" s="199"/>
      <c r="D87" s="199"/>
      <c r="E87" s="374" t="n">
        <f aca="false">E86+E85</f>
        <v>1814.63775483942</v>
      </c>
      <c r="F87" s="67"/>
      <c r="G87" s="262" t="s">
        <v>130</v>
      </c>
      <c r="H87" s="69" t="n">
        <f aca="false">IF(H110="YES",((H85+H86)-K114),(H85+H86))</f>
        <v>42185.9875739824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IF(B99=Y98,(D40+(D40*B105))/(B58),(D40+(D40*B105))/(B57+B58))*1.2*(C45/100)</f>
        <v>78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59.5862068965517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49.6551724137931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1814.63775483942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1892.63775483942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1514.2754335856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1257.37970384225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E118+E117-E114</f>
        <v>1000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357.51724137931</v>
      </c>
      <c r="I127" s="166"/>
      <c r="J127" s="301" t="n">
        <f aca="false">H91</f>
        <v>1514.2754335856</v>
      </c>
      <c r="K127" s="200"/>
      <c r="L127" s="67"/>
      <c r="M127" s="300" t="n">
        <f aca="false">N90</f>
        <v>1207.72453142845</v>
      </c>
      <c r="N127" s="166" t="n">
        <f aca="false">IF(M105="YES",N89*N57,0)</f>
        <v>297.931034482759</v>
      </c>
      <c r="O127" s="166"/>
      <c r="P127" s="166" t="n">
        <f aca="false">N91</f>
        <v>1257.37970384225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1814.63775483942</v>
      </c>
      <c r="B128" s="290" t="n">
        <f aca="false">IF(A105="YES",B89,0)</f>
        <v>78</v>
      </c>
      <c r="C128" s="294"/>
      <c r="D128" s="290" t="n">
        <f aca="false">B91</f>
        <v>1892.63775483942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214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214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1814.63775483942</v>
      </c>
      <c r="C131" s="199"/>
      <c r="D131" s="42" t="n">
        <f aca="false">IF(A105="YES",B89*B57,0)</f>
        <v>78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8728.13536013428</v>
      </c>
      <c r="H133" s="42" t="n">
        <f aca="false">IF(G105="YES",H89*H57,0)</f>
        <v>357.51724137931</v>
      </c>
      <c r="I133" s="205"/>
      <c r="J133" s="170" t="n">
        <f aca="false">H91*H57</f>
        <v>9085.65260151359</v>
      </c>
      <c r="K133" s="200"/>
      <c r="L133" s="67"/>
      <c r="M133" s="171" t="n">
        <f aca="false">N90*N57</f>
        <v>7246.34718857073</v>
      </c>
      <c r="N133" s="42" t="n">
        <f aca="false">IF(M105="YES",N89*N57,0)</f>
        <v>297.931034482759</v>
      </c>
      <c r="O133" s="205"/>
      <c r="P133" s="170" t="n">
        <f aca="false">N91*N57</f>
        <v>7544.27822305349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1892.63775483942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1814.63775483942</v>
      </c>
      <c r="B137" s="42" t="n">
        <f aca="false">IF(A105="YES",B89,0)</f>
        <v>78</v>
      </c>
      <c r="C137" s="199"/>
      <c r="D137" s="42" t="n">
        <f aca="false">B91</f>
        <v>1892.63775483942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IF(A105="YES",G18*0.000002,0)*1.2*100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n">
        <f aca="false">(H139+J139+G142+H142)-H145</f>
        <v>786.36495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n">
        <f aca="false">(N139+P139+M142+N142)-N145</f>
        <v>786.36495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506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1514.2754335856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1257.37970384225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1892.63775483942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1814.63775483942</v>
      </c>
      <c r="B177" s="290" t="n">
        <f aca="false">IF(A105="YES",B89,0)</f>
        <v>78</v>
      </c>
      <c r="C177" s="294"/>
      <c r="D177" s="290" t="n">
        <f aca="false">B91</f>
        <v>1892.63775483942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1814.63775483942</v>
      </c>
      <c r="C180" s="199"/>
      <c r="D180" s="42" t="n">
        <f aca="false">IF(A105="YES",B89*B57,0)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1892.63775483942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1814.63775483942</v>
      </c>
      <c r="B186" s="42" t="n">
        <f aca="false">IF(A105="YES",B89,0)</f>
        <v>78</v>
      </c>
      <c r="C186" s="199"/>
      <c r="D186" s="42" t="n">
        <f aca="false">B91</f>
        <v>1892.63775483942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IF(A105="YES",G18*0.000002,0)*1.2*100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506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5026.62465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5026.62465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313.475633933579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8" colorId="64" zoomScale="75" zoomScaleNormal="75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2" t="n">
        <v>0</v>
      </c>
      <c r="F3" s="67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1960.3332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42047.9968</v>
      </c>
      <c r="C7" s="36" t="n">
        <f aca="false">C3-C6</f>
        <v>0</v>
      </c>
      <c r="D7" s="36" t="n">
        <f aca="false">D3-D6</f>
        <v>0</v>
      </c>
      <c r="E7" s="37"/>
      <c r="F7" s="67"/>
      <c r="G7" s="362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198"/>
      <c r="B8" s="199"/>
      <c r="C8" s="199"/>
      <c r="D8" s="199"/>
      <c r="E8" s="200"/>
      <c r="F8" s="67"/>
      <c r="G8" s="363" t="n">
        <f aca="false">G9*100/B3</f>
        <v>-249.038844539962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 t="n">
        <v>18875</v>
      </c>
      <c r="C9" s="389"/>
      <c r="D9" s="389"/>
      <c r="E9" s="405" t="n">
        <f aca="false">(B7+C7+D7+E3)</f>
        <v>42047.9968</v>
      </c>
      <c r="F9" s="67"/>
      <c r="G9" s="362" t="n">
        <f aca="false">E9-G11</f>
        <v>-109597.836533333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362"/>
      <c r="H10" s="67"/>
      <c r="I10" s="20" t="s">
        <v>15</v>
      </c>
      <c r="J10" s="14" t="n">
        <f aca="false">E15-E11-J8</f>
        <v>42147.9968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 t="n">
        <v>0</v>
      </c>
      <c r="C11" s="391"/>
      <c r="D11" s="391"/>
      <c r="E11" s="37" t="n">
        <f aca="false">(E9+E10)*0.2</f>
        <v>8429.59936</v>
      </c>
      <c r="F11" s="67"/>
      <c r="G11" s="362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 t="n">
        <v>0</v>
      </c>
      <c r="C13" s="391"/>
      <c r="D13" s="391"/>
      <c r="E13" s="352" t="n">
        <v>1040.0</v>
      </c>
      <c r="F13" s="67"/>
      <c r="G13" s="362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406" t="n">
        <f aca="false">(E9+E10+E13+E14+E11)-E12</f>
        <v>51672.59616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364" t="n">
        <f aca="false">(B3+C3+E10)*1.2</f>
        <v>52929.996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52929.996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51072.59616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406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5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412</v>
      </c>
      <c r="C30" s="162"/>
      <c r="D30" s="199"/>
      <c r="E30" s="200"/>
      <c r="F30" s="67"/>
      <c r="G30" s="202" t="s">
        <v>45</v>
      </c>
      <c r="H30" s="365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6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7" t="n">
        <f aca="false">H48</f>
        <v>1112.95408532766</v>
      </c>
      <c r="E33" s="200"/>
      <c r="F33" s="67"/>
      <c r="G33" s="203" t="s">
        <v>368</v>
      </c>
      <c r="H33" s="52" t="n">
        <f aca="false">E21-E11+((E16*20%)+(E19*20%)+(E20*20%))</f>
        <v>42742.9968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1037.94408532766</v>
      </c>
      <c r="B36" s="42" t="n">
        <f aca="false">IF(B26="YES",H42,"")</f>
        <v>75.01</v>
      </c>
      <c r="C36" s="205"/>
      <c r="D36" s="170" t="n">
        <f aca="false">H31</f>
        <v>14750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42742.9968</v>
      </c>
      <c r="I39" s="7" t="n">
        <f aca="false">(I48*H46)+H44</f>
        <v>51806.5822103337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14750</v>
      </c>
      <c r="B40" s="109" t="n">
        <f aca="false">IF(B26="YES",H42,"0")</f>
        <v>75.01</v>
      </c>
      <c r="C40" s="109"/>
      <c r="D40" s="170" t="n">
        <f aca="false">I32</f>
        <v>5250.7</v>
      </c>
      <c r="E40" s="200"/>
      <c r="F40" s="67"/>
      <c r="G40" s="67" t="s">
        <v>120</v>
      </c>
      <c r="H40" s="7" t="n">
        <f aca="false">A40/1.2</f>
        <v>12291.6666666667</v>
      </c>
      <c r="I40" s="7" t="n">
        <f aca="false">H39-I39</f>
        <v>-9063.5854103337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75.01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68" t="s">
        <v>90</v>
      </c>
      <c r="B44" s="199"/>
      <c r="C44" s="369" t="s">
        <v>91</v>
      </c>
      <c r="D44" s="369"/>
      <c r="E44" s="200"/>
      <c r="F44" s="67"/>
      <c r="G44" s="67" t="s">
        <v>385</v>
      </c>
      <c r="H44" s="7" t="n">
        <f aca="false">(H40/(1+H41)^(H34+1))</f>
        <v>9969.51218428394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0" t="n">
        <v>100.0</v>
      </c>
      <c r="B45" s="199"/>
      <c r="C45" s="371" t="n">
        <v>100.0</v>
      </c>
      <c r="D45" s="371"/>
      <c r="E45" s="200"/>
      <c r="F45" s="67"/>
      <c r="G45" s="67" t="s">
        <v>386</v>
      </c>
      <c r="H45" s="7" t="n">
        <f aca="false">(H39-H44)</f>
        <v>32773.4846157161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31.5753854942677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1037.94408532766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2" t="s">
        <v>382</v>
      </c>
      <c r="H48" s="7" t="n">
        <f aca="false">IF(B26="YES",H47+H42,H47)</f>
        <v>1112.95408532766</v>
      </c>
      <c r="I48" s="7" t="n">
        <f aca="false">I49-H42</f>
        <v>1324.99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1112.95408532766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52929.996</v>
      </c>
      <c r="C61" s="199"/>
      <c r="D61" s="199"/>
      <c r="E61" s="200"/>
      <c r="F61" s="67"/>
      <c r="G61" s="198" t="s">
        <v>27</v>
      </c>
      <c r="H61" s="36" t="n">
        <f aca="false">G18</f>
        <v>52929.996</v>
      </c>
      <c r="I61" s="199"/>
      <c r="J61" s="199"/>
      <c r="K61" s="200"/>
      <c r="L61" s="67"/>
      <c r="M61" s="198" t="s">
        <v>27</v>
      </c>
      <c r="N61" s="36" t="n">
        <f aca="false">G18</f>
        <v>52929.996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10000</v>
      </c>
      <c r="C64" s="373" t="n">
        <v>10000.0</v>
      </c>
      <c r="D64" s="36" t="n">
        <f aca="false">B64</f>
        <v>10000</v>
      </c>
      <c r="E64" s="374" t="n">
        <f aca="false">D64/(B58+B57)</f>
        <v>285.714285714286</v>
      </c>
      <c r="F64" s="67"/>
      <c r="G64" s="262" t="s">
        <v>104</v>
      </c>
      <c r="H64" s="69" t="n">
        <f aca="false">H61*H63</f>
        <v>5480.4600025</v>
      </c>
      <c r="I64" s="199"/>
      <c r="J64" s="36" t="n">
        <f aca="false">H64-G145</f>
        <v>5480.4600025</v>
      </c>
      <c r="K64" s="200"/>
      <c r="L64" s="67"/>
      <c r="M64" s="262" t="s">
        <v>104</v>
      </c>
      <c r="N64" s="69" t="n">
        <f aca="false">N61*N63</f>
        <v>5480.4600025</v>
      </c>
      <c r="O64" s="199"/>
      <c r="P64" s="36" t="n">
        <f aca="false">N64-M145</f>
        <v>5480.4600025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401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5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6" t="s">
        <v>235</v>
      </c>
      <c r="D67" s="377"/>
      <c r="E67" s="200"/>
      <c r="F67" s="67"/>
      <c r="G67" s="262" t="s">
        <v>107</v>
      </c>
      <c r="H67" s="69" t="n">
        <f aca="false">(H61*H66)/1.2</f>
        <v>863.788129166667</v>
      </c>
      <c r="I67" s="199"/>
      <c r="J67" s="36"/>
      <c r="K67" s="200"/>
      <c r="L67" s="67"/>
      <c r="M67" s="262" t="s">
        <v>107</v>
      </c>
      <c r="N67" s="69" t="n">
        <f aca="false">(N61*N66)/1.2</f>
        <v>863.788129166667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78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79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0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7" t="s">
        <v>291</v>
      </c>
      <c r="N74" s="338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39" t="s">
        <v>292</v>
      </c>
      <c r="N75" s="340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1100</v>
      </c>
      <c r="C76" s="199"/>
      <c r="D76" s="36" t="n">
        <f aca="false">B76</f>
        <v>1100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1" t="s">
        <v>293</v>
      </c>
      <c r="N76" s="342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B102/(1-(J15))</f>
        <v>470.588235294118</v>
      </c>
      <c r="C77" s="310"/>
      <c r="D77" s="36" t="n">
        <f aca="false">B77</f>
        <v>470.588235294118</v>
      </c>
      <c r="E77" s="374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D102/(1-(J15))</f>
        <v>235.294117647059</v>
      </c>
      <c r="C78" s="310"/>
      <c r="D78" s="36" t="n">
        <f aca="false">B78</f>
        <v>235.294117647059</v>
      </c>
      <c r="E78" s="374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300</v>
      </c>
      <c r="E79" s="374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100</v>
      </c>
      <c r="E80" s="374" t="n">
        <f aca="false">(D73+D76+D79+D80)/(B58+B57)</f>
        <v>51.9285714285714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12523.3823529412</v>
      </c>
      <c r="C81" s="310"/>
      <c r="D81" s="381"/>
      <c r="E81" s="374"/>
      <c r="F81" s="67"/>
      <c r="G81" s="276" t="s">
        <v>116</v>
      </c>
      <c r="H81" s="277" t="n">
        <f aca="false">SUM(J64:J80)</f>
        <v>6527.9600025</v>
      </c>
      <c r="I81" s="199"/>
      <c r="J81" s="199"/>
      <c r="K81" s="200"/>
      <c r="L81" s="67"/>
      <c r="M81" s="276" t="s">
        <v>116</v>
      </c>
      <c r="N81" s="277" t="n">
        <f aca="false">SUM(P64:P80)</f>
        <v>6197.9600025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357.810924369748</v>
      </c>
      <c r="C82" s="310"/>
      <c r="D82" s="199"/>
      <c r="E82" s="374"/>
      <c r="F82" s="67"/>
      <c r="G82" s="198" t="s">
        <v>117</v>
      </c>
      <c r="H82" s="37" t="n">
        <f aca="false">H81/H29</f>
        <v>186.513142928571</v>
      </c>
      <c r="I82" s="199"/>
      <c r="J82" s="199"/>
      <c r="K82" s="200"/>
      <c r="L82" s="67"/>
      <c r="M82" s="198" t="s">
        <v>117</v>
      </c>
      <c r="N82" s="37" t="n">
        <f aca="false">N81/H29</f>
        <v>177.0845715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1037.94408532766</v>
      </c>
      <c r="C83" s="310"/>
      <c r="D83" s="199"/>
      <c r="E83" s="374" t="n">
        <f aca="false">B83+E80+E77+E64</f>
        <v>1389.03232062178</v>
      </c>
      <c r="F83" s="67"/>
      <c r="G83" s="278" t="s">
        <v>118</v>
      </c>
      <c r="H83" s="63" t="n">
        <f aca="false">H47</f>
        <v>1037.94408532766</v>
      </c>
      <c r="I83" s="199"/>
      <c r="J83" s="199"/>
      <c r="K83" s="200"/>
      <c r="L83" s="67"/>
      <c r="M83" s="278" t="s">
        <v>118</v>
      </c>
      <c r="N83" s="63" t="n">
        <f aca="false">H47</f>
        <v>1037.94408532766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4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48851.4253394094</v>
      </c>
      <c r="C85" s="310"/>
      <c r="D85" s="310"/>
      <c r="E85" s="374" t="n">
        <f aca="false">B85/(B58+B57)</f>
        <v>1395.75500969741</v>
      </c>
      <c r="F85" s="67"/>
      <c r="G85" s="265" t="s">
        <v>128</v>
      </c>
      <c r="H85" s="31" t="n">
        <f aca="false">((H83*H29)+H81)*1.2</f>
        <v>51427.2035867619</v>
      </c>
      <c r="I85" s="199"/>
      <c r="J85" s="199"/>
      <c r="K85" s="200"/>
      <c r="L85" s="67"/>
      <c r="M85" s="265" t="s">
        <v>128</v>
      </c>
      <c r="N85" s="31" t="n">
        <f aca="false">((N83*H29)+N81)</f>
        <v>42526.0029889682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425.009248319159</v>
      </c>
      <c r="C86" s="310" t="s">
        <v>244</v>
      </c>
      <c r="D86" s="199"/>
      <c r="E86" s="374" t="n">
        <f aca="false">B86/(B58+B57)</f>
        <v>12.1431213805474</v>
      </c>
      <c r="F86" s="67"/>
      <c r="G86" s="198" t="s">
        <v>129</v>
      </c>
      <c r="H86" s="37" t="n">
        <f aca="false">((((H83*H29)+H81))/(1-H70))*H70</f>
        <v>363.039960777867</v>
      </c>
      <c r="I86" s="199"/>
      <c r="J86" s="199"/>
      <c r="K86" s="200"/>
      <c r="L86" s="67"/>
      <c r="M86" s="198" t="s">
        <v>129</v>
      </c>
      <c r="N86" s="37" t="n">
        <f aca="false">(N85/(1-N70))*N70</f>
        <v>360.244478728654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49276.4345877286</v>
      </c>
      <c r="C87" s="310"/>
      <c r="D87" s="382"/>
      <c r="E87" s="374" t="n">
        <f aca="false">E86+E85</f>
        <v>1407.89813107796</v>
      </c>
      <c r="F87" s="67"/>
      <c r="G87" s="262" t="s">
        <v>130</v>
      </c>
      <c r="H87" s="69" t="n">
        <f aca="false">IF(H110="YES",((H85+H86)-K114),(H85+H86))</f>
        <v>51790.2435475397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42886.2474676969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4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97.513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189.0252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157.521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1407.89813107796</v>
      </c>
      <c r="C90" s="310"/>
      <c r="D90" s="199"/>
      <c r="E90" s="383"/>
      <c r="F90" s="67"/>
      <c r="G90" s="280" t="s">
        <v>132</v>
      </c>
      <c r="H90" s="281" t="n">
        <f aca="false">IF(H99=Y98,(H87-J105)/(H58),H87/(H57+H58))</f>
        <v>1294.75608868849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1072.15618669242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1505.41113107796</v>
      </c>
      <c r="C91" s="310"/>
      <c r="D91" s="384"/>
      <c r="E91" s="333"/>
      <c r="F91" s="67"/>
      <c r="G91" s="282" t="s">
        <v>133</v>
      </c>
      <c r="H91" s="283" t="n">
        <f aca="false">IF(G105="YES",H90+H89,H90)</f>
        <v>1483.78128868849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1229.67718669242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5"/>
      <c r="C97" s="385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406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1000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1294.75608868849</v>
      </c>
      <c r="H127" s="166" t="n">
        <f aca="false">IF(G105="YES",H89*H57,0)</f>
        <v>1134.1512</v>
      </c>
      <c r="I127" s="166"/>
      <c r="J127" s="301" t="n">
        <f aca="false">H91</f>
        <v>1483.78128868849</v>
      </c>
      <c r="K127" s="200"/>
      <c r="L127" s="67"/>
      <c r="M127" s="300" t="n">
        <f aca="false">N90</f>
        <v>1072.15618669242</v>
      </c>
      <c r="N127" s="166" t="n">
        <f aca="false">IF(M105="YES",N89*N57,0)</f>
        <v>945.126</v>
      </c>
      <c r="O127" s="166"/>
      <c r="P127" s="166" t="n">
        <f aca="false">N91</f>
        <v>1229.67718669242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1407.89813107796</v>
      </c>
      <c r="B128" s="290" t="n">
        <f aca="false">IF(A105="YES",B89,0)</f>
        <v>97.513</v>
      </c>
      <c r="C128" s="294"/>
      <c r="D128" s="290" t="n">
        <f aca="false">B91</f>
        <v>1505.41113107796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n">
        <v>0</v>
      </c>
      <c r="C130" s="215"/>
      <c r="D130" s="299" t="s">
        <v>312</v>
      </c>
      <c r="E130" s="200"/>
      <c r="F130" s="67"/>
      <c r="G130" s="213" t="n">
        <f aca="false">G152</f>
        <v>35</v>
      </c>
      <c r="H130" s="214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214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1407.89813107796</v>
      </c>
      <c r="C131" s="199"/>
      <c r="D131" s="42" t="n">
        <f aca="false">IF(A105="YES",B89*B57,0)</f>
        <v>97.513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7768.53653213096</v>
      </c>
      <c r="H133" s="42" t="n">
        <f aca="false">IF(G105="YES",H89*H57,0)</f>
        <v>1134.1512</v>
      </c>
      <c r="I133" s="205"/>
      <c r="J133" s="170" t="n">
        <f aca="false">H91*H57</f>
        <v>8902.68773213096</v>
      </c>
      <c r="K133" s="200"/>
      <c r="L133" s="67"/>
      <c r="M133" s="171" t="n">
        <f aca="false">N90*N57</f>
        <v>6432.93712015453</v>
      </c>
      <c r="N133" s="42" t="n">
        <f aca="false">IF(M105="YES",N89*N57,0)</f>
        <v>945.126</v>
      </c>
      <c r="O133" s="205"/>
      <c r="P133" s="170" t="n">
        <f aca="false">N91*N57</f>
        <v>7378.06312015453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1505.41113107796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0.31003557696</v>
      </c>
      <c r="H136" s="42" t="n">
        <f aca="false">IF(G105="YES",E15*0.000002,0)</f>
        <v>0.10334519232</v>
      </c>
      <c r="I136" s="42"/>
      <c r="J136" s="42" t="n">
        <f aca="false">G136+H136</f>
        <v>0.41338076928</v>
      </c>
      <c r="K136" s="107"/>
      <c r="L136" s="67"/>
      <c r="M136" s="113" t="n">
        <f aca="false">E15*0.000006</f>
        <v>0.31003557696</v>
      </c>
      <c r="N136" s="42" t="n">
        <f aca="false">IF(M105="YES",E15*0.000002,0)</f>
        <v>0.10334519232</v>
      </c>
      <c r="O136" s="42"/>
      <c r="P136" s="42" t="n">
        <f aca="false">M136+N136</f>
        <v>0.41338076928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1407.89813107796</v>
      </c>
      <c r="B137" s="42" t="n">
        <f aca="false">IF(A105="YES",B89,0)</f>
        <v>97.513</v>
      </c>
      <c r="C137" s="199"/>
      <c r="D137" s="42" t="n">
        <f aca="false">B91</f>
        <v>1505.41113107796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863.788129166667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863.788129166667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31.7579976</v>
      </c>
      <c r="B140" s="309" t="n">
        <f aca="false">IF(A105="YES",G18*0.000002,0)*100</f>
        <v>10.5859992</v>
      </c>
      <c r="C140" s="310"/>
      <c r="D140" s="309" t="n">
        <f aca="false">A140+B140</f>
        <v>42.3439968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52.507</v>
      </c>
      <c r="H142" s="42" t="n">
        <f aca="false">G102-100</f>
        <v>99.99</v>
      </c>
      <c r="I142" s="42"/>
      <c r="J142" s="42" t="n">
        <f aca="false">(H139+J139+G142+H142)-H145</f>
        <v>1016.28512916667</v>
      </c>
      <c r="K142" s="107"/>
      <c r="L142" s="67"/>
      <c r="M142" s="113" t="n">
        <f aca="false">IF(M105="YES",((B36*N105)*0.1)*(M130),0)</f>
        <v>52.507</v>
      </c>
      <c r="N142" s="42" t="n">
        <f aca="false">M102-100</f>
        <v>99.99</v>
      </c>
      <c r="O142" s="42"/>
      <c r="P142" s="42" t="n">
        <f aca="false">(N139+P139+M142+N142)-N145</f>
        <v>1016.28512916667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78.7605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6" t="n">
        <v>18000</v>
      </c>
      <c r="N148" s="347" t="n">
        <v>0.99</v>
      </c>
      <c r="O148" s="347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548.7605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1483.78128868849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1229.67718669242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1505.41113107796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1407.89813107796</v>
      </c>
      <c r="B177" s="290" t="n">
        <f aca="false">IF(A105="YES",B89,0)</f>
        <v>97.513</v>
      </c>
      <c r="C177" s="294"/>
      <c r="D177" s="290" t="n">
        <f aca="false">B91</f>
        <v>1505.41113107796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1407.89813107796</v>
      </c>
      <c r="C180" s="199"/>
      <c r="D180" s="42" t="n">
        <f aca="false">IF(A105="YES",B89*B57,0)</f>
        <v>97.513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1505.41113107796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1407.89813107796</v>
      </c>
      <c r="B186" s="42" t="n">
        <f aca="false">IF(A105="YES",B89,0)</f>
        <v>97.513</v>
      </c>
      <c r="C186" s="199"/>
      <c r="D186" s="42" t="n">
        <f aca="false">B91</f>
        <v>1505.41113107796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31.7579976</v>
      </c>
      <c r="B189" s="309" t="n">
        <f aca="false">IF(A105="YES",G18*0.000002,0)*100</f>
        <v>10.5859992</v>
      </c>
      <c r="C189" s="310"/>
      <c r="D189" s="309" t="n">
        <f aca="false">A189+B189</f>
        <v>42.3439968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78.7605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548.7605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1067.605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10817.605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10817.605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787.605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425.009248319159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B97" activeCellId="0" sqref="B97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46854.17</v>
      </c>
      <c r="C3" s="239" t="n">
        <v>0</v>
      </c>
      <c r="D3" s="239" t="n">
        <v>833.33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0</v>
      </c>
      <c r="C4" s="68" t="n">
        <v>0</v>
      </c>
      <c r="D4" s="68" t="n">
        <v>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</v>
      </c>
      <c r="C5" s="239" t="n">
        <v>0</v>
      </c>
      <c r="D5" s="239" t="n">
        <v>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46854.17</v>
      </c>
      <c r="C7" s="36" t="n">
        <f aca="false">C3-C6</f>
        <v>0</v>
      </c>
      <c r="D7" s="36" t="n">
        <f aca="false">D3-D6</f>
        <v>833.33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58525</v>
      </c>
      <c r="F15" s="67"/>
      <c r="G15" s="21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6000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12</v>
      </c>
      <c r="B44" s="106" t="n">
        <v>1</v>
      </c>
      <c r="C44" s="106"/>
      <c r="D44" s="106" t="n">
        <v>1</v>
      </c>
      <c r="E44" s="106"/>
      <c r="F44" s="67"/>
      <c r="G44" s="67" t="s">
        <v>269</v>
      </c>
      <c r="H44" s="7" t="n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48" t="n">
        <v>0.01</v>
      </c>
      <c r="C47" s="348"/>
      <c r="D47" s="106" t="n">
        <v>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 t="s">
        <v>402</v>
      </c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06" t="s">
        <v>32</v>
      </c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286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95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12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57885</v>
      </c>
      <c r="C67" s="199"/>
      <c r="D67" s="199"/>
      <c r="E67" s="200"/>
      <c r="F67" s="67"/>
      <c r="G67" s="198" t="s">
        <v>27</v>
      </c>
      <c r="H67" s="36" t="n">
        <f aca="false">G18</f>
        <v>57885</v>
      </c>
      <c r="I67" s="199"/>
      <c r="J67" s="199"/>
      <c r="K67" s="200"/>
      <c r="L67" s="67"/>
      <c r="M67" s="198" t="s">
        <v>27</v>
      </c>
      <c r="N67" s="36" t="n">
        <f aca="false">G18</f>
        <v>57885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B68+(B68*0.25*(H29/12-1))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4051.95</v>
      </c>
      <c r="C70" s="199"/>
      <c r="D70" s="36" t="n">
        <f aca="false">B70-A151</f>
        <v>4051.95</v>
      </c>
      <c r="E70" s="200" t="n">
        <f aca="false">D70/12</f>
        <v>337.6625</v>
      </c>
      <c r="F70" s="67"/>
      <c r="G70" s="262" t="s">
        <v>104</v>
      </c>
      <c r="H70" s="69" t="n">
        <f aca="false">H67*H69</f>
        <v>4051.95</v>
      </c>
      <c r="I70" s="199"/>
      <c r="J70" s="36" t="n">
        <f aca="false">H70-G151</f>
        <v>4051.95</v>
      </c>
      <c r="K70" s="200"/>
      <c r="L70" s="67"/>
      <c r="M70" s="262" t="s">
        <v>104</v>
      </c>
      <c r="N70" s="69" t="n">
        <f aca="false">N67*N69</f>
        <v>4051.95</v>
      </c>
      <c r="O70" s="199"/>
      <c r="P70" s="36" t="n">
        <f aca="false">N70-M151</f>
        <v>4051.95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0.01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0.01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B67*B72</f>
        <v>578.85</v>
      </c>
      <c r="C73" s="199"/>
      <c r="D73" s="36"/>
      <c r="E73" s="200"/>
      <c r="F73" s="67"/>
      <c r="G73" s="262" t="s">
        <v>107</v>
      </c>
      <c r="H73" s="69" t="n">
        <f aca="false">H67*H72</f>
        <v>289.425</v>
      </c>
      <c r="I73" s="199"/>
      <c r="J73" s="36"/>
      <c r="K73" s="200"/>
      <c r="L73" s="67"/>
      <c r="M73" s="262" t="s">
        <v>107</v>
      </c>
      <c r="N73" s="69" t="n">
        <f aca="false">N67*N72</f>
        <v>289.425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200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60</v>
      </c>
      <c r="C79" s="199"/>
      <c r="D79" s="36" t="n">
        <f aca="false">B79+B77</f>
        <v>260</v>
      </c>
      <c r="E79" s="333" t="n">
        <f aca="false">D79+D85+D86</f>
        <v>660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0</v>
      </c>
      <c r="C80" s="199"/>
      <c r="D80" s="199"/>
      <c r="E80" s="333" t="n">
        <f aca="false">E79+D82</f>
        <v>660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7" t="s">
        <v>291</v>
      </c>
      <c r="N80" s="338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55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39" t="s">
        <v>292</v>
      </c>
      <c r="N81" s="340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1" t="s">
        <v>293</v>
      </c>
      <c r="N82" s="342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200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200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4711.95</v>
      </c>
      <c r="C87" s="199"/>
      <c r="D87" s="199"/>
      <c r="E87" s="200"/>
      <c r="F87" s="67"/>
      <c r="G87" s="276" t="s">
        <v>116</v>
      </c>
      <c r="H87" s="277" t="n">
        <f aca="false">SUM(J70:J86)</f>
        <v>7205.53333333333</v>
      </c>
      <c r="I87" s="199"/>
      <c r="J87" s="199"/>
      <c r="K87" s="200"/>
      <c r="L87" s="67"/>
      <c r="M87" s="276" t="s">
        <v>116</v>
      </c>
      <c r="N87" s="277" t="n">
        <f aca="false">SUM(P70:P86)</f>
        <v>7165.95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392.6625</v>
      </c>
      <c r="C88" s="199"/>
      <c r="D88" s="199"/>
      <c r="E88" s="200"/>
      <c r="F88" s="67"/>
      <c r="G88" s="198" t="s">
        <v>117</v>
      </c>
      <c r="H88" s="37" t="n">
        <f aca="false">H87/H29</f>
        <v>600.461111111111</v>
      </c>
      <c r="I88" s="199"/>
      <c r="J88" s="199"/>
      <c r="K88" s="200"/>
      <c r="L88" s="67"/>
      <c r="M88" s="198" t="s">
        <v>117</v>
      </c>
      <c r="N88" s="37" t="n">
        <f aca="false">N87/H29</f>
        <v>597.1625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10723.95</v>
      </c>
      <c r="C91" s="199"/>
      <c r="D91" s="199"/>
      <c r="E91" s="200"/>
      <c r="F91" s="67"/>
      <c r="G91" s="265" t="s">
        <v>128</v>
      </c>
      <c r="H91" s="31" t="n">
        <f aca="false">((H89*H29)+H87)*1.2</f>
        <v>15861.04</v>
      </c>
      <c r="I91" s="199"/>
      <c r="J91" s="199"/>
      <c r="K91" s="200"/>
      <c r="L91" s="67"/>
      <c r="M91" s="265" t="s">
        <v>128</v>
      </c>
      <c r="N91" s="31" t="n">
        <f aca="false">((N89*H29)+N87)</f>
        <v>13177.95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90.8442718838241</v>
      </c>
      <c r="C92" s="199"/>
      <c r="D92" s="199"/>
      <c r="E92" s="343"/>
      <c r="F92" s="67"/>
      <c r="G92" s="198" t="s">
        <v>129</v>
      </c>
      <c r="H92" s="37" t="n">
        <f aca="false">(((H89*H29)+H87)/(1-H76))*H76</f>
        <v>111.967809600645</v>
      </c>
      <c r="I92" s="199"/>
      <c r="J92" s="199"/>
      <c r="K92" s="200"/>
      <c r="L92" s="67"/>
      <c r="M92" s="198" t="s">
        <v>129</v>
      </c>
      <c r="N92" s="37" t="n">
        <f aca="false">(N91/(1-N76))*N76</f>
        <v>111.632492940702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10814.7942718838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17973.0078096006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15289.5824929407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((H44*B35)+((H44*B35)*B111))/(B63+B64)</f>
        <v>31.304347826087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IF(B105=Y104,(B93-D111)/(B64),B93/(B63+B64))</f>
        <v>470.208446603645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501.512794429731</v>
      </c>
      <c r="C97" s="199"/>
      <c r="D97" s="344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298</v>
      </c>
      <c r="B105" s="284" t="s">
        <v>279</v>
      </c>
      <c r="C105" s="284"/>
      <c r="D105" s="345" t="n">
        <v>0</v>
      </c>
      <c r="E105" s="345"/>
      <c r="F105" s="67"/>
      <c r="G105" s="204" t="s">
        <v>298</v>
      </c>
      <c r="H105" s="284" t="s">
        <v>280</v>
      </c>
      <c r="I105" s="284"/>
      <c r="J105" s="345" t="n">
        <v>5000</v>
      </c>
      <c r="K105" s="345"/>
      <c r="L105" s="67"/>
      <c r="M105" s="204" t="s">
        <v>298</v>
      </c>
      <c r="N105" s="284" t="s">
        <v>279</v>
      </c>
      <c r="O105" s="284"/>
      <c r="P105" s="345" t="n">
        <v>0</v>
      </c>
      <c r="Q105" s="345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6" t="n">
        <v>0.2</v>
      </c>
      <c r="C111" s="286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/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199.99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198" t="s">
        <v>195</v>
      </c>
      <c r="B130" s="162" t="n">
        <v>1200</v>
      </c>
      <c r="C130" s="162"/>
      <c r="D130" s="199"/>
      <c r="E130" s="200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198"/>
      <c r="B131" s="199"/>
      <c r="C131" s="199"/>
      <c r="D131" s="199"/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 t="s">
        <v>96</v>
      </c>
      <c r="B132" s="199" t="s">
        <v>97</v>
      </c>
      <c r="C132" s="199"/>
      <c r="D132" s="199" t="s">
        <v>99</v>
      </c>
      <c r="E132" s="200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13" t="n">
        <f aca="false">A158</f>
        <v>12</v>
      </c>
      <c r="B133" s="214" t="n">
        <f aca="false">B157</f>
        <v>5000</v>
      </c>
      <c r="C133" s="215"/>
      <c r="D133" s="214" t="n">
        <f aca="false">B64</f>
        <v>11</v>
      </c>
      <c r="E133" s="200"/>
      <c r="F133" s="67"/>
      <c r="G133" s="213" t="n">
        <f aca="false">G158</f>
        <v>12</v>
      </c>
      <c r="H133" s="214" t="n">
        <f aca="false">B157</f>
        <v>5000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5000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98"/>
      <c r="B134" s="199"/>
      <c r="C134" s="199"/>
      <c r="D134" s="199"/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296" t="s">
        <v>355</v>
      </c>
      <c r="B135" s="297" t="s">
        <v>264</v>
      </c>
      <c r="C135" s="297"/>
      <c r="D135" s="297" t="s">
        <v>133</v>
      </c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00" t="n">
        <f aca="false">B96</f>
        <v>470.208446603645</v>
      </c>
      <c r="B136" s="166" t="n">
        <f aca="false">IF(A111="YES",B95*B63,0)</f>
        <v>375.652173913044</v>
      </c>
      <c r="C136" s="166"/>
      <c r="D136" s="166" t="n">
        <f aca="false">B97</f>
        <v>501.512794429731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98"/>
      <c r="B137" s="199"/>
      <c r="C137" s="199"/>
      <c r="D137" s="199"/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 t="s">
        <v>356</v>
      </c>
      <c r="B138" s="199" t="s">
        <v>254</v>
      </c>
      <c r="C138" s="199"/>
      <c r="D138" s="199" t="s">
        <v>258</v>
      </c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71" t="n">
        <f aca="false">B96*B63</f>
        <v>5642.50135924373</v>
      </c>
      <c r="B139" s="42" t="n">
        <f aca="false">IF(A111="YES",B95*B63,0)</f>
        <v>375.652173913044</v>
      </c>
      <c r="C139" s="205"/>
      <c r="D139" s="170" t="n">
        <f aca="false">B97*B63</f>
        <v>6018.15353315678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98"/>
      <c r="B140" s="199"/>
      <c r="C140" s="199"/>
      <c r="D140" s="199"/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98" t="s">
        <v>266</v>
      </c>
      <c r="B141" s="199" t="s">
        <v>267</v>
      </c>
      <c r="C141" s="199"/>
      <c r="D141" s="199" t="s">
        <v>271</v>
      </c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3" t="n">
        <f aca="false">E15*0.000006</f>
        <v>0.35115</v>
      </c>
      <c r="B142" s="42" t="n">
        <f aca="false">IF(A111="YES",E15*0.000002,0)</f>
        <v>0.11705</v>
      </c>
      <c r="C142" s="42"/>
      <c r="D142" s="42" t="n">
        <f aca="false">A142+B142</f>
        <v>0.4682</v>
      </c>
      <c r="E142" s="107"/>
      <c r="F142" s="67"/>
      <c r="G142" s="113" t="n">
        <f aca="false">E15*0.000006</f>
        <v>0.35115</v>
      </c>
      <c r="H142" s="42" t="n">
        <f aca="false">IF(G111="YES",E15*0.000002,0)</f>
        <v>0.11705</v>
      </c>
      <c r="I142" s="42"/>
      <c r="J142" s="42" t="n">
        <f aca="false">G142+H142</f>
        <v>0.4682</v>
      </c>
      <c r="K142" s="107"/>
      <c r="L142" s="67"/>
      <c r="M142" s="113" t="n">
        <f aca="false">E15*0.000006</f>
        <v>0.35115</v>
      </c>
      <c r="N142" s="42" t="n">
        <f aca="false">IF(M111="YES",E15*0.000002,0)</f>
        <v>0.11705</v>
      </c>
      <c r="O142" s="42"/>
      <c r="P142" s="42" t="n">
        <f aca="false">M142+N142</f>
        <v>0.4682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98"/>
      <c r="B143" s="199"/>
      <c r="C143" s="199"/>
      <c r="D143" s="199"/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 t="s">
        <v>153</v>
      </c>
      <c r="B144" s="199" t="s">
        <v>322</v>
      </c>
      <c r="C144" s="199"/>
      <c r="D144" s="199" t="s">
        <v>323</v>
      </c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3" t="n">
        <f aca="false">A108</f>
        <v>199.99</v>
      </c>
      <c r="B145" s="42" t="n">
        <f aca="false">B73/1.2</f>
        <v>482.375</v>
      </c>
      <c r="C145" s="42"/>
      <c r="D145" s="42" t="n">
        <f aca="false">B108*0.9</f>
        <v>0</v>
      </c>
      <c r="E145" s="107"/>
      <c r="F145" s="67"/>
      <c r="G145" s="113" t="n">
        <f aca="false">G108</f>
        <v>239.988</v>
      </c>
      <c r="H145" s="42" t="n">
        <f aca="false">H73/1.2</f>
        <v>241.1875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241.1875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198"/>
      <c r="B146" s="199"/>
      <c r="C146" s="199"/>
      <c r="D146" s="199"/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325</v>
      </c>
      <c r="B147" s="199" t="s">
        <v>326</v>
      </c>
      <c r="C147" s="199"/>
      <c r="D147" s="199" t="s">
        <v>327</v>
      </c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IF(A111="YES",((A41*B111)*0.1)*(A133),0)</f>
        <v>12</v>
      </c>
      <c r="B148" s="42" t="n">
        <f aca="false">A108-100</f>
        <v>99.99</v>
      </c>
      <c r="C148" s="42"/>
      <c r="D148" s="42" t="n">
        <f aca="false">(B145+D145+A148+B148)-B151</f>
        <v>594.365</v>
      </c>
      <c r="E148" s="107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1473.1755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1433.1775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329</v>
      </c>
      <c r="B150" s="199" t="s">
        <v>330</v>
      </c>
      <c r="C150" s="199"/>
      <c r="D150" s="199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0</v>
      </c>
      <c r="B151" s="42" t="n">
        <f aca="false">(B145+D145+A148+B148)*(A151/B70)</f>
        <v>0</v>
      </c>
      <c r="C151" s="199"/>
      <c r="D151" s="199"/>
      <c r="E151" s="200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/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58" t="s">
        <v>335</v>
      </c>
      <c r="B154" s="199"/>
      <c r="C154" s="199"/>
      <c r="D154" s="259"/>
      <c r="E154" s="260"/>
      <c r="F154" s="67"/>
      <c r="G154" s="258" t="s">
        <v>335</v>
      </c>
      <c r="H154" s="199"/>
      <c r="I154" s="199"/>
      <c r="J154" s="259"/>
      <c r="K154" s="260"/>
      <c r="L154" s="67"/>
      <c r="M154" s="346" t="n">
        <f aca="false">H40</f>
        <v>0</v>
      </c>
      <c r="N154" s="347" t="n">
        <v>0.99</v>
      </c>
      <c r="O154" s="347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232"/>
      <c r="C155" s="232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33" t="s">
        <v>96</v>
      </c>
      <c r="B156" s="234" t="s">
        <v>97</v>
      </c>
      <c r="C156" s="234"/>
      <c r="D156" s="199"/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33"/>
      <c r="B157" s="235" t="n">
        <f aca="false">B57</f>
        <v>5000</v>
      </c>
      <c r="C157" s="235"/>
      <c r="D157" s="199"/>
      <c r="E157" s="200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37" t="n">
        <f aca="false">A58</f>
        <v>12</v>
      </c>
      <c r="B158" s="78" t="n">
        <f aca="false">B97</f>
        <v>501.512794429731</v>
      </c>
      <c r="C158" s="78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/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98"/>
      <c r="B160" s="199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62"/>
      <c r="B163" s="263"/>
      <c r="C163" s="263"/>
      <c r="D163" s="263"/>
      <c r="E163" s="264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errorStyle="stop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65 B105" type="list">
      <formula1>$Z$103:$Z$111</formula1>
      <formula2>0</formula2>
    </dataValidation>
    <dataValidation allowBlank="true" errorStyle="stop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40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(B3+C3+E10+D3+E3)*1.2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n">
        <f aca="false">IF(B38="YES",D38+A41,D38)</f>
        <v>550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0.0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3709.29972</v>
      </c>
      <c r="C64" s="199" t="n">
        <v>10000.0</v>
      </c>
      <c r="D64" s="36" t="n">
        <f aca="false">B64</f>
        <v>3709.29972</v>
      </c>
      <c r="E64" s="200"/>
      <c r="F64" s="67"/>
      <c r="G64" s="262" t="s">
        <v>104</v>
      </c>
      <c r="H64" s="69" t="n">
        <f aca="false">H61*H63</f>
        <v>3709.29972</v>
      </c>
      <c r="I64" s="199"/>
      <c r="J64" s="36" t="n">
        <f aca="false">H64</f>
        <v>3709.29972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69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 t="n">
        <f aca="false">B65+(B65*0.5*(H29/12-1))</f>
        <v>250</v>
      </c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264.94998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5029.18207294118</v>
      </c>
      <c r="C81" s="199"/>
      <c r="D81" s="199"/>
      <c r="E81" s="200"/>
      <c r="F81" s="67"/>
      <c r="G81" s="276" t="s">
        <v>116</v>
      </c>
      <c r="H81" s="277" t="n">
        <f aca="false">SUM(J64:J80)</f>
        <v>5362.88305333333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419.098506078431</v>
      </c>
      <c r="C82" s="199"/>
      <c r="D82" s="199"/>
      <c r="E82" s="200"/>
      <c r="F82" s="67"/>
      <c r="G82" s="198" t="s">
        <v>117</v>
      </c>
      <c r="H82" s="37" t="n">
        <f aca="false">H81/H29</f>
        <v>446.906921111111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13249.4184875294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13649.859664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96.0587016811173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96.3584284469545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13345.4771892105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13726.218092447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72</v>
      </c>
      <c r="C89" s="199"/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1112.12309910088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1143.85150770391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1184.12309910088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1215.85150770391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403</v>
      </c>
      <c r="B105" s="284" t="n">
        <v>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1112.12309910088</v>
      </c>
      <c r="B128" s="290" t="n">
        <f aca="false">IF(A105="YES",B89,0)</f>
        <v>72</v>
      </c>
      <c r="C128" s="295"/>
      <c r="D128" s="290" t="n">
        <f aca="false">B91</f>
        <v>1184.12309910088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1143.85150770391</v>
      </c>
      <c r="H130" s="166" t="n">
        <f aca="false">IF(G105="YES",H89*H57,0)</f>
        <v>72</v>
      </c>
      <c r="I130" s="166"/>
      <c r="J130" s="301" t="n">
        <f aca="false">H91</f>
        <v>1215.85150770391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1112.12309910088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1143.85150770391</v>
      </c>
      <c r="H133" s="42" t="n">
        <f aca="false">IF(G105="YES",H89*H57,0)</f>
        <v>72</v>
      </c>
      <c r="I133" s="205"/>
      <c r="J133" s="170" t="n">
        <f aca="false">H91*H57</f>
        <v>1215.85150770391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1184.12309910088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1112.12309910088</v>
      </c>
      <c r="B137" s="42" t="n">
        <f aca="false">IF(A105="YES",B89,0)</f>
        <v>72</v>
      </c>
      <c r="C137" s="199"/>
      <c r="D137" s="42" t="n">
        <f aca="false">B91</f>
        <v>1184.12309910088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264.94998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G18*0.000002*1.2*100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1492.13798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1215.85150770391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1184.12309910088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1112.12309910088</v>
      </c>
      <c r="B171" s="290" t="n">
        <f aca="false">IF(A105="YES",B89,0)</f>
        <v>72</v>
      </c>
      <c r="C171" s="295"/>
      <c r="D171" s="290" t="n">
        <f aca="false">B91</f>
        <v>1184.12309910088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1112.12309910088</v>
      </c>
      <c r="C174" s="199"/>
      <c r="D174" s="42" t="n">
        <f aca="false">IF(A105="YES",B89*B57,0)</f>
        <v>72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1184.12309910088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1112.12309910088</v>
      </c>
      <c r="B180" s="42" t="n">
        <f aca="false">IF(A105="YES",B89,0)</f>
        <v>72</v>
      </c>
      <c r="C180" s="199"/>
      <c r="D180" s="42" t="n">
        <f aca="false">B91</f>
        <v>1184.12309910088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38.15279712</v>
      </c>
      <c r="B183" s="309" t="n">
        <f aca="false">G18*0.000002*1.2*100</f>
        <v>12.71759904</v>
      </c>
      <c r="C183" s="310"/>
      <c r="D183" s="309" t="n">
        <f aca="false">A183+B183</f>
        <v>50.87039616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3709.29972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3859.29972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3709.29972</v>
      </c>
      <c r="C211" s="223" t="s">
        <v>235</v>
      </c>
      <c r="D211" s="199"/>
      <c r="E211" s="270" t="n">
        <f aca="false">B66</f>
        <v>250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3859.29972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96.0587016811173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6" t="s">
        <v>397</v>
      </c>
      <c r="B1" s="386"/>
      <c r="C1" s="386"/>
      <c r="D1" s="386"/>
      <c r="E1" s="3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7" t="s">
        <v>156</v>
      </c>
      <c r="C2" s="387" t="s">
        <v>157</v>
      </c>
      <c r="D2" s="387" t="s">
        <v>158</v>
      </c>
      <c r="E2" s="388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2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89" t="s">
        <v>174</v>
      </c>
      <c r="B9" s="389"/>
      <c r="C9" s="389"/>
      <c r="D9" s="389"/>
      <c r="E9" s="390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1" t="s">
        <v>175</v>
      </c>
      <c r="B10" s="391"/>
      <c r="C10" s="391"/>
      <c r="D10" s="391"/>
      <c r="E10" s="352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1" t="s">
        <v>176</v>
      </c>
      <c r="B11" s="391"/>
      <c r="C11" s="391"/>
      <c r="D11" s="391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1" t="s">
        <v>177</v>
      </c>
      <c r="B12" s="391"/>
      <c r="C12" s="391"/>
      <c r="D12" s="391"/>
      <c r="E12" s="352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1" t="s">
        <v>178</v>
      </c>
      <c r="B13" s="391"/>
      <c r="C13" s="391"/>
      <c r="D13" s="391"/>
      <c r="E13" s="352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1" t="s">
        <v>179</v>
      </c>
      <c r="B14" s="391"/>
      <c r="C14" s="391"/>
      <c r="D14" s="391"/>
      <c r="E14" s="352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1" t="s">
        <v>180</v>
      </c>
      <c r="B15" s="391"/>
      <c r="C15" s="391"/>
      <c r="D15" s="391"/>
      <c r="E15" s="354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1" t="s">
        <v>181</v>
      </c>
      <c r="B16" s="391"/>
      <c r="C16" s="391"/>
      <c r="D16" s="391"/>
      <c r="E16" s="352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2" t="s">
        <v>26</v>
      </c>
      <c r="B18" s="393" t="s">
        <v>183</v>
      </c>
      <c r="C18" s="393"/>
      <c r="D18" s="393"/>
      <c r="E18" s="355" t="n">
        <v>0</v>
      </c>
      <c r="F18" s="67"/>
      <c r="G18" s="21" t="n">
        <f aca="false">(B3+C3+E10+D3+E3)*1.2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2" t="s">
        <v>28</v>
      </c>
      <c r="B19" s="393" t="s">
        <v>183</v>
      </c>
      <c r="C19" s="393"/>
      <c r="D19" s="393"/>
      <c r="E19" s="355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2" t="s">
        <v>29</v>
      </c>
      <c r="B20" s="393" t="s">
        <v>183</v>
      </c>
      <c r="C20" s="393"/>
      <c r="D20" s="393"/>
      <c r="E20" s="355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4" t="s">
        <v>184</v>
      </c>
      <c r="B21" s="394"/>
      <c r="C21" s="394"/>
      <c r="D21" s="394"/>
      <c r="E21" s="357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45792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406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50.0</v>
      </c>
      <c r="B41" s="224" t="n">
        <f aca="false">IF(B38="YES",D38+A41,D38)</f>
        <v>550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1.0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3709.29972</v>
      </c>
      <c r="C64" s="199" t="n">
        <v>10000.0</v>
      </c>
      <c r="D64" s="36" t="n">
        <f aca="false">B64</f>
        <v>3709.29972</v>
      </c>
      <c r="E64" s="200"/>
      <c r="F64" s="67"/>
      <c r="G64" s="262" t="s">
        <v>104</v>
      </c>
      <c r="H64" s="69" t="n">
        <f aca="false">H61*H63</f>
        <v>3709.29972</v>
      </c>
      <c r="I64" s="199"/>
      <c r="J64" s="36" t="n">
        <f aca="false">H64</f>
        <v>3709.29972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264.94998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5029.18207294118</v>
      </c>
      <c r="C81" s="199"/>
      <c r="D81" s="199"/>
      <c r="E81" s="200"/>
      <c r="F81" s="67"/>
      <c r="G81" s="276" t="s">
        <v>116</v>
      </c>
      <c r="H81" s="277" t="n">
        <f aca="false">SUM(J64:J80)</f>
        <v>5362.88305333333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419.098506078431</v>
      </c>
      <c r="C82" s="199"/>
      <c r="D82" s="199"/>
      <c r="E82" s="200"/>
      <c r="F82" s="67"/>
      <c r="G82" s="198" t="s">
        <v>117</v>
      </c>
      <c r="H82" s="37" t="n">
        <f aca="false">H81/H29</f>
        <v>446.906921111111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11041.1820729412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13649.859664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96.0587016811173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96.3584284469545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11137.2407746223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13726.218092447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60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928.103397885191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1143.85150770391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988.103397885191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1215.85150770391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406</v>
      </c>
      <c r="B105" s="284" t="n">
        <v>30.0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403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214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928.103397885191</v>
      </c>
      <c r="B128" s="290" t="n">
        <f aca="false">IF(A105="YES",B89,0)</f>
        <v>60</v>
      </c>
      <c r="C128" s="295"/>
      <c r="D128" s="290" t="n">
        <f aca="false">B91</f>
        <v>988.103397885191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1143.85150770391</v>
      </c>
      <c r="H130" s="166" t="n">
        <f aca="false">IF(G105="YES",H89*H57,0)</f>
        <v>72</v>
      </c>
      <c r="I130" s="166"/>
      <c r="J130" s="301" t="n">
        <f aca="false">H91</f>
        <v>1215.85150770391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928.103397885191</v>
      </c>
      <c r="C131" s="199"/>
      <c r="D131" s="42" t="n">
        <f aca="false">IF(A105="YES",B89*B57,0)</f>
        <v>60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1143.85150770391</v>
      </c>
      <c r="H133" s="42" t="n">
        <f aca="false">IF(G105="YES",H89*H57,0)</f>
        <v>72</v>
      </c>
      <c r="I133" s="205"/>
      <c r="J133" s="170" t="n">
        <f aca="false">H91*H57</f>
        <v>1215.85150770391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988.103397885191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928.103397885191</v>
      </c>
      <c r="B137" s="42" t="n">
        <f aca="false">IF(A105="YES",B89,0)</f>
        <v>60</v>
      </c>
      <c r="C137" s="199"/>
      <c r="D137" s="42" t="n">
        <f aca="false">B91</f>
        <v>988.103397885191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264.94998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31.7939976</v>
      </c>
      <c r="B140" s="309" t="n">
        <f aca="false">G18*0.000002*100</f>
        <v>10.5979992</v>
      </c>
      <c r="C140" s="310"/>
      <c r="D140" s="309" t="n">
        <f aca="false">A140+B140</f>
        <v>42.3919968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1492.13798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1215.85150770391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988.103397885191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928.103397885191</v>
      </c>
      <c r="B171" s="290" t="n">
        <f aca="false">IF(A105="YES",B89,0)</f>
        <v>60</v>
      </c>
      <c r="C171" s="295"/>
      <c r="D171" s="290" t="n">
        <f aca="false">B91</f>
        <v>988.103397885191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928.103397885191</v>
      </c>
      <c r="C174" s="199"/>
      <c r="D174" s="42" t="n">
        <f aca="false">IF(A105="YES",B89*B57,0)</f>
        <v>60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988.103397885191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928.103397885191</v>
      </c>
      <c r="B180" s="42" t="n">
        <f aca="false">IF(A105="YES",B89,0)</f>
        <v>60</v>
      </c>
      <c r="C180" s="199"/>
      <c r="D180" s="42" t="n">
        <f aca="false">B91</f>
        <v>988.103397885191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31.7939976</v>
      </c>
      <c r="B183" s="309" t="n">
        <f aca="false">G18*0.000002*100</f>
        <v>10.5979992</v>
      </c>
      <c r="C183" s="310"/>
      <c r="D183" s="309" t="n">
        <f aca="false">A183+B183</f>
        <v>42.3919968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3709.29972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3859.29972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3709.29972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3859.29972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96.0587016811173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 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454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2025-05-14T20:34:34Z</dcterms:modified>
  <cp:revision>1027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ICV">
    <vt:lpwstr>CE3AEC47E53A4CF5B6673284C36DFA3F_12</vt:lpwstr>
  </property>
  <property fmtid="{D5CDD505-2E9C-101B-9397-08002B2CF9AE}" pid="4" name="KSOProductBuildVer">
    <vt:lpwstr>1033-12.2.0.13489</vt:lpwstr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