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6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<sst xmlns="http://schemas.openxmlformats.org/spreadsheetml/2006/main" count="32527" uniqueCount="402">
  <si>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</si>
  <si>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</si>
  <si>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</si>
  <si>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</si>
  <si>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</si>
  <si>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</si>
  <si>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</si>
  <si>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</si>
  <si>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</si>
  <si>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</si>
  <si>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</si>
  <si>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</si>
  <si>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</si>
  <si>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</si>
  <si>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</si>
  <si>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</si>
  <si>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</si>
  <si>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</si>
  <si>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</si>
  <si>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</si>
  <si>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</si>
  <si>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</si>
  <si>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</si>
  <si>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</si>
  <si>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</si>
  <si>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</si>
  <si>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</si>
  <si>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</si>
  <si>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</si>
  <si>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</si>
  <si>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</si>
  <si>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</si>
  <si>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</si>
  <si>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</si>
  <si>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</si>
  <si>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</si>
  <si>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</si>
  <si>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</si>
  <si>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</si>
  <si>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</si>
  <si>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</si>
  <si>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</si>
  <si>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</si>
  <si>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</si>
  <si>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</si>
  <si>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</si>
  <si>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</si>
  <si>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</si>
  <si>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</si>
  <si>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</si>
  <si>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</si>
  <si>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</si>
  <si>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</si>
  <si>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</si>
  <si>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</si>
  <si>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</si>
  <si>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</si>
  <si>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</si>
  <si>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</si>
  <si>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</si>
  <si>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</si>
  <si>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</si>
  <si>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</si>
  <si>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</si>
  <si>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</si>
  <si>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</si>
  <si>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</si>
  <si>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</si>
  <si>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</si>
  <si>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</si>
  <si>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</si>
  <si>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</si>
  <si>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</si>
  <si>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</si>
  <si>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</si>
  <si>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</si>
  <si>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</si>
  <si>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</si>
  <si>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</si>
  <si>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</si>
  <si>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</si>
  <si>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</si>
  <si>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</si>
  <si>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</si>
  <si>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</si>
  <si>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</si>
  <si>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</si>
  <si>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</si>
  <si>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</si>
  <si>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</si>
  <si>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</si>
  <si>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</si>
  <si>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</si>
  <si>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</si>
  <si>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</si>
  <si>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</si>
  <si>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</si>
  <si>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</si>
  <si>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</si>
  <si>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</si>
  <si>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</si>
  <si>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</si>
  <si>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</si>
  <si>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</si>
  <si>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</si>
  <si>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</si>
  <si>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</si>
  <si>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</si>
  <si>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</si>
  <si>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</si>
  <si>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</si>
  <si>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</si>
  <si>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</si>
  <si>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</si>
  <si>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</si>
  <si>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</si>
  <si>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</si>
  <si>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</si>
  <si>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</si>
  <si>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</si>
  <si>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</si>
  <si>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</si>
  <si>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</si>
  <si>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</si>
  <si>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</si>
  <si>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</si>
  <si>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</si>
  <si>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</si>
  <si>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</si>
  <si>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</si>
  <si>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</si>
  <si>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</si>
  <si>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</si>
  <si>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</si>
  <si>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</si>
  <si>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</si>
  <si>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</si>
  <si>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</si>
  <si>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</si>
  <si>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</si>
  <si>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</si>
  <si>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</si>
  <si>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</si>
  <si>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</si>
  <si>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</si>
  <si>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</si>
  <si>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</si>
  <si>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</si>
  <si>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</si>
  <si>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</si>
  <si>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</si>
  <si>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</si>
  <si>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</si>
  <si>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</si>
  <si>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</si>
  <si>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</si>
  <si>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</si>
  <si>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</si>
  <si>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</si>
  <si>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</si>
  <si>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</si>
  <si>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</si>
  <si>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</si>
  <si>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</si>
  <si>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</si>
  <si>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</si>
  <si>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</si>
  <si>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</si>
  <si>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</si>
  <si>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</si>
  <si>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</si>
  <si>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</si>
  <si>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</si>
  <si>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</si>
  <si>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</si>
  <si>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</si>
  <si>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</si>
  <si>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</si>
  <si>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</si>
  <si>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</si>
  <si>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</si>
  <si>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</si>
  <si>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</si>
  <si>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</si>
  <si>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</si>
  <si>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</si>
  <si>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</si>
  <si>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</si>
  <si>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</si>
  <si>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</si>
  <si>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</si>
  <si>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</si>
  <si>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</si>
  <si>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</si>
  <si>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</si>
  <si>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</si>
  <si>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</si>
  <si>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</si>
  <si>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</si>
  <si>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</si>
  <si>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</si>
  <si>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</si>
  <si>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</si>
  <si>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</si>
  <si>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</si>
  <si>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</si>
  <si>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</si>
  <si>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</si>
  <si>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</si>
  <si>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</si>
  <si>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</si>
  <si>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</si>
  <si>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</si>
  <si>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</si>
  <si>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</si>
  <si>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</si>
  <si>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</si>
  <si>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</si>
  <si>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</si>
  <si>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</si>
  <si>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</si>
  <si>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</si>
  <si>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</si>
  <si>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</si>
  <si>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</si>
  <si>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</si>
  <si>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</si>
  <si>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</si>
  <si>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</si>
  <si>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</si>
  <si>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</si>
  <si>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</si>
  <si>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</si>
  <si>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</si>
  <si>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</si>
  <si>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</si>
  <si>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</si>
  <si>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</si>
  <si>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</si>
  <si>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</si>
  <si>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</si>
  <si>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</si>
  <si>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</si>
  <si>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</si>
  <si>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</si>
  <si>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</si>
  <si>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</si>
  <si>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</si>
  <si>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</si>
  <si>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</si>
  <si>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</si>
  <si>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</si>
  <si>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</si>
  <si>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</si>
  <si>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</si>
  <si>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</si>
  <si>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</si>
  <si>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</si>
  <si>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</si>
  <si>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</si>
  <si>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</si>
  <si>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</si>
  <si>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</si>
  <si>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</si>
  <si>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</si>
  <si>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</si>
  <si>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</si>
  <si>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</si>
  <si>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</si>
  <si>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</si>
  <si>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</si>
  <si>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</si>
  <si>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</si>
  <si>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</si>
  <si>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</si>
  <si>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</si>
  <si>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</si>
  <si>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</si>
  <si>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</si>
  <si>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</si>
  <si>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</si>
  <si>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</si>
  <si>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</si>
  <si>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</si>
  <si>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</si>
  <si>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</si>
  <si>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</si>
  <si>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</si>
  <si>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</si>
  <si>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</si>
  <si>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</si>
  <si>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</si>
  <si>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</si>
  <si>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</si>
  <si>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</si>
  <si>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</si>
  <si>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</si>
  <si>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</si>
  <si>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</si>
  <si>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</si>
  <si>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</si>
  <si>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</si>
  <si>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</si>
  <si>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</si>
  <si>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</si>
  <si>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</si>
  <si>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</si>
  <si>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</si>
  <si>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</si>
  <si>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</si>
  <si>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</si>
  <si>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</si>
  <si>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</si>
  <si>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</si>
  <si>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</si>
  <si>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</si>
  <si>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</si>
  <si>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</si>
  <si>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</si>
  <si>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</si>
  <si>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</si>
  <si>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</si>
  <si>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</si>
  <si>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</si>
  <si>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</si>
  <si>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</si>
  <si>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</si>
  <si>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</si>
  <si>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</si>
  <si>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</si>
  <si>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</si>
  <si>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</si>
  <si>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</si>
  <si>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</si>
  <si>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</si>
  <si>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</si>
  <si>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</si>
  <si>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</si>
  <si>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</si>
  <si>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</si>
  <si>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</si>
  <si>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</si>
  <si>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</si>
  <si>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</si>
  <si>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</si>
  <si>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</si>
  <si>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</si>
  <si>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</si>
  <si>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</si>
  <si>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</si>
  <si>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</si>
  <si>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</si>
  <si>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</si>
  <si>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</si>
  <si>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</si>
  <si>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</si>
  <si>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</si>
  <si>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</si>
  <si>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</si>
  <si>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</si>
  <si>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</si>
  <si>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</si>
  <si>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</si>
  <si>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</si>
  <si>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</si>
  <si>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</si>
  <si>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</si>
  <si>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</si>
  <si>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</si>
  <si>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</si>
  <si>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</si>
  <si>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</si>
  <si>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</si>
  <si>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</si>
  <si>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</si>
  <si>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</si>
  <si>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</si>
  <si>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</si>
  <si>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</si>
  <si>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</si>
  <si>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</si>
  <si>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</si>
  <si>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609.18</t>
  </si>
  <si>
    <t xml:space="preserve">312.00</t>
  </si>
  <si>
    <t xml:space="preserve">22648.00</t>
  </si>
  <si>
    <t xml:space="preserve">RFL included?</t>
  </si>
  <si>
    <t>YES</t>
  </si>
  <si>
    <t>0</t>
  </si>
  <si>
    <t>NO</t>
  </si>
  <si>
    <t>A1 Credit</t>
  </si>
  <si>
    <t>199.99</t>
  </si>
  <si>
    <t>Limited Credit</t>
  </si>
  <si>
    <t>239.99</t>
  </si>
  <si>
    <t>1000</t>
  </si>
  <si>
    <t>12</t>
  </si>
  <si>
    <t>500</t>
  </si>
  <si>
    <t>6000</t>
  </si>
  <si>
    <t>20</t>
  </si>
  <si>
    <t>50</t>
  </si>
  <si>
    <t>10</t>
  </si>
  <si>
    <t>200</t>
  </si>
  <si>
    <t xml:space="preserve"> Terminal pause with 6 down 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</si>
</sst>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15166.67</v>
      </c>
      <c r="C2" s="4" t="s">
        <v>2</v>
      </c>
      <c r="D2" s="5" t="n">
        <f aca="false">C9</f>
        <v>3033.334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18200.004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15166.67</v>
      </c>
      <c r="C9" s="9" t="n">
        <f aca="false">B9*0.2</f>
        <v>3033.334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15166.67</v>
      </c>
      <c r="C15" s="9" t="n">
        <f aca="false">SUM(C9:C13)</f>
        <v>3033.334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18200.004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15166.67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18200.004</v>
      </c>
      <c r="B37" s="31"/>
      <c r="C37" s="40" t="s">
        <v>45</v>
      </c>
      <c r="D37" s="40"/>
      <c r="E37" s="31"/>
      <c r="F37" s="42" t="n">
        <f aca="false">A37-C37</f>
        <v>17200.004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3033.334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169.4445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380.5555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383.222166666667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333.222166666667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383.222166666667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11525.3876327075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383.222166666667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383.222166666667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383.222166666667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17200.004</v>
      </c>
      <c r="C90" s="31"/>
      <c r="D90" s="31"/>
      <c r="E90" s="22"/>
      <c r="F90" s="24" t="s">
        <v>106</v>
      </c>
      <c r="G90" s="26" t="n">
        <f aca="false">F37</f>
        <v>17200.004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10845.0622001204</v>
      </c>
      <c r="C97" s="31"/>
      <c r="D97" s="31"/>
      <c r="E97" s="22"/>
      <c r="F97" s="30" t="s">
        <v>113</v>
      </c>
      <c r="G97" s="32" t="n">
        <f aca="false">G90-G95</f>
        <v>10451.934698559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1048.85342115523</v>
      </c>
      <c r="C98" s="31"/>
      <c r="D98" s="31"/>
      <c r="E98" s="22"/>
      <c r="F98" s="30" t="s">
        <v>114</v>
      </c>
      <c r="G98" s="32" t="n">
        <f aca="false">(G97/G96)</f>
        <v>981.334613263741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11537.3876327075</v>
      </c>
      <c r="C99" s="31"/>
      <c r="D99" s="31"/>
      <c r="E99" s="22"/>
      <c r="F99" s="30" t="s">
        <v>115</v>
      </c>
      <c r="G99" s="32" t="n">
        <f aca="false">((G98*(G94))+G86)</f>
        <v>10794.6807459012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11537.3876327075</v>
      </c>
      <c r="C101" s="31"/>
      <c r="D101" s="31"/>
      <c r="E101" s="22"/>
      <c r="F101" s="55" t="s">
        <v>117</v>
      </c>
      <c r="G101" s="64" t="n">
        <f aca="false">(G99+G100)</f>
        <v>10794.6807459012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1048.85342115523</v>
      </c>
      <c r="C104" s="31"/>
      <c r="D104" s="31"/>
      <c r="E104" s="22"/>
      <c r="F104" s="94" t="s">
        <v>119</v>
      </c>
      <c r="G104" s="95" t="n">
        <f aca="false">G101/(G94)</f>
        <v>981.334613263741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1133.94433024614</v>
      </c>
      <c r="C105" s="31"/>
      <c r="D105" s="31"/>
      <c r="E105" s="22" t="s">
        <v>18</v>
      </c>
      <c r="F105" s="96" t="s">
        <v>120</v>
      </c>
      <c r="G105" s="97" t="n">
        <f aca="false">G103+G104</f>
        <v>981.334613263741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18200.004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18200.004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18200.004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18200.004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18200.004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15166.67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3033.334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18200.004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18200.004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-15166.67</v>
      </c>
      <c r="I157" s="1" t="n">
        <f aca="false">(H157-G90)/1.2</f>
        <v>-26972.2283333333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1048.85342115523</v>
      </c>
      <c r="B176" s="176" t="n">
        <f aca="false">B103</f>
        <v>85.0909090909091</v>
      </c>
      <c r="C176" s="173"/>
      <c r="D176" s="173"/>
      <c r="E176" s="176" t="n">
        <f aca="false">B105</f>
        <v>1133.94433024614</v>
      </c>
      <c r="F176" s="22"/>
      <c r="G176" s="22" t="n">
        <f aca="false">ROUND(G104,2)</f>
        <v>981.33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18737.3876327076</v>
      </c>
      <c r="B191" s="102" t="str">
        <f aca="false">B123</f>
        <v>239.99</v>
      </c>
      <c r="C191" s="102"/>
      <c r="D191" s="22"/>
      <c r="E191" s="102" t="n">
        <f aca="false">E188+A191+B191+A194</f>
        <v>18987.3776327076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-15166.67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1133.94433024614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17994.63</v>
      </c>
      <c r="B210" s="185" t="n">
        <f aca="false">E188+A210+B191+A194</f>
        <v>18244.62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1048.85342115523</v>
      </c>
      <c r="B221" s="176" t="n">
        <f aca="false">B176</f>
        <v>85.0909090909091</v>
      </c>
      <c r="C221" s="173"/>
      <c r="D221" s="173"/>
      <c r="E221" s="176" t="n">
        <f aca="false">E176</f>
        <v>1133.94433024614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18737.3876327076</v>
      </c>
      <c r="B233" s="102" t="str">
        <f aca="false">B191</f>
        <v>239.99</v>
      </c>
      <c r="C233" s="102"/>
      <c r="D233" s="112"/>
      <c r="E233" s="102" t="n">
        <f aca="false">E191</f>
        <v>18987.3776327076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1048.85342115523</v>
      </c>
      <c r="B239" s="102" t="n">
        <f aca="false">B176</f>
        <v>85.0909090909091</v>
      </c>
      <c r="C239" s="185"/>
      <c r="D239" s="185"/>
      <c r="E239" s="102" t="n">
        <f aca="false">E176</f>
        <v>1133.94433024614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-15166.67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-15066.6783333333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752.757632707548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852.749299374214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11537.3876327075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852.749299374214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19899.996</v>
      </c>
      <c r="B37" s="31"/>
      <c r="C37" s="40" t="s">
        <v>45</v>
      </c>
      <c r="D37" s="40"/>
      <c r="E37" s="31"/>
      <c r="F37" s="42" t="n">
        <f aca="false">A37-C37</f>
        <v>18899.996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3316.666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193.0555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306.9445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309.611166666667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309.611166666667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309.611166666667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13333.9034636526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309.611166666667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309.611166666667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309.611166666667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18899.996</v>
      </c>
      <c r="C90" s="31"/>
      <c r="D90" s="31"/>
      <c r="E90" s="22"/>
      <c r="F90" s="24" t="s">
        <v>106</v>
      </c>
      <c r="G90" s="26" t="n">
        <f aca="false">F37</f>
        <v>18899.996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12545.0542001204</v>
      </c>
      <c r="C97" s="31"/>
      <c r="D97" s="31"/>
      <c r="E97" s="22"/>
      <c r="F97" s="30" t="s">
        <v>113</v>
      </c>
      <c r="G97" s="32" t="n">
        <f aca="false">G90-G95</f>
        <v>12151.926698559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1213.26395124115</v>
      </c>
      <c r="C98" s="31"/>
      <c r="D98" s="31"/>
      <c r="E98" s="22"/>
      <c r="F98" s="30" t="s">
        <v>114</v>
      </c>
      <c r="G98" s="32" t="n">
        <f aca="false">(G97/G96)</f>
        <v>1140.94726297743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13345.9034636526</v>
      </c>
      <c r="C99" s="31"/>
      <c r="D99" s="31"/>
      <c r="E99" s="22"/>
      <c r="F99" s="30" t="s">
        <v>115</v>
      </c>
      <c r="G99" s="32" t="n">
        <f aca="false">((G98*(G94))+G86)</f>
        <v>12550.4198927517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13345.9034636526</v>
      </c>
      <c r="C101" s="31"/>
      <c r="D101" s="31"/>
      <c r="E101" s="22"/>
      <c r="F101" s="55" t="s">
        <v>117</v>
      </c>
      <c r="G101" s="64" t="n">
        <f aca="false">(G99+G100)</f>
        <v>12550.4198927517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1213.26395124115</v>
      </c>
      <c r="C104" s="31"/>
      <c r="D104" s="31"/>
      <c r="E104" s="22"/>
      <c r="F104" s="94" t="s">
        <v>119</v>
      </c>
      <c r="G104" s="95" t="n">
        <f aca="false">G101/(G94)</f>
        <v>1140.94726297743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1213.26395124115</v>
      </c>
      <c r="C105" s="31"/>
      <c r="D105" s="31"/>
      <c r="E105" s="22" t="s">
        <v>18</v>
      </c>
      <c r="F105" s="96" t="s">
        <v>120</v>
      </c>
      <c r="G105" s="97" t="n">
        <f aca="false">G103+G104</f>
        <v>1140.94726297743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19899.996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19899.996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19899.996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19899.996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19899.996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16583.33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3316.666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19899.996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19899.996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2166.67</v>
      </c>
      <c r="I157" s="1" t="n">
        <f aca="false">(H157-G90)/1.2</f>
        <v>-13944.4383333333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1213.26395124115</v>
      </c>
      <c r="B176" s="176" t="n">
        <f aca="false">B103</f>
        <v>0</v>
      </c>
      <c r="C176" s="173"/>
      <c r="D176" s="173"/>
      <c r="E176" s="176" t="n">
        <f aca="false">B105</f>
        <v>1213.26395124115</v>
      </c>
      <c r="F176" s="22"/>
      <c r="G176" s="22" t="n">
        <f aca="false">ROUND(G104,2)</f>
        <v>1140.95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-1954.09653634737</v>
      </c>
      <c r="B191" s="102" t="str">
        <f aca="false">B123</f>
        <v>199.99</v>
      </c>
      <c r="C191" s="102"/>
      <c r="D191" s="22"/>
      <c r="E191" s="102" t="n">
        <f aca="false">E188+A191+(B191*1.2)+A194</f>
        <v>20795.8914636526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2166.67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1213.26395124115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-2749.55</v>
      </c>
      <c r="B210" s="185" t="n">
        <f aca="false">E188+A210+(B191*1.2)+A194</f>
        <v>20000.438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1213.26395124115</v>
      </c>
      <c r="B221" s="176" t="n">
        <f aca="false">B176</f>
        <v>0</v>
      </c>
      <c r="C221" s="173"/>
      <c r="D221" s="173"/>
      <c r="E221" s="176" t="n">
        <f aca="false">E176</f>
        <v>1213.26395124115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-1954.09653634737</v>
      </c>
      <c r="B233" s="102" t="str">
        <f aca="false">B191</f>
        <v>199.99</v>
      </c>
      <c r="C233" s="102"/>
      <c r="D233" s="112"/>
      <c r="E233" s="102" t="n">
        <f aca="false">E191</f>
        <v>20795.8914636526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1213.26395124115</v>
      </c>
      <c r="B239" s="102" t="n">
        <f aca="false">B176</f>
        <v>0</v>
      </c>
      <c r="C239" s="185"/>
      <c r="D239" s="185"/>
      <c r="E239" s="102" t="n">
        <f aca="false">E176</f>
        <v>1213.26395124115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2166.67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2360.41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805.453463652626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792.943463652626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13345.9034636526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792.943463652626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1006.90347118286</v>
      </c>
      <c r="B182" s="102" t="str">
        <f aca="false">B114</f>
        <v>239.99</v>
      </c>
      <c r="C182" s="102"/>
      <c r="D182" s="22"/>
      <c r="E182" s="102" t="n">
        <f aca="false">E179+A182+B182+A185</f>
        <v>24756.8894711829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1006.90347118286</v>
      </c>
      <c r="B224" s="102" t="str">
        <f aca="false">B182</f>
        <v>239.99</v>
      </c>
      <c r="C224" s="102"/>
      <c r="D224" s="112"/>
      <c r="E224" s="102" t="n">
        <f aca="false">E182</f>
        <v>24756.8894711829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1948.25947118286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-1373.57209293293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-1373.57209293293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1146.60390706707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24" activeCellId="0" sqref="A224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825.184823304472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825.184823304472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842.693136637805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825.183156637805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825.183156637805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3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3759.52280528489</v>
      </c>
      <c r="B182" s="102" t="str">
        <f aca="false">B114</f>
        <v>239.99</v>
      </c>
      <c r="C182" s="102"/>
      <c r="D182" s="22"/>
      <c r="E182" s="102" t="n">
        <f aca="false">E179+A182+B182+A185</f>
        <v>25609.5128052849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3759.52280528489</v>
      </c>
      <c r="B224" s="102" t="str">
        <f aca="false">B182</f>
        <v>239.99</v>
      </c>
      <c r="C224" s="102"/>
      <c r="D224" s="112"/>
      <c r="E224" s="102" t="n">
        <f aca="false">E182</f>
        <v>25609.5128052849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2422.12280528489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2633.41447195156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2422.12280528489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2633.41447195156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5965.56520680359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5965.56520680359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2513.61120680359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2513.61120680359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34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984.684975439895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984.684975439895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4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-1468.80067122677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-1468.80067122677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823.443328773228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804.683308773228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823.443328773228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804.683308773228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-1468.80067122677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804.684975439895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804.684975439895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-1468.80067122677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-1468.80067122677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823.443328773228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804.683308773228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823.443328773228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804.683308773228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Terminal pause with 9 down 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Terminal pause with 9 down 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18875.0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14075.0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0.0</v>
      </c>
      <c r="C108" s="106"/>
      <c r="D108" s="106" t="n">
        <v>0.0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20833.33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6892.51233982864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6892.51233982864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2894.66633982864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2766.15796649531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2766.15796649531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18875.0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14075.0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100.0</v>
      </c>
      <c r="B45" s="92"/>
      <c r="C45" s="61" t="n">
        <v>100.0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386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0.0</v>
      </c>
      <c r="C108" s="106"/>
      <c r="D108" s="106" t="n">
        <v>0.0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20833.33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4986.94913568649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4986.94913568649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1879.18913568649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1756.67913568649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1879.18913568649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1756.67913568649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3741.666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2160.0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251.844068417072</v>
      </c>
      <c r="E33" s="215"/>
      <c r="F33" s="62"/>
      <c r="G33" s="218" t="s">
        <v>356</v>
      </c>
      <c r="H33" s="456" t="n">
        <f aca="false">E21-E11</f>
        <v>18708.33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251.844068417072</v>
      </c>
      <c r="B36" s="102" t="n">
        <f aca="false">IF(B26="YES",H42,"")</f>
        <v>0</v>
      </c>
      <c r="C36" s="220"/>
      <c r="D36" s="183" t="n">
        <f aca="false">H31</f>
        <v>15375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18708.33</v>
      </c>
      <c r="I39" s="237" t="n">
        <f aca="false">(I48*H46)+H44</f>
        <v>56169.774870133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15375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12812.5</v>
      </c>
      <c r="I40" s="237" t="n">
        <f aca="false">H39-I39</f>
        <v>-37461.444870133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10491.2904626358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8217.03953736421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251.844068417072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251.844068417072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251.844068417072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22449.996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2357.24958</v>
      </c>
      <c r="C64" s="461" t="n">
        <v>10000</v>
      </c>
      <c r="D64" s="290" t="n">
        <f aca="false">B64</f>
        <v>2357.24958</v>
      </c>
      <c r="E64" s="462" t="n">
        <f aca="false">D64/(B58+B57)</f>
        <v>65.479155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448.99992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3137.24958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87.1458216666667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251.844068417072</v>
      </c>
      <c r="C83" s="469"/>
      <c r="D83" s="214"/>
      <c r="E83" s="462" t="n">
        <f aca="false">B83+E80+E77+E64</f>
        <v>338.989890083739</v>
      </c>
      <c r="F83" s="62"/>
      <c r="G83" s="304" t="s">
        <v>105</v>
      </c>
      <c r="H83" s="305" t="n">
        <f aca="false">H47</f>
        <v>251.844068417072</v>
      </c>
      <c r="I83" s="214"/>
      <c r="J83" s="214"/>
      <c r="K83" s="215"/>
      <c r="L83" s="62"/>
      <c r="M83" s="304" t="s">
        <v>105</v>
      </c>
      <c r="N83" s="305" t="n">
        <f aca="false">H47</f>
        <v>251.844068417072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12203.6360430146</v>
      </c>
      <c r="C85" s="469"/>
      <c r="D85" s="469"/>
      <c r="E85" s="462" t="n">
        <f aca="false">B85/(B58+B57)</f>
        <v>338.989890083739</v>
      </c>
      <c r="F85" s="62"/>
      <c r="G85" s="287" t="s">
        <v>115</v>
      </c>
      <c r="H85" s="130" t="n">
        <f aca="false">((H83*H29)+H81)*1.2</f>
        <v>12158.5637556175</v>
      </c>
      <c r="I85" s="214"/>
      <c r="J85" s="214"/>
      <c r="K85" s="215"/>
      <c r="L85" s="62"/>
      <c r="M85" s="287" t="s">
        <v>115</v>
      </c>
      <c r="N85" s="130" t="n">
        <f aca="false">((N83*H29)+N81)</f>
        <v>9788.38646301459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103.378925737518</v>
      </c>
      <c r="C86" s="469" t="s">
        <v>231</v>
      </c>
      <c r="D86" s="214"/>
      <c r="E86" s="462" t="n">
        <f aca="false">B86/(B58+B57)</f>
        <v>2.87163682604216</v>
      </c>
      <c r="F86" s="62"/>
      <c r="G86" s="213" t="s">
        <v>116</v>
      </c>
      <c r="H86" s="299" t="n">
        <f aca="false">((((H83*H29)+H81))/(1-H70))*H70</f>
        <v>85.8309260682963</v>
      </c>
      <c r="I86" s="214"/>
      <c r="J86" s="214"/>
      <c r="K86" s="215"/>
      <c r="L86" s="62"/>
      <c r="M86" s="213" t="s">
        <v>116</v>
      </c>
      <c r="N86" s="299" t="n">
        <f aca="false">(N85/(1-N70))*N70</f>
        <v>82.9189656003657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12307.0149687521</v>
      </c>
      <c r="C87" s="469"/>
      <c r="D87" s="471"/>
      <c r="E87" s="462" t="n">
        <f aca="false">E86+E85</f>
        <v>341.861526909781</v>
      </c>
      <c r="F87" s="62"/>
      <c r="G87" s="284" t="s">
        <v>117</v>
      </c>
      <c r="H87" s="132" t="n">
        <f aca="false">IF(H110="YES",((H85+H86)-K114),(H85+H86))</f>
        <v>12244.3946816858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9871.30542861496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341.861526909781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298.643772724044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240.763547039389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341.861526909781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298.643772724044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240.763547039389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200.0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298.643772724044</v>
      </c>
      <c r="H127" s="176" t="n">
        <f aca="false">IF(G105="YES",H89*H57,0)</f>
        <v>0</v>
      </c>
      <c r="I127" s="176"/>
      <c r="J127" s="333" t="n">
        <f aca="false">H91</f>
        <v>298.643772724044</v>
      </c>
      <c r="K127" s="215"/>
      <c r="L127" s="62"/>
      <c r="M127" s="332" t="n">
        <f aca="false">N90</f>
        <v>240.763547039389</v>
      </c>
      <c r="N127" s="176" t="n">
        <f aca="false">IF(M105="YES",N89*N57,0)</f>
        <v>0</v>
      </c>
      <c r="O127" s="176"/>
      <c r="P127" s="176" t="n">
        <f aca="false">N91</f>
        <v>240.763547039389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341.861526909781</v>
      </c>
      <c r="B128" s="320" t="n">
        <f aca="false">IF(A105="YES",B89,0)</f>
        <v>0</v>
      </c>
      <c r="C128" s="324"/>
      <c r="D128" s="320" t="n">
        <f aca="false">B91</f>
        <v>341.861526909781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341.861526909781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1791.86263634426</v>
      </c>
      <c r="H133" s="102" t="n">
        <f aca="false">IF(G105="YES",H89*H57,0)</f>
        <v>0</v>
      </c>
      <c r="I133" s="220"/>
      <c r="J133" s="183" t="n">
        <f aca="false">H91*H57</f>
        <v>1791.86263634426</v>
      </c>
      <c r="K133" s="215"/>
      <c r="L133" s="62"/>
      <c r="M133" s="184" t="n">
        <f aca="false">N90*N57</f>
        <v>1444.58128223634</v>
      </c>
      <c r="N133" s="102" t="n">
        <f aca="false">IF(M105="YES",N89*N57,0)</f>
        <v>0</v>
      </c>
      <c r="O133" s="220"/>
      <c r="P133" s="183" t="n">
        <f aca="false">N91*N57</f>
        <v>1444.58128223634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341.861526909781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341.861526909781</v>
      </c>
      <c r="B137" s="37" t="n">
        <f aca="false">IF(A105="YES",B89,0)</f>
        <v>0</v>
      </c>
      <c r="C137" s="316"/>
      <c r="D137" s="37" t="n">
        <f aca="false">B91</f>
        <v>341.861526909781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448.99992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548.98992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298.643772724044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240.763547039389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341.861526909781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341.861526909781</v>
      </c>
      <c r="B177" s="354" t="n">
        <f aca="false">IF(A105="YES",B89,0)</f>
        <v>0</v>
      </c>
      <c r="C177" s="356"/>
      <c r="D177" s="354" t="n">
        <f aca="false">B91</f>
        <v>341.861526909781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341.861526909781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341.861526909781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341.861526909781</v>
      </c>
      <c r="B186" s="102" t="n">
        <f aca="false">IF(A105="YES",B89,0)</f>
        <v>0</v>
      </c>
      <c r="C186" s="352"/>
      <c r="D186" s="102" t="n">
        <f aca="false">B91</f>
        <v>341.861526909781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448.99992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548.98992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2357.24958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448.99992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2008.23966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2357.24958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448.99992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2008.23966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103.378925737518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210.226639450059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160.226639450059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57694.31707024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-38819.31707024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5227.79289413229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160.226639450059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210.226639450059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210.226639450059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2378.25</v>
      </c>
      <c r="C64" s="461" t="n">
        <v>10000</v>
      </c>
      <c r="D64" s="290" t="n">
        <f aca="false">B64</f>
        <v>2378.25</v>
      </c>
      <c r="E64" s="462" t="n">
        <f aca="false">D64/(B58+B57)</f>
        <v>66.0625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453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4333.66666666667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120.37962962963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160.226639450059</v>
      </c>
      <c r="C83" s="469"/>
      <c r="D83" s="214"/>
      <c r="E83" s="462" t="n">
        <f aca="false">B83+E80+E77+E64</f>
        <v>274.433429573516</v>
      </c>
      <c r="F83" s="62"/>
      <c r="G83" s="304" t="s">
        <v>105</v>
      </c>
      <c r="H83" s="305" t="n">
        <f aca="false">H47</f>
        <v>160.226639450059</v>
      </c>
      <c r="I83" s="214"/>
      <c r="J83" s="214"/>
      <c r="K83" s="215"/>
      <c r="L83" s="62"/>
      <c r="M83" s="304" t="s">
        <v>105</v>
      </c>
      <c r="N83" s="305" t="n">
        <f aca="false">H47</f>
        <v>160.226639450059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12122.1908242426</v>
      </c>
      <c r="C85" s="469"/>
      <c r="D85" s="469"/>
      <c r="E85" s="462" t="n">
        <f aca="false">B85/(B58+B57)</f>
        <v>336.727522895627</v>
      </c>
      <c r="F85" s="62"/>
      <c r="G85" s="287" t="s">
        <v>115</v>
      </c>
      <c r="H85" s="130" t="n">
        <f aca="false">((H83*H29)+H81)*1.2</f>
        <v>8200.69082424256</v>
      </c>
      <c r="I85" s="214"/>
      <c r="J85" s="214"/>
      <c r="K85" s="215"/>
      <c r="L85" s="62"/>
      <c r="M85" s="287" t="s">
        <v>115</v>
      </c>
      <c r="N85" s="130" t="n">
        <f aca="false">((N83*H29)+N81)</f>
        <v>6490.15902020213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85.5741587028014</v>
      </c>
      <c r="C86" s="469" t="s">
        <v>231</v>
      </c>
      <c r="D86" s="214"/>
      <c r="E86" s="462" t="n">
        <f aca="false">B86/(B58+B57)</f>
        <v>2.37705996396671</v>
      </c>
      <c r="F86" s="62"/>
      <c r="G86" s="213" t="s">
        <v>116</v>
      </c>
      <c r="H86" s="299" t="n">
        <f aca="false">((((H83*H29)+H81))/(1-H70))*H70</f>
        <v>57.8911211876744</v>
      </c>
      <c r="I86" s="214"/>
      <c r="J86" s="214"/>
      <c r="K86" s="215"/>
      <c r="L86" s="62"/>
      <c r="M86" s="213" t="s">
        <v>116</v>
      </c>
      <c r="N86" s="299" t="n">
        <f aca="false">(N85/(1-N70))*N70</f>
        <v>54.9791607197438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12207.7649829454</v>
      </c>
      <c r="C87" s="469"/>
      <c r="D87" s="471"/>
      <c r="E87" s="462" t="n">
        <f aca="false">E86+E85</f>
        <v>339.104582859593</v>
      </c>
      <c r="F87" s="62"/>
      <c r="G87" s="284" t="s">
        <v>117</v>
      </c>
      <c r="H87" s="132" t="n">
        <f aca="false">IF(H110="YES",((H85+H86)-K114),(H85+H86))</f>
        <v>8258.58194543023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6545.13818092187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72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339.104582859593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201.428827937323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159.637516607851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411.104582859593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412.160535254396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335.247272705412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201.428827937323</v>
      </c>
      <c r="H127" s="176" t="n">
        <f aca="false">IF(G105="YES",H89*H57,0)</f>
        <v>1264.39024390244</v>
      </c>
      <c r="I127" s="176"/>
      <c r="J127" s="333" t="n">
        <f aca="false">H91</f>
        <v>412.160535254396</v>
      </c>
      <c r="K127" s="215"/>
      <c r="L127" s="62"/>
      <c r="M127" s="332" t="n">
        <f aca="false">N90</f>
        <v>159.637516607851</v>
      </c>
      <c r="N127" s="176" t="n">
        <f aca="false">IF(M105="YES",N89*N57,0)</f>
        <v>1053.65853658537</v>
      </c>
      <c r="O127" s="176"/>
      <c r="P127" s="176" t="n">
        <f aca="false">N91</f>
        <v>335.247272705412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339.104582859593</v>
      </c>
      <c r="B128" s="320" t="n">
        <f aca="false">IF(A105="YES",B89,0)</f>
        <v>72</v>
      </c>
      <c r="C128" s="324"/>
      <c r="D128" s="320" t="n">
        <f aca="false">B91</f>
        <v>411.104582859593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339.104582859593</v>
      </c>
      <c r="C131" s="316"/>
      <c r="D131" s="37" t="n">
        <f aca="false">IF(A105="YES",B89*B57,0)</f>
        <v>72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1208.57296762394</v>
      </c>
      <c r="H133" s="102" t="n">
        <f aca="false">IF(G105="YES",H89*H57,0)</f>
        <v>1264.39024390244</v>
      </c>
      <c r="I133" s="220"/>
      <c r="J133" s="183" t="n">
        <f aca="false">H91*H57</f>
        <v>2472.96321152637</v>
      </c>
      <c r="K133" s="215"/>
      <c r="L133" s="62"/>
      <c r="M133" s="184" t="n">
        <f aca="false">N90*N57</f>
        <v>957.825099647104</v>
      </c>
      <c r="N133" s="102" t="n">
        <f aca="false">IF(M105="YES",N89*N57,0)</f>
        <v>1053.65853658537</v>
      </c>
      <c r="O133" s="220"/>
      <c r="P133" s="183" t="n">
        <f aca="false">N91*N57</f>
        <v>2011.48363623247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411.104582859593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339.104582859593</v>
      </c>
      <c r="B137" s="37" t="n">
        <f aca="false">IF(A105="YES",B89,0)</f>
        <v>72</v>
      </c>
      <c r="C137" s="316"/>
      <c r="D137" s="37" t="n">
        <f aca="false">B91</f>
        <v>411.104582859593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453</v>
      </c>
      <c r="B148" s="102" t="n">
        <f aca="false">B102</f>
        <v>400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988.991666666667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412.160535254396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335.247272705412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411.104582859593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339.104582859593</v>
      </c>
      <c r="B177" s="354" t="n">
        <f aca="false">IF(A105="YES",B89,0)</f>
        <v>72</v>
      </c>
      <c r="C177" s="356"/>
      <c r="D177" s="354" t="n">
        <f aca="false">B91</f>
        <v>411.104582859593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339.104582859593</v>
      </c>
      <c r="C180" s="352"/>
      <c r="D180" s="102" t="n">
        <f aca="false">IF(A105="YES",B89*B57,0)</f>
        <v>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411.104582859593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339.104582859593</v>
      </c>
      <c r="B186" s="102" t="n">
        <f aca="false">IF(A105="YES",B89,0)</f>
        <v>72</v>
      </c>
      <c r="C186" s="352"/>
      <c r="D186" s="102" t="n">
        <f aca="false">B91</f>
        <v>411.104582859593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453</v>
      </c>
      <c r="B197" s="102" t="n">
        <f aca="false">B102</f>
        <v>400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988.991666666667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2378.25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453</v>
      </c>
      <c r="C211" s="319" t="s">
        <v>218</v>
      </c>
      <c r="D211" s="369" t="n">
        <f aca="false">B225+E221+B221+B223</f>
        <v>699.991666666667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2625.24166666667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2378.25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453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2625.24166666667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85.5741587028014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45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326.166666666667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7442.672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7495.21204033885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78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624.601003361571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702.601003361571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1239.99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624.601003361571</v>
      </c>
      <c r="B134" s="320" t="n">
        <f aca="false">IF(A111="YES",B95,0)</f>
        <v>78</v>
      </c>
      <c r="C134" s="324"/>
      <c r="D134" s="320" t="n">
        <f aca="false">B97</f>
        <v>702.601003361571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624.601003361571</v>
      </c>
      <c r="C137" s="316"/>
      <c r="D137" s="37" t="n">
        <f aca="false">IF(A111="YES",B95*B63,0)</f>
        <v>78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702.601003361571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624.601003361571</v>
      </c>
      <c r="B143" s="37" t="n">
        <f aca="false">IF(A111="YES",B95,0)</f>
        <v>78</v>
      </c>
      <c r="C143" s="316"/>
      <c r="D143" s="37" t="n">
        <f aca="false">B97</f>
        <v>702.601003361571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741.071666666667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702.601003361571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624.601003361571</v>
      </c>
      <c r="B177" s="354" t="n">
        <f aca="false">IF(A111="YES",B95,0)</f>
        <v>78</v>
      </c>
      <c r="C177" s="356"/>
      <c r="D177" s="354" t="n">
        <f aca="false">A177+B177</f>
        <v>702.601003361571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624.601003361571</v>
      </c>
      <c r="C180" s="352"/>
      <c r="D180" s="102" t="n">
        <f aca="false">IF(A111="YES",B95*B63,0)</f>
        <v>78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702.601003361571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624.601003361571</v>
      </c>
      <c r="B186" s="102" t="n">
        <f aca="false">IF(A111="YES",B95,0)</f>
        <v>78</v>
      </c>
      <c r="C186" s="352"/>
      <c r="D186" s="102" t="n">
        <f aca="false">B97</f>
        <v>702.601003361571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741.071666666667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55495.83</v>
      </c>
      <c r="C3" s="480" t="n">
        <v>0.0</v>
      </c>
      <c r="D3" s="480" t="n">
        <v>833.33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0.0</v>
      </c>
      <c r="C4" s="481" t="n">
        <v>0.0</v>
      </c>
      <c r="D4" s="481" t="n">
        <v>0.0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0.0</v>
      </c>
      <c r="C5" s="480" t="n">
        <v>0.0</v>
      </c>
      <c r="D5" s="480" t="n">
        <v>0.0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17895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17895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645.83</v>
      </c>
      <c r="F10" s="385"/>
      <c r="G10" s="385"/>
      <c r="H10" s="385"/>
      <c r="I10" s="15" t="s">
        <v>1</v>
      </c>
      <c r="J10" s="9" t="n">
        <f aca="false">E15-E11-J8</f>
        <v>18590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3718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585.0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65.0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22648</v>
      </c>
      <c r="F15" s="385"/>
      <c r="G15" s="16" t="n">
        <f aca="false">E15</f>
        <v>22648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0.0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22308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0.0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22648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45462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12.0</v>
      </c>
      <c r="B32" s="222" t="n">
        <v>5000.0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22648</v>
      </c>
      <c r="B35" s="222" t="s">
        <v>393</v>
      </c>
      <c r="C35" s="222"/>
      <c r="D35" s="278" t="n">
        <f aca="false">A35-B35</f>
        <v>21648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394</v>
      </c>
      <c r="B38" s="240" t="n">
        <f aca="false">A32-1</f>
        <v>11</v>
      </c>
      <c r="C38" s="240"/>
      <c r="D38" s="103" t="s">
        <v>395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3718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396</v>
      </c>
      <c r="B41" s="103" t="s">
        <v>397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398</v>
      </c>
      <c r="B44" s="103" t="s">
        <v>399</v>
      </c>
      <c r="C44" s="103"/>
      <c r="D44" s="103" t="s">
        <v>399</v>
      </c>
      <c r="E44" s="103"/>
      <c r="F44" s="385"/>
      <c r="G44" s="2" t="s">
        <v>65</v>
      </c>
      <c r="H44" s="2" t="n">
        <f aca="false">((H40-(((H42/(1.2))*0.2)))/(H43))</f>
        <v>226.5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323.5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326.166666666667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276.166666666667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326.166666666667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22308</v>
      </c>
      <c r="C67" s="316"/>
      <c r="D67" s="316"/>
      <c r="E67" s="317"/>
      <c r="F67" s="385"/>
      <c r="G67" s="315" t="s">
        <v>14</v>
      </c>
      <c r="H67" s="31" t="n">
        <f aca="false">G18</f>
        <v>22308</v>
      </c>
      <c r="I67" s="316"/>
      <c r="J67" s="316"/>
      <c r="K67" s="317"/>
      <c r="L67" s="385"/>
      <c r="M67" s="315" t="s">
        <v>14</v>
      </c>
      <c r="N67" s="31" t="n">
        <f aca="false">G18</f>
        <v>22308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293" t="n">
        <f aca="false">ROUND((B68+(B68*0.25*((H29/12)-1))),4)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1561.56</v>
      </c>
      <c r="C70" s="316" t="n">
        <v>10000</v>
      </c>
      <c r="D70" s="31" t="n">
        <f aca="false">B70-A149</f>
        <v>1561.56</v>
      </c>
      <c r="E70" s="317" t="n">
        <f aca="false">D70/12</f>
        <v>130.13</v>
      </c>
      <c r="F70" s="385"/>
      <c r="G70" s="365" t="s">
        <v>91</v>
      </c>
      <c r="H70" s="64" t="n">
        <f aca="false">H67*H69</f>
        <v>1561.56</v>
      </c>
      <c r="I70" s="316"/>
      <c r="J70" s="31" t="n">
        <f aca="false">H70-G151</f>
        <v>1561.56</v>
      </c>
      <c r="K70" s="317"/>
      <c r="L70" s="385"/>
      <c r="M70" s="365" t="s">
        <v>91</v>
      </c>
      <c r="N70" s="64" t="n">
        <f aca="false">N67*N69</f>
        <v>1561.56</v>
      </c>
      <c r="O70" s="316"/>
      <c r="P70" s="31" t="n">
        <f aca="false">N70-M151</f>
        <v>1561.56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223.08</v>
      </c>
      <c r="C73" s="316"/>
      <c r="D73" s="31"/>
      <c r="E73" s="317"/>
      <c r="F73" s="385"/>
      <c r="G73" s="365" t="s">
        <v>94</v>
      </c>
      <c r="H73" s="64" t="n">
        <f aca="false">H67*H72</f>
        <v>111.54</v>
      </c>
      <c r="I73" s="316"/>
      <c r="J73" s="31"/>
      <c r="K73" s="317"/>
      <c r="L73" s="385"/>
      <c r="M73" s="365" t="s">
        <v>94</v>
      </c>
      <c r="N73" s="64" t="n">
        <f aca="false">N67*N72</f>
        <v>111.54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200.0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5.0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165.0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355.0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200.0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200.0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2888.22666666667</v>
      </c>
      <c r="C87" s="316"/>
      <c r="D87" s="316"/>
      <c r="E87" s="317"/>
      <c r="F87" s="385"/>
      <c r="G87" s="409" t="s">
        <v>103</v>
      </c>
      <c r="H87" s="410" t="n">
        <f aca="false">SUM(J70:J86)</f>
        <v>4688.06</v>
      </c>
      <c r="I87" s="316"/>
      <c r="J87" s="316"/>
      <c r="K87" s="317"/>
      <c r="L87" s="385"/>
      <c r="M87" s="409" t="s">
        <v>103</v>
      </c>
      <c r="N87" s="410" t="n">
        <f aca="false">SUM(P70:P86)</f>
        <v>4675.56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240.685555555556</v>
      </c>
      <c r="C88" s="316"/>
      <c r="D88" s="316"/>
      <c r="E88" s="317"/>
      <c r="F88" s="385"/>
      <c r="G88" s="315" t="s">
        <v>104</v>
      </c>
      <c r="H88" s="32" t="n">
        <f aca="false">H87/H29</f>
        <v>390.671666666667</v>
      </c>
      <c r="I88" s="316"/>
      <c r="J88" s="316"/>
      <c r="K88" s="317"/>
      <c r="L88" s="385"/>
      <c r="M88" s="315" t="s">
        <v>104</v>
      </c>
      <c r="N88" s="32" t="n">
        <f aca="false">N87/H29</f>
        <v>389.63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276.166666666667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6202.22666666667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5625.672</v>
      </c>
      <c r="I91" s="316"/>
      <c r="J91" s="316"/>
      <c r="K91" s="317"/>
      <c r="L91" s="385"/>
      <c r="M91" s="393" t="s">
        <v>115</v>
      </c>
      <c r="N91" s="26" t="n">
        <f aca="false">((N89*H29)+N87)</f>
        <v>4675.56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52.5400403388463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39.7132956837435</v>
      </c>
      <c r="I92" s="316"/>
      <c r="J92" s="316"/>
      <c r="K92" s="317"/>
      <c r="L92" s="385"/>
      <c r="M92" s="315" t="s">
        <v>116</v>
      </c>
      <c r="N92" s="32" t="n">
        <f aca="false">(N91/(1-N76))*N76</f>
        <v>39.6074062121823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6254.76670700551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7665.38529568374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6715.16740621218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521.230558917126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586.230558917126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1000.0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400.0</v>
      </c>
      <c r="C108" s="106"/>
      <c r="D108" s="106" t="n">
        <v>200.0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386</v>
      </c>
      <c r="B111" s="311" t="n">
        <v>20.0</v>
      </c>
      <c r="C111" s="311"/>
      <c r="D111" s="106" t="s">
        <v>400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388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0.0</v>
      </c>
      <c r="E118" s="106" t="n">
        <v>0.0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0</v>
      </c>
      <c r="E119" s="106" t="n">
        <v>0.0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0</v>
      </c>
      <c r="E120" s="166" t="n">
        <f aca="false">E118-E119</f>
        <v>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1239.988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0.0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521.230558917126</v>
      </c>
      <c r="B134" s="320" t="n">
        <f aca="false">IF(A111="YES",B95,0)</f>
        <v>65</v>
      </c>
      <c r="C134" s="325"/>
      <c r="D134" s="320" t="n">
        <f aca="false">B97</f>
        <v>586.230558917126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521.230558917126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586.230558917126</v>
      </c>
      <c r="B140" s="37" t="n">
        <f aca="false">E120</f>
        <v>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0.135888</v>
      </c>
      <c r="H142" s="37" t="n">
        <f aca="false">IF(G111="YES",E15*0.000002,0)</f>
        <v>0.045296</v>
      </c>
      <c r="I142" s="37"/>
      <c r="J142" s="37" t="n">
        <f aca="false">G142+H142</f>
        <v>0.181184</v>
      </c>
      <c r="K142" s="104"/>
      <c r="L142" s="385"/>
      <c r="M142" s="110" t="n">
        <f aca="false">E15*0.000006</f>
        <v>0.135888</v>
      </c>
      <c r="N142" s="37" t="n">
        <f aca="false">IF(M111="YES",E15*0.000002,0)</f>
        <v>0.045296</v>
      </c>
      <c r="O142" s="37"/>
      <c r="P142" s="37" t="n">
        <f aca="false">M142+N142</f>
        <v>0.181184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521.230558917126</v>
      </c>
      <c r="B143" s="37" t="n">
        <f aca="false">IF(A111="YES",B95,0)</f>
        <v>65</v>
      </c>
      <c r="C143" s="316"/>
      <c r="D143" s="37" t="n">
        <f aca="false">B97</f>
        <v>586.230558917126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92.95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92.95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2752.938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2712.94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3718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741.07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586.230558917126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521.230558917126</v>
      </c>
      <c r="B177" s="354" t="n">
        <f aca="false">IF(A111="YES",B95,0)</f>
        <v>65</v>
      </c>
      <c r="C177" s="357"/>
      <c r="D177" s="354" t="n">
        <f aca="false">B91</f>
        <v>6202.22666666667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521.230558917126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586.230558917126</v>
      </c>
      <c r="B183" s="102" t="n">
        <f aca="false">E120</f>
        <v>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521.230558917126</v>
      </c>
      <c r="B186" s="102" t="n">
        <f aca="false">IF(A111="YES",B95,0)</f>
        <v>65</v>
      </c>
      <c r="C186" s="352"/>
      <c r="D186" s="102" t="n">
        <f aca="false">B97</f>
        <v>586.230558917126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741.07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1561.56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1858.47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1858.47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52.5400403388463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/>
      <c r="D3" s="437" t="n">
        <v>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55495.83</v>
      </c>
      <c r="C7" s="154"/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56329.16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645.83</v>
      </c>
      <c r="I10" s="2"/>
      <c r="J10" s="2"/>
      <c r="L10" s="15" t="s">
        <v>1</v>
      </c>
      <c r="M10" s="9" t="n">
        <f aca="false">H15-H11-M8</f>
        <v>56974.99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11394.998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585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69019.988</v>
      </c>
      <c r="I15" s="2"/>
      <c r="J15" s="16" t="n">
        <f aca="false">H15</f>
        <v>69019.988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68369.988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69019.988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69019.988</v>
      </c>
      <c r="B37" s="31"/>
      <c r="C37" s="40" t="s">
        <v>45</v>
      </c>
      <c r="D37" s="40"/>
      <c r="E37" s="31"/>
      <c r="F37" s="42" t="n">
        <f aca="false">A37-C37</f>
        <v>68019.988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11394.998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314.999939393939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235.000060606061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235.969757575758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185.969757575758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235.969757575758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68369.988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68369.988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68369.988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68369.988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74186.3527879342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50372.0035826722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62879.0636505523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62879.0636505523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647.0623875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4914.0928875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640.9686375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500.261615625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235.969757575758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235.969757575758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235.969757575758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68019.988</v>
      </c>
      <c r="C90" s="31"/>
      <c r="D90" s="31"/>
      <c r="E90" s="22"/>
      <c r="F90" s="24" t="s">
        <v>106</v>
      </c>
      <c r="G90" s="26" t="n">
        <f aca="false">F37</f>
        <v>68019.988</v>
      </c>
      <c r="H90" s="32"/>
      <c r="J90" s="24" t="s">
        <v>106</v>
      </c>
      <c r="K90" s="26" t="n">
        <f aca="false">P167</f>
        <v>37769.996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53361.239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53361.239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4379.8532592462</v>
      </c>
      <c r="C95" s="31"/>
      <c r="D95" s="31"/>
      <c r="E95" s="22"/>
      <c r="F95" s="30" t="s">
        <v>111</v>
      </c>
      <c r="G95" s="32" t="n">
        <f aca="false">(G91/((1+G93)^(G94+1)))</f>
        <v>5020.31079273804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63640.1347407538</v>
      </c>
      <c r="C97" s="31"/>
      <c r="D97" s="31"/>
      <c r="E97" s="22"/>
      <c r="F97" s="30" t="s">
        <v>113</v>
      </c>
      <c r="G97" s="32" t="n">
        <f aca="false">G90-G95</f>
        <v>62999.677207262</v>
      </c>
      <c r="H97" s="32"/>
      <c r="J97" s="30" t="s">
        <v>113</v>
      </c>
      <c r="K97" s="32" t="n">
        <f aca="false">K90-K95</f>
        <v>37769.996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53352.6797086168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53352.6797086168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2318.69852462294</v>
      </c>
      <c r="C98" s="31"/>
      <c r="D98" s="31"/>
      <c r="E98" s="22"/>
      <c r="F98" s="30" t="s">
        <v>114</v>
      </c>
      <c r="G98" s="32" t="n">
        <f aca="false">(G97/G96)</f>
        <v>2149.60463491719</v>
      </c>
      <c r="H98" s="32"/>
      <c r="J98" s="30" t="s">
        <v>114</v>
      </c>
      <c r="K98" s="32" t="n">
        <f aca="false">(K97/K96)</f>
        <v>1574.50011195851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1965.34573907976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1965.34573907976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74198.3527879342</v>
      </c>
      <c r="C99" s="31"/>
      <c r="D99" s="31"/>
      <c r="E99" s="22"/>
      <c r="F99" s="30" t="s">
        <v>115</v>
      </c>
      <c r="G99" s="32" t="n">
        <f aca="false">((G98*(G94))+G86)</f>
        <v>68787.3483173502</v>
      </c>
      <c r="H99" s="32"/>
      <c r="J99" s="30" t="s">
        <v>115</v>
      </c>
      <c r="K99" s="32" t="n">
        <f aca="false">((K98*(K94))+K86)</f>
        <v>51958.5036946307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62891.0636505523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62891.0636505523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74198.3527879342</v>
      </c>
      <c r="C101" s="31"/>
      <c r="D101" s="31"/>
      <c r="E101" s="22"/>
      <c r="F101" s="55" t="s">
        <v>117</v>
      </c>
      <c r="G101" s="64" t="n">
        <f aca="false">(G99+G100)</f>
        <v>68787.3483173502</v>
      </c>
      <c r="H101" s="32"/>
      <c r="J101" s="55" t="s">
        <v>117</v>
      </c>
      <c r="K101" s="64" t="n">
        <f aca="false">(K99+K100)</f>
        <v>51958.5036946307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62891.0636505523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62891.0636505523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67.03125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2318.69852462294</v>
      </c>
      <c r="C104" s="31"/>
      <c r="D104" s="31"/>
      <c r="E104" s="22"/>
      <c r="F104" s="94" t="s">
        <v>119</v>
      </c>
      <c r="G104" s="95" t="n">
        <f aca="false">G101/(G94)</f>
        <v>2149.60463491719</v>
      </c>
      <c r="H104" s="32"/>
      <c r="J104" s="94" t="s">
        <v>119</v>
      </c>
      <c r="K104" s="95" t="n">
        <f aca="false">K101/(K94)</f>
        <v>1574.50011195851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1965.34573907976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1965.34573907976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2385.72977462294</v>
      </c>
      <c r="C105" s="31"/>
      <c r="D105" s="31"/>
      <c r="E105" s="22" t="s">
        <v>18</v>
      </c>
      <c r="F105" s="96" t="s">
        <v>120</v>
      </c>
      <c r="G105" s="97" t="n">
        <f aca="false">G103+G104</f>
        <v>2149.60463491719</v>
      </c>
      <c r="H105" s="32"/>
      <c r="J105" s="96" t="s">
        <v>120</v>
      </c>
      <c r="K105" s="97" t="n">
        <f aca="false">(K103+K104)</f>
        <v>1574.50011195851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1965.34573907976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1965.34573907976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55495.83</v>
      </c>
      <c r="C130" s="39" t="n">
        <f aca="false">B130</f>
        <v>55495.83</v>
      </c>
      <c r="D130" s="24" t="n">
        <f aca="false">D3</f>
        <v>0</v>
      </c>
      <c r="E130" s="39" t="n">
        <f aca="false">D130</f>
        <v>0</v>
      </c>
      <c r="F130" s="24" t="n">
        <f aca="false">F3</f>
        <v>833.33</v>
      </c>
      <c r="G130" s="39" t="n">
        <f aca="false">F130</f>
        <v>833.33</v>
      </c>
      <c r="H130" s="121" t="n">
        <f aca="false">H3</f>
        <v>0</v>
      </c>
      <c r="J130" s="24" t="s">
        <v>150</v>
      </c>
      <c r="K130" s="24" t="n">
        <f aca="false">B3</f>
        <v>55495.83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833.33</v>
      </c>
      <c r="P130" s="39" t="n">
        <f aca="false">O130</f>
        <v>833.33</v>
      </c>
      <c r="Q130" s="121" t="n">
        <f aca="false">H3</f>
        <v>0</v>
      </c>
      <c r="S130" s="24" t="s">
        <v>150</v>
      </c>
      <c r="T130" s="24" t="n">
        <f aca="false">B3</f>
        <v>55495.83</v>
      </c>
      <c r="U130" s="39" t="n">
        <f aca="false">T130</f>
        <v>55495.83</v>
      </c>
      <c r="V130" s="24" t="n">
        <f aca="false">D3</f>
        <v>0</v>
      </c>
      <c r="W130" s="39" t="n">
        <f aca="false">V130</f>
        <v>0</v>
      </c>
      <c r="X130" s="24" t="n">
        <f aca="false">F3</f>
        <v>833.33</v>
      </c>
      <c r="Y130" s="39" t="n">
        <f aca="false">X130</f>
        <v>833.33</v>
      </c>
      <c r="Z130" s="121" t="n">
        <f aca="false">H3</f>
        <v>0</v>
      </c>
      <c r="AB130" s="24" t="s">
        <v>150</v>
      </c>
      <c r="AC130" s="24" t="n">
        <f aca="false">B3</f>
        <v>55495.83</v>
      </c>
      <c r="AD130" s="39" t="n">
        <f aca="false">AC130</f>
        <v>55495.83</v>
      </c>
      <c r="AE130" s="24" t="n">
        <f aca="false">D3</f>
        <v>0</v>
      </c>
      <c r="AF130" s="39" t="n">
        <f aca="false">AE130</f>
        <v>0</v>
      </c>
      <c r="AG130" s="24" t="n">
        <f aca="false">F3</f>
        <v>833.33</v>
      </c>
      <c r="AH130" s="39" t="n">
        <f aca="false">AG130</f>
        <v>833.33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13873.9575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13873.9575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55495.83</v>
      </c>
      <c r="C134" s="64" t="n">
        <f aca="false">C130-C133</f>
        <v>55495.83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833.33</v>
      </c>
      <c r="G134" s="64" t="n">
        <f aca="false">G130-G133</f>
        <v>833.33</v>
      </c>
      <c r="H134" s="64"/>
      <c r="J134" s="55" t="s">
        <v>154</v>
      </c>
      <c r="K134" s="55" t="n">
        <f aca="false">K130-K133</f>
        <v>55495.83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833.33</v>
      </c>
      <c r="P134" s="64" t="n">
        <f aca="false">P130-P133</f>
        <v>833.33</v>
      </c>
      <c r="Q134" s="64"/>
      <c r="S134" s="55" t="s">
        <v>154</v>
      </c>
      <c r="T134" s="55" t="n">
        <f aca="false">T130-T133</f>
        <v>55495.83</v>
      </c>
      <c r="U134" s="64" t="n">
        <f aca="false">U130-U133</f>
        <v>41621.8725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833.33</v>
      </c>
      <c r="Y134" s="64" t="n">
        <f aca="false">Y130-Y133</f>
        <v>833.33</v>
      </c>
      <c r="Z134" s="64"/>
      <c r="AB134" s="55" t="s">
        <v>154</v>
      </c>
      <c r="AC134" s="55" t="n">
        <f aca="false">AC130-AC133</f>
        <v>55495.83</v>
      </c>
      <c r="AD134" s="64" t="n">
        <f aca="false">AD130-AD133</f>
        <v>41621.8725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833.33</v>
      </c>
      <c r="AH134" s="64" t="n">
        <f aca="false">AH130-AH133</f>
        <v>833.33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56329.16</v>
      </c>
      <c r="H144" s="152" t="n">
        <f aca="false">C134+E134+G134+H137</f>
        <v>56329.16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56329.16</v>
      </c>
      <c r="Q144" s="152" t="n">
        <f aca="false">L134+N134+P134+Q137</f>
        <v>29462.5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56329.16</v>
      </c>
      <c r="Z144" s="152" t="n">
        <f aca="false">U134+W134+Y134+Z137</f>
        <v>42455.2025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56329.16</v>
      </c>
      <c r="AI144" s="152" t="n">
        <f aca="false">AD134+AF134+AH134+AI137</f>
        <v>42455.2025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645.83</v>
      </c>
      <c r="H145" s="32" t="n">
        <f aca="false">G145</f>
        <v>645.83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645.83</v>
      </c>
      <c r="Q145" s="32" t="n">
        <f aca="false">P145</f>
        <v>645.83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645.83</v>
      </c>
      <c r="Z145" s="32" t="n">
        <f aca="false">Y145</f>
        <v>645.83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645.83</v>
      </c>
      <c r="AI145" s="32" t="n">
        <f aca="false">AH145</f>
        <v>645.83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11394.998</v>
      </c>
      <c r="H146" s="32" t="n">
        <f aca="false">(H144+H145)*20%</f>
        <v>11394.998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11394.998</v>
      </c>
      <c r="Q146" s="32" t="n">
        <f aca="false">(Q144+Q145)*20%</f>
        <v>6021.666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11394.998</v>
      </c>
      <c r="Z146" s="32" t="n">
        <f aca="false">(Z144+Z145)*20%</f>
        <v>8620.2065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11394.998</v>
      </c>
      <c r="AI146" s="32" t="n">
        <f aca="false">(AI144+AI145)*20%</f>
        <v>8620.2065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585</v>
      </c>
      <c r="H148" s="32" t="n">
        <f aca="false">G148</f>
        <v>585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585</v>
      </c>
      <c r="Q148" s="32" t="n">
        <f aca="false">P148</f>
        <v>585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585</v>
      </c>
      <c r="Z148" s="32" t="n">
        <f aca="false">Y148</f>
        <v>585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585</v>
      </c>
      <c r="AI148" s="32" t="n">
        <f aca="false">AH148</f>
        <v>585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69019.988</v>
      </c>
      <c r="H150" s="156" t="n">
        <f aca="false">(H144+H145+H148+H149+H146)-H147</f>
        <v>69019.988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69019.988</v>
      </c>
      <c r="Q150" s="156" t="n">
        <f aca="false">(Q144+Q145+Q148+Q149+Q146)-Q147</f>
        <v>36769.996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69019.988</v>
      </c>
      <c r="Z150" s="156" t="n">
        <f aca="false">(Z144+Z145+Z148+Z149+Z146)-Z147</f>
        <v>52361.239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69019.988</v>
      </c>
      <c r="AI150" s="156" t="n">
        <f aca="false">(AI144+AI145+AI148+AI149+AI146)-AI147</f>
        <v>52361.239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69019.988</v>
      </c>
      <c r="H156" s="163" t="n">
        <f aca="false">H150-((H153*1.2)+(H154*1.2)+(H155*1.2)+(H151*1.2))</f>
        <v>69019.988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69019.988</v>
      </c>
      <c r="Q156" s="163" t="n">
        <f aca="false">Q150-((Q153*1.2)+(Q154*1.2)+(Q155*1.2)+(Q151*1.2))</f>
        <v>36769.996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69019.988</v>
      </c>
      <c r="Z156" s="163" t="n">
        <f aca="false">Z150-((Z153*1.2)+(Z154*1.2)+(Z155*1.2)+(Z151*1.2))</f>
        <v>52361.239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69019.988</v>
      </c>
      <c r="AI156" s="163" t="n">
        <f aca="false">AI150-((AI153*1.2)+(AI154*1.2)+(AI155*1.2)+(AI151*1.2))</f>
        <v>52361.239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-56683.3233333333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-32249.992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-16658.749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-16658.749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69019.988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37769.996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53361.239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53361.239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2318.69852462294</v>
      </c>
      <c r="B176" s="176" t="n">
        <f aca="false">B103</f>
        <v>67.03125</v>
      </c>
      <c r="C176" s="173"/>
      <c r="D176" s="173"/>
      <c r="E176" s="176" t="n">
        <f aca="false">B105</f>
        <v>2385.72977462294</v>
      </c>
      <c r="F176" s="22"/>
      <c r="G176" s="22" t="n">
        <f aca="false">ROUND(G104,2)</f>
        <v>2149.6</v>
      </c>
      <c r="H176" s="32"/>
      <c r="J176" s="175" t="n">
        <f aca="false">K104</f>
        <v>1574.50011195851</v>
      </c>
      <c r="K176" s="177" t="n">
        <f aca="false">K103</f>
        <v>0</v>
      </c>
      <c r="L176" s="174"/>
      <c r="M176" s="174"/>
      <c r="N176" s="177" t="n">
        <f aca="false">K105</f>
        <v>1574.50011195851</v>
      </c>
      <c r="O176" s="22"/>
      <c r="P176" s="22"/>
      <c r="Q176" s="32"/>
      <c r="S176" s="175" t="n">
        <f aca="false">T104</f>
        <v>1965.34573907976</v>
      </c>
      <c r="T176" s="177" t="n">
        <f aca="false">T103</f>
        <v>0</v>
      </c>
      <c r="U176" s="174"/>
      <c r="V176" s="174"/>
      <c r="W176" s="177" t="n">
        <f aca="false">T105</f>
        <v>1965.34573907976</v>
      </c>
      <c r="X176" s="22"/>
      <c r="Y176" s="22"/>
      <c r="Z176" s="32"/>
      <c r="AB176" s="175" t="n">
        <f aca="false">AC104</f>
        <v>1965.34573907976</v>
      </c>
      <c r="AC176" s="177" t="n">
        <f aca="false">AC103</f>
        <v>0</v>
      </c>
      <c r="AD176" s="174"/>
      <c r="AE176" s="174"/>
      <c r="AF176" s="177" t="n">
        <f aca="false">AC105</f>
        <v>1965.34573907976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56974.99</v>
      </c>
      <c r="B182" s="102" t="n">
        <f aca="false">H146</f>
        <v>11394.998</v>
      </c>
      <c r="C182" s="185"/>
      <c r="D182" s="22"/>
      <c r="E182" s="181" t="n">
        <f aca="false">H148+H149</f>
        <v>650</v>
      </c>
      <c r="F182" s="22"/>
      <c r="G182" s="22"/>
      <c r="H182" s="32"/>
      <c r="J182" s="184" t="n">
        <f aca="false">Q150-Q146-Q148-Q149</f>
        <v>30108.33</v>
      </c>
      <c r="K182" s="37" t="n">
        <f aca="false">Q146</f>
        <v>6021.666</v>
      </c>
      <c r="L182" s="42"/>
      <c r="M182" s="22"/>
      <c r="N182" s="183" t="n">
        <f aca="false">Q148+Q149</f>
        <v>640</v>
      </c>
      <c r="O182" s="22"/>
      <c r="P182" s="22"/>
      <c r="Q182" s="32"/>
      <c r="S182" s="184" t="n">
        <f aca="false">Z150-Z146-Z148-Z149</f>
        <v>43101.0325</v>
      </c>
      <c r="T182" s="37" t="n">
        <f aca="false">Z146</f>
        <v>8620.2065</v>
      </c>
      <c r="U182" s="42"/>
      <c r="V182" s="22"/>
      <c r="W182" s="183" t="n">
        <f aca="false">Z148+Z149</f>
        <v>640</v>
      </c>
      <c r="X182" s="22"/>
      <c r="Y182" s="22"/>
      <c r="Z182" s="32"/>
      <c r="AB182" s="184" t="n">
        <f aca="false">AI150-AI146-AI148-AI149</f>
        <v>43101.0325</v>
      </c>
      <c r="AC182" s="37" t="n">
        <f aca="false">AI146</f>
        <v>8620.2065</v>
      </c>
      <c r="AD182" s="42"/>
      <c r="AE182" s="22"/>
      <c r="AF182" s="183" t="n">
        <f aca="false">AI148+AI149</f>
        <v>640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69019.988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36769.996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52361.239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52361.239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69019.988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37769.996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53361.239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53361.239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11178.3647879342</v>
      </c>
      <c r="B191" s="102" t="str">
        <f aca="false">B123</f>
        <v>199.99</v>
      </c>
      <c r="C191" s="102"/>
      <c r="D191" s="22"/>
      <c r="E191" s="102" t="n">
        <f aca="false">E188+A191+(B191*1.2)+A194</f>
        <v>80448.3407879342</v>
      </c>
      <c r="F191" s="22"/>
      <c r="G191" s="22"/>
      <c r="H191" s="104"/>
      <c r="J191" s="110" t="n">
        <f aca="false">(J176*K68)+N194-N188-J194</f>
        <v>12626.0075826722</v>
      </c>
      <c r="K191" s="37" t="n">
        <f aca="false">K123</f>
        <v>239.99</v>
      </c>
      <c r="L191" s="37"/>
      <c r="M191" s="22"/>
      <c r="N191" s="37" t="n">
        <f aca="false">N188+J191+K191+J194</f>
        <v>50655.9935826722</v>
      </c>
      <c r="O191" s="22"/>
      <c r="P191" s="22"/>
      <c r="Q191" s="104"/>
      <c r="S191" s="110" t="n">
        <f aca="false">(S176*T68)+W194-W188-S194</f>
        <v>9541.82465055225</v>
      </c>
      <c r="T191" s="37" t="n">
        <f aca="false">T123</f>
        <v>199.99</v>
      </c>
      <c r="U191" s="37"/>
      <c r="V191" s="22"/>
      <c r="W191" s="37" t="n">
        <f aca="false">W188+S191+T191+S194</f>
        <v>63113.0536505523</v>
      </c>
      <c r="X191" s="22"/>
      <c r="Y191" s="22"/>
      <c r="Z191" s="104"/>
      <c r="AB191" s="110" t="n">
        <f aca="false">(AB176*AC68)+AF194-AF188-AB194</f>
        <v>9541.82465055225</v>
      </c>
      <c r="AC191" s="37" t="n">
        <f aca="false">AC123</f>
        <v>239.99</v>
      </c>
      <c r="AD191" s="37"/>
      <c r="AE191" s="22"/>
      <c r="AF191" s="37" t="n">
        <f aca="false">AF188+AB191+AC191+AB194</f>
        <v>63153.0536505523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13.6739976</v>
      </c>
      <c r="B197" s="102" t="n">
        <f aca="false">(G167*B76)/1.2</f>
        <v>539.21865625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0.138039976</v>
      </c>
      <c r="K197" s="37" t="n">
        <f aca="false">(P167*K76)/1.2</f>
        <v>2262.26538541667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416.8846796875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416.8846796875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688.70865625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3402.25538541667</v>
      </c>
      <c r="L200" s="31"/>
      <c r="M200" s="31"/>
      <c r="N200" s="37" t="n">
        <f aca="false">Q157</f>
        <v>-32249.992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1516.8746796875</v>
      </c>
      <c r="U200" s="31"/>
      <c r="V200" s="31"/>
      <c r="W200" s="37" t="n">
        <f aca="false">Z157</f>
        <v>-16658.749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1556.8746796875</v>
      </c>
      <c r="AD200" s="31"/>
      <c r="AE200" s="31"/>
      <c r="AF200" s="37" t="n">
        <f aca="false">AI157</f>
        <v>-16658.749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2385.72977462294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1574.50011195851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1965.34573907976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1965.34573907976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5767.21199999999</v>
      </c>
      <c r="B210" s="185" t="n">
        <f aca="false">ROUND((E188+A210+(B191*1.2)+A194),2)</f>
        <v>75037.19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2318.69852462294</v>
      </c>
      <c r="B221" s="176" t="n">
        <f aca="false">B176</f>
        <v>67.03125</v>
      </c>
      <c r="C221" s="173"/>
      <c r="D221" s="173"/>
      <c r="E221" s="176" t="n">
        <f aca="false">E176</f>
        <v>2385.72977462294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56974.99</v>
      </c>
      <c r="B224" s="102" t="n">
        <f aca="false">B182</f>
        <v>11394.998</v>
      </c>
      <c r="C224" s="185"/>
      <c r="D224" s="112"/>
      <c r="E224" s="181" t="n">
        <f aca="false">E182</f>
        <v>650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69019.988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69019.988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11178.3647879342</v>
      </c>
      <c r="B233" s="102" t="str">
        <f aca="false">B191</f>
        <v>199.99</v>
      </c>
      <c r="C233" s="102"/>
      <c r="D233" s="112"/>
      <c r="E233" s="102" t="n">
        <f aca="false">E191</f>
        <v>80448.3407879342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2318.69852462294</v>
      </c>
      <c r="B239" s="102" t="n">
        <f aca="false">B176</f>
        <v>67.03125</v>
      </c>
      <c r="C239" s="185"/>
      <c r="D239" s="185"/>
      <c r="E239" s="102" t="n">
        <f aca="false">E176</f>
        <v>2385.72977462294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41.0219928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13.6739976</v>
      </c>
      <c r="B245" s="102" t="n">
        <f aca="false">E242+A245</f>
        <v>54.6959904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539.21865625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688.70865625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5421.1507879342</v>
      </c>
      <c r="C263" s="196"/>
      <c r="D263" s="197" t="s">
        <v>217</v>
      </c>
      <c r="E263" s="197"/>
      <c r="F263" s="199" t="n">
        <f aca="false">F270+F276+F278+B279+B280</f>
        <v>647.0623875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</v>
      </c>
      <c r="C264" s="196"/>
      <c r="D264" s="197" t="s">
        <v>219</v>
      </c>
      <c r="E264" s="197"/>
      <c r="F264" s="199" t="n">
        <f aca="false">(B263-F263)+B264</f>
        <v>5369.0784004342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5421.1507879342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647.0623875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5369.0784004342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22648</v>
      </c>
      <c r="B37" s="31"/>
      <c r="C37" s="40" t="s">
        <v>45</v>
      </c>
      <c r="D37" s="40"/>
      <c r="E37" s="31"/>
      <c r="F37" s="42" t="n">
        <f aca="false">A37-C37</f>
        <v>21648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3718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82.3636363636364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467.636363636364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468.606060606061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418.606060606061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383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468.606060606061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22308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22308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22308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22308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0.072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20015.1075898584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21513.62890368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21513.62890368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212.325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1603.3875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209.1375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171.2765625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468.606060606061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468.606060606061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468.606060606061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21648</v>
      </c>
      <c r="C90" s="31"/>
      <c r="D90" s="31"/>
      <c r="E90" s="22"/>
      <c r="F90" s="24" t="s">
        <v>106</v>
      </c>
      <c r="G90" s="26" t="n">
        <f aca="false">F37</f>
        <v>21648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18269.5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18269.5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0.137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0.0114166666666667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4950.38529500718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26.6800219733353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16697.6147049928</v>
      </c>
      <c r="C97" s="31"/>
      <c r="D97" s="31"/>
      <c r="E97" s="22"/>
      <c r="F97" s="30" t="s">
        <v>113</v>
      </c>
      <c r="G97" s="32" t="n">
        <f aca="false">G90-G95</f>
        <v>15623.6270487143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18260.9407086168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18260.9407086168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625.847112183074</v>
      </c>
      <c r="C98" s="31"/>
      <c r="D98" s="31"/>
      <c r="E98" s="22"/>
      <c r="F98" s="30" t="s">
        <v>114</v>
      </c>
      <c r="G98" s="32" t="n">
        <f aca="false">(G97/G96)</f>
        <v>533.091955497554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672.675903239999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672.675903239999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20027.1075898584</v>
      </c>
      <c r="C99" s="31"/>
      <c r="D99" s="31"/>
      <c r="E99" s="22"/>
      <c r="F99" s="30" t="s">
        <v>115</v>
      </c>
      <c r="G99" s="32" t="n">
        <f aca="false">((G98*(G94))+G86)</f>
        <v>17058.9425759217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21525.62890368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21525.62890368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20027.1075898584</v>
      </c>
      <c r="C101" s="31"/>
      <c r="D101" s="31"/>
      <c r="E101" s="22"/>
      <c r="F101" s="55" t="s">
        <v>117</v>
      </c>
      <c r="G101" s="64" t="n">
        <f aca="false">(G99+G100)</f>
        <v>17058.9425759217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21525.62890368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21525.62890368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74.25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625.847112183074</v>
      </c>
      <c r="C104" s="31"/>
      <c r="D104" s="31"/>
      <c r="E104" s="22"/>
      <c r="F104" s="94" t="s">
        <v>119</v>
      </c>
      <c r="G104" s="95" t="n">
        <f aca="false">G101/(G94)</f>
        <v>533.091955497554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672.675903239999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672.675903239999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700.097112183074</v>
      </c>
      <c r="C105" s="31"/>
      <c r="D105" s="31"/>
      <c r="E105" s="22" t="s">
        <v>19</v>
      </c>
      <c r="F105" s="96" t="s">
        <v>120</v>
      </c>
      <c r="G105" s="97" t="n">
        <f aca="false">G103+G104</f>
        <v>533.091955497554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672.675903239999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672.675903239999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0.137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17895</v>
      </c>
      <c r="C130" s="39" t="n">
        <f aca="false">B130</f>
        <v>17895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17895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17895</v>
      </c>
      <c r="U130" s="39" t="n">
        <f aca="false">T130</f>
        <v>17895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17895</v>
      </c>
      <c r="AD130" s="39" t="n">
        <f aca="false">AC130</f>
        <v>17895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4473.75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4473.75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17895</v>
      </c>
      <c r="C134" s="64" t="n">
        <f aca="false">C130-C133</f>
        <v>17895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17895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17895</v>
      </c>
      <c r="U134" s="64" t="n">
        <f aca="false">U130-U133</f>
        <v>13421.25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17895</v>
      </c>
      <c r="AD134" s="64" t="n">
        <f aca="false">AD130-AD133</f>
        <v>13421.25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17895</v>
      </c>
      <c r="H144" s="152" t="n">
        <f aca="false">C134+E134+G134+H137</f>
        <v>17895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17895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17895</v>
      </c>
      <c r="Z144" s="152" t="n">
        <f aca="false">U134+W134+Y134+Z137</f>
        <v>13421.25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17895</v>
      </c>
      <c r="AI144" s="152" t="n">
        <f aca="false">AD134+AF134+AH134+AI137</f>
        <v>13421.25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3718</v>
      </c>
      <c r="H146" s="32" t="n">
        <f aca="false">(H144+H145)*20%</f>
        <v>3718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3718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3718</v>
      </c>
      <c r="Z146" s="32" t="n">
        <f aca="false">(Z144+Z145)*20%</f>
        <v>2823.25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3718</v>
      </c>
      <c r="AI146" s="32" t="n">
        <f aca="false">(AI144+AI145)*20%</f>
        <v>2823.25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22648</v>
      </c>
      <c r="H150" s="156" t="n">
        <f aca="false">(H144+H145+H148+H149+H146)-H147</f>
        <v>22648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22648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22648</v>
      </c>
      <c r="Z150" s="156" t="n">
        <f aca="false">(Z144+Z145+Z148+Z149+Z146)-Z147</f>
        <v>17269.5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22648</v>
      </c>
      <c r="AI150" s="156" t="n">
        <f aca="false">(AI144+AI145+AI148+AI149+AI146)-AI147</f>
        <v>17269.5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22648</v>
      </c>
      <c r="H156" s="163" t="n">
        <f aca="false">H150-((H153*1.2)+(H154*1.2)+(H155*1.2)+(H151*1.2))</f>
        <v>22648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22648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22648</v>
      </c>
      <c r="Z156" s="163" t="n">
        <f aca="false">Z150-((Z153*1.2)+(Z154*1.2)+(Z155*1.2)+(Z151*1.2))</f>
        <v>17269.5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22648</v>
      </c>
      <c r="AI156" s="163" t="n">
        <f aca="false">AI150-((AI153*1.2)+(AI154*1.2)+(AI155*1.2)+(AI151*1.2))</f>
        <v>17269.5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-18040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12871.004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-5378.5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-5378.5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22648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18269.5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18269.5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625.847112183074</v>
      </c>
      <c r="B176" s="176" t="n">
        <f aca="false">B103</f>
        <v>74.25</v>
      </c>
      <c r="C176" s="173"/>
      <c r="D176" s="173"/>
      <c r="E176" s="176" t="n">
        <f aca="false">B105</f>
        <v>700.097112183074</v>
      </c>
      <c r="F176" s="22"/>
      <c r="G176" s="22" t="n">
        <f aca="false">ROUND(G104,2)</f>
        <v>533.09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672.675903239999</v>
      </c>
      <c r="T176" s="177" t="n">
        <f aca="false">T103</f>
        <v>0</v>
      </c>
      <c r="U176" s="174"/>
      <c r="V176" s="174"/>
      <c r="W176" s="177" t="n">
        <f aca="false">T105</f>
        <v>672.675903239999</v>
      </c>
      <c r="X176" s="22"/>
      <c r="Y176" s="22"/>
      <c r="Z176" s="32"/>
      <c r="AB176" s="175" t="n">
        <f aca="false">AC104</f>
        <v>672.675903239999</v>
      </c>
      <c r="AC176" s="177" t="n">
        <f aca="false">AC103</f>
        <v>0</v>
      </c>
      <c r="AD176" s="174"/>
      <c r="AE176" s="174"/>
      <c r="AF176" s="177" t="n">
        <f aca="false">AC105</f>
        <v>672.675903239999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18590</v>
      </c>
      <c r="B182" s="102" t="n">
        <f aca="false">H146</f>
        <v>3718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14116.25</v>
      </c>
      <c r="T182" s="37" t="n">
        <f aca="false">Z146</f>
        <v>2823.25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14116.25</v>
      </c>
      <c r="AC182" s="37" t="n">
        <f aca="false">AI146</f>
        <v>2823.25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22648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17269.5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17269.5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22648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18269.5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18269.5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4579.10758985836</v>
      </c>
      <c r="B191" s="102" t="str">
        <f aca="false">B123</f>
        <v>239.99</v>
      </c>
      <c r="C191" s="102"/>
      <c r="D191" s="22"/>
      <c r="E191" s="102" t="n">
        <f aca="false">E188+A191+B191+A194</f>
        <v>27477.0975898584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3268.12890367996</v>
      </c>
      <c r="T191" s="37" t="n">
        <f aca="false">T123</f>
        <v>199.99</v>
      </c>
      <c r="U191" s="37"/>
      <c r="V191" s="22"/>
      <c r="W191" s="37" t="n">
        <f aca="false">W188+S191+T191+S194</f>
        <v>21747.61890368</v>
      </c>
      <c r="X191" s="22"/>
      <c r="Y191" s="22"/>
      <c r="Z191" s="104"/>
      <c r="AB191" s="110" t="n">
        <f aca="false">(AB176*AC68)+AF194-AF188-AB194</f>
        <v>3268.12890367996</v>
      </c>
      <c r="AC191" s="37" t="n">
        <f aca="false">AC123</f>
        <v>239.99</v>
      </c>
      <c r="AD191" s="37"/>
      <c r="AE191" s="22"/>
      <c r="AF191" s="37" t="n">
        <f aca="false">AF188+AB191+AC191+AB194</f>
        <v>21787.61890368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5.35392</v>
      </c>
      <c r="B197" s="102" t="n">
        <f aca="false">(G167*B76)/1.2</f>
        <v>176.9375</v>
      </c>
      <c r="C197" s="92"/>
      <c r="D197" s="92"/>
      <c r="E197" s="102" t="n">
        <f aca="false">IF(E114="YES",(K55*A117*0.1),0)</f>
        <v>33</v>
      </c>
      <c r="F197" s="22"/>
      <c r="G197" s="22"/>
      <c r="H197" s="32"/>
      <c r="J197" s="110" t="n">
        <f aca="false">IF(N114="YES",H15*0.000002,0)</f>
        <v>0.045296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142.73046875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142.73046875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309.929166666667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12871.004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1242.72046875</v>
      </c>
      <c r="U200" s="31"/>
      <c r="V200" s="31"/>
      <c r="W200" s="37" t="n">
        <f aca="false">Z157</f>
        <v>-5378.5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1282.72046875</v>
      </c>
      <c r="AD200" s="31"/>
      <c r="AE200" s="31"/>
      <c r="AF200" s="37" t="n">
        <f aca="false">AI157</f>
        <v>-5378.5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700.097112183074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672.675903239999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672.675903239999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1610.88</v>
      </c>
      <c r="B210" s="185" t="n">
        <f aca="false">E188+A210+B191+A194</f>
        <v>24508.87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625.847112183074</v>
      </c>
      <c r="B221" s="176" t="n">
        <f aca="false">B176</f>
        <v>74.25</v>
      </c>
      <c r="C221" s="173"/>
      <c r="D221" s="173"/>
      <c r="E221" s="176" t="n">
        <f aca="false">E176</f>
        <v>700.097112183074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18590</v>
      </c>
      <c r="B224" s="102" t="n">
        <f aca="false">B182</f>
        <v>3718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22648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22648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4579.10758985836</v>
      </c>
      <c r="B233" s="102" t="str">
        <f aca="false">B191</f>
        <v>239.99</v>
      </c>
      <c r="C233" s="102"/>
      <c r="D233" s="112"/>
      <c r="E233" s="102" t="n">
        <f aca="false">E191</f>
        <v>27477.0975898584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625.847112183074</v>
      </c>
      <c r="B239" s="102" t="n">
        <f aca="false">B176</f>
        <v>74.25</v>
      </c>
      <c r="C239" s="185"/>
      <c r="D239" s="185"/>
      <c r="E239" s="102" t="n">
        <f aca="false">E176</f>
        <v>700.097112183074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16.06176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5.35392</v>
      </c>
      <c r="B245" s="102" t="n">
        <f aca="false">E242+A245</f>
        <v>21.41568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176.9375</v>
      </c>
      <c r="C249" s="92"/>
      <c r="D249" s="92"/>
      <c r="E249" s="102" t="n">
        <f aca="false">E197</f>
        <v>33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309.929166666667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0.137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2978.22758985836</v>
      </c>
      <c r="C263" s="196"/>
      <c r="D263" s="197" t="s">
        <v>217</v>
      </c>
      <c r="E263" s="197"/>
      <c r="F263" s="199" t="n">
        <f aca="false">F270+F276+F278+B279+B280</f>
        <v>212.325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429.991666666667</v>
      </c>
      <c r="C264" s="196"/>
      <c r="D264" s="197" t="s">
        <v>219</v>
      </c>
      <c r="E264" s="197"/>
      <c r="F264" s="199" t="n">
        <f aca="false">(B263-F263)+B264</f>
        <v>3195.89425652503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0.072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0.137</v>
      </c>
      <c r="C269" s="42"/>
      <c r="D269" s="165" t="s">
        <v>216</v>
      </c>
      <c r="E269" s="165"/>
      <c r="F269" s="145" t="n">
        <f aca="false">B263</f>
        <v>2978.22758985836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212.325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330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3195.89425652503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18875</v>
      </c>
      <c r="C2" s="4" t="s">
        <v>2</v>
      </c>
      <c r="D2" s="5" t="n">
        <f aca="false">C9</f>
        <v>3775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22650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18875.0</v>
      </c>
      <c r="C9" s="9" t="n">
        <f aca="false">B9*0.2</f>
        <v>3775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0.0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0.0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18875</v>
      </c>
      <c r="C15" s="9" t="n">
        <f aca="false">SUM(C9:C13)</f>
        <v>3775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22650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18875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14075.0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593.474682002442</v>
      </c>
      <c r="E33" s="215"/>
      <c r="F33" s="62"/>
      <c r="G33" s="218" t="s">
        <v>356</v>
      </c>
      <c r="H33" s="456" t="n">
        <f aca="false">E21-E11</f>
        <v>18875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593.474682002442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18875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-25650.9095313712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18875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593.474682002442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593.474682002442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593.474682002442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22650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0.1035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10000.0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443.5625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495</v>
      </c>
      <c r="C76" s="214"/>
      <c r="D76" s="290" t="n">
        <f aca="false">B76</f>
        <v>495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36.2857142857143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11936.6666666667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341.047619047619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593.474682002442</v>
      </c>
      <c r="C83" s="469"/>
      <c r="D83" s="214"/>
      <c r="E83" s="462" t="n">
        <f aca="false">B83+E80+E77+E64</f>
        <v>928.173094700854</v>
      </c>
      <c r="F83" s="62"/>
      <c r="G83" s="304" t="s">
        <v>105</v>
      </c>
      <c r="H83" s="305" t="n">
        <f aca="false">H47</f>
        <v>593.474682002442</v>
      </c>
      <c r="I83" s="214"/>
      <c r="J83" s="214"/>
      <c r="K83" s="215"/>
      <c r="L83" s="62"/>
      <c r="M83" s="304" t="s">
        <v>105</v>
      </c>
      <c r="N83" s="305" t="n">
        <f aca="false">H47</f>
        <v>593.474682002442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32708.2805367521</v>
      </c>
      <c r="C85" s="469"/>
      <c r="D85" s="469"/>
      <c r="E85" s="462" t="n">
        <f aca="false">B85/(B58+B57)</f>
        <v>934.522301050061</v>
      </c>
      <c r="F85" s="62"/>
      <c r="G85" s="287" t="s">
        <v>115</v>
      </c>
      <c r="H85" s="130" t="n">
        <f aca="false">((H83*H29)+H81)*1.2</f>
        <v>26182.9366441025</v>
      </c>
      <c r="I85" s="214"/>
      <c r="J85" s="214"/>
      <c r="K85" s="215"/>
      <c r="L85" s="62"/>
      <c r="M85" s="287" t="s">
        <v>115</v>
      </c>
      <c r="N85" s="130" t="n">
        <f aca="false">((N83*H29)+N81)</f>
        <v>21489.1138700855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277.077003336746</v>
      </c>
      <c r="C86" s="469" t="s">
        <v>231</v>
      </c>
      <c r="D86" s="214"/>
      <c r="E86" s="462" t="n">
        <f aca="false">B86/(B58+B57)</f>
        <v>7.91648580962133</v>
      </c>
      <c r="F86" s="62"/>
      <c r="G86" s="213" t="s">
        <v>116</v>
      </c>
      <c r="H86" s="299" t="n">
        <f aca="false">((((H83*H29)+H81))/(1-H70))*H70</f>
        <v>184.833155010809</v>
      </c>
      <c r="I86" s="214"/>
      <c r="J86" s="214"/>
      <c r="K86" s="215"/>
      <c r="L86" s="62"/>
      <c r="M86" s="213" t="s">
        <v>116</v>
      </c>
      <c r="N86" s="299" t="n">
        <f aca="false">(N85/(1-N70))*N70</f>
        <v>182.037672961595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32985.3575400889</v>
      </c>
      <c r="C87" s="469"/>
      <c r="D87" s="471"/>
      <c r="E87" s="462" t="n">
        <f aca="false">E86+E85</f>
        <v>942.438786859682</v>
      </c>
      <c r="F87" s="62"/>
      <c r="G87" s="284" t="s">
        <v>117</v>
      </c>
      <c r="H87" s="132" t="n">
        <f aca="false">IF(H110="YES",((H85+H86)-K114),(H85+H86))</f>
        <v>26367.7697991134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21671.1515430471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942.438786859682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659.194244977834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541.778788576176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942.438786859682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659.194244977834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541.778788576176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659.194244977834</v>
      </c>
      <c r="H127" s="176" t="n">
        <f aca="false">IF(G105="YES",H89*H57,0)</f>
        <v>0</v>
      </c>
      <c r="I127" s="176"/>
      <c r="J127" s="333" t="n">
        <f aca="false">H91</f>
        <v>659.194244977834</v>
      </c>
      <c r="K127" s="215"/>
      <c r="L127" s="62"/>
      <c r="M127" s="332" t="n">
        <f aca="false">N90</f>
        <v>541.778788576176</v>
      </c>
      <c r="N127" s="176" t="n">
        <f aca="false">IF(M105="YES",N89*N57,0)</f>
        <v>0</v>
      </c>
      <c r="O127" s="176"/>
      <c r="P127" s="176" t="n">
        <f aca="false">N91</f>
        <v>541.778788576176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942.438786859682</v>
      </c>
      <c r="B128" s="320" t="n">
        <f aca="false">IF(A105="YES",B89,0)</f>
        <v>0</v>
      </c>
      <c r="C128" s="324"/>
      <c r="D128" s="320" t="n">
        <f aca="false">B91</f>
        <v>942.438786859682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942.438786859682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3955.165469867</v>
      </c>
      <c r="H133" s="102" t="n">
        <f aca="false">IF(G105="YES",H89*H57,0)</f>
        <v>0</v>
      </c>
      <c r="I133" s="220"/>
      <c r="J133" s="183" t="n">
        <f aca="false">H91*H57</f>
        <v>3955.165469867</v>
      </c>
      <c r="K133" s="215"/>
      <c r="L133" s="62"/>
      <c r="M133" s="184" t="n">
        <f aca="false">N90*N57</f>
        <v>3250.67273145706</v>
      </c>
      <c r="N133" s="102" t="n">
        <f aca="false">IF(M105="YES",N89*N57,0)</f>
        <v>0</v>
      </c>
      <c r="O133" s="220"/>
      <c r="P133" s="183" t="n">
        <f aca="false">N91*N57</f>
        <v>3250.67273145706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942.438786859682</v>
      </c>
      <c r="B134" s="37" t="n">
        <f aca="false">E114</f>
        <v>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942.438786859682</v>
      </c>
      <c r="B137" s="37" t="n">
        <f aca="false">IF(A105="YES",B89,0)</f>
        <v>0</v>
      </c>
      <c r="C137" s="316"/>
      <c r="D137" s="37" t="n">
        <f aca="false">B91</f>
        <v>942.438786859682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443.5625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943.5525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659.194244977834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541.778788576176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942.438786859682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942.438786859682</v>
      </c>
      <c r="B177" s="354" t="n">
        <f aca="false">IF(A105="YES",B89,0)</f>
        <v>0</v>
      </c>
      <c r="C177" s="356"/>
      <c r="D177" s="354" t="n">
        <f aca="false">B91</f>
        <v>942.438786859682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942.438786859682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942.438786859682</v>
      </c>
      <c r="B183" s="102" t="n">
        <f aca="false">E114</f>
        <v>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942.438786859682</v>
      </c>
      <c r="B186" s="102" t="n">
        <f aca="false">IF(A105="YES",B89,0)</f>
        <v>0</v>
      </c>
      <c r="C186" s="352"/>
      <c r="D186" s="102" t="n">
        <f aca="false">B91</f>
        <v>942.438786859682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443.5625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943.5525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443.5625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9896.4275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443.5625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9896.4275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277.077003336746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383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19517.2894080402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16697.6147049928</v>
      </c>
      <c r="C88" s="92" t="n">
        <f aca="false">B81-B86</f>
        <v>16697.6147049928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625.847112183074</v>
      </c>
      <c r="C89" s="92" t="n">
        <f aca="false">(B88/B87)</f>
        <v>625.847112183074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20027.1075898584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20027.1075898584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14.04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625.847112183074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639.887112183074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625.847112183074</v>
      </c>
      <c r="B167" s="176" t="n">
        <f aca="false">B94</f>
        <v>14.04</v>
      </c>
      <c r="C167" s="173"/>
      <c r="D167" s="173"/>
      <c r="E167" s="176" t="n">
        <f aca="false">B96</f>
        <v>639.887112183074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4579.10758985836</v>
      </c>
      <c r="B182" s="102" t="str">
        <f aca="false">B114</f>
        <v>239.99</v>
      </c>
      <c r="C182" s="102"/>
      <c r="D182" s="22"/>
      <c r="E182" s="102" t="n">
        <f aca="false">E179+A182+B182+A185</f>
        <v>27477.0975898584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6.24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283.169166666667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639.887112183074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625.847112183074</v>
      </c>
      <c r="B212" s="176" t="n">
        <f aca="false">B167</f>
        <v>14.04</v>
      </c>
      <c r="C212" s="173"/>
      <c r="D212" s="173"/>
      <c r="E212" s="176" t="n">
        <f aca="false">E167</f>
        <v>639.887112183074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4579.10758985836</v>
      </c>
      <c r="B224" s="102" t="str">
        <f aca="false">B182</f>
        <v>239.99</v>
      </c>
      <c r="C224" s="102"/>
      <c r="D224" s="112"/>
      <c r="E224" s="102" t="n">
        <f aca="false">E182</f>
        <v>27477.0975898584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625.847112183074</v>
      </c>
      <c r="B230" s="102" t="n">
        <f aca="false">B167</f>
        <v>14.04</v>
      </c>
      <c r="C230" s="185"/>
      <c r="D230" s="185"/>
      <c r="E230" s="102" t="n">
        <f aca="false">E167</f>
        <v>639.887112183074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6.24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283.169166666667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2978.22758985836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162.391666666667</v>
      </c>
      <c r="C255" s="196"/>
      <c r="D255" s="197" t="s">
        <v>219</v>
      </c>
      <c r="E255" s="197"/>
      <c r="F255" s="199" t="n">
        <f aca="false">(B254-F254)+B255</f>
        <v>2928.29425652503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2978.22758985836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62.4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2928.29425652503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199.99</v>
      </c>
      <c r="C182" s="102"/>
      <c r="D182" s="22"/>
      <c r="E182" s="102" t="n">
        <f aca="false">E179+A182+(B182*1.2)+A185</f>
        <v>26561.7084474994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199.99</v>
      </c>
      <c r="C224" s="102"/>
      <c r="D224" s="112"/>
      <c r="E224" s="102" t="n">
        <f aca="false">E182</f>
        <v>26561.7084474994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1950.50544749938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1950.50544749938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70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9.45454545454546</v>
      </c>
      <c r="E32" s="225"/>
      <c r="F32" s="62"/>
      <c r="G32" s="226" t="s">
        <v>243</v>
      </c>
      <c r="H32" s="224" t="n">
        <f aca="false">A41</f>
        <v>9.45454545454546</v>
      </c>
      <c r="J32" s="43" t="s">
        <v>37</v>
      </c>
      <c r="K32" s="44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509.454545454546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383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9.45454545454546</v>
      </c>
      <c r="B41" s="240" t="n">
        <f aca="false">IF(B38="YES",D38+A41,D38)</f>
        <v>509.454545454546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9.45454545454546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509.818181818182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509.818181818182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18601.9022656812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15.21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612.451263984356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0.3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n">
        <f aca="false">B94</f>
        <v>15.21</v>
      </c>
      <c r="C167" s="173"/>
      <c r="D167" s="173"/>
      <c r="E167" s="176" t="n">
        <f aca="false">B96</f>
        <v>612.451263984356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3663.72044749938</v>
      </c>
      <c r="B182" s="102" t="str">
        <f aca="false">B114</f>
        <v>239.99</v>
      </c>
      <c r="C182" s="102"/>
      <c r="D182" s="22"/>
      <c r="E182" s="102" t="n">
        <f aca="false">E179+A182+B182+A185</f>
        <v>26561.7104474994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5.35392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9.36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286.289166666667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612.451263984356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E179+A201+B182+A185</f>
        <v>24508.87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n">
        <f aca="false">B167</f>
        <v>15.21</v>
      </c>
      <c r="C212" s="173"/>
      <c r="D212" s="173"/>
      <c r="E212" s="176" t="n">
        <f aca="false">E167</f>
        <v>612.451263984356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3663.72044749938</v>
      </c>
      <c r="B224" s="102" t="str">
        <f aca="false">B182</f>
        <v>239.99</v>
      </c>
      <c r="C224" s="102"/>
      <c r="D224" s="112"/>
      <c r="E224" s="102" t="n">
        <f aca="false">E182</f>
        <v>26561.7104474994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n">
        <f aca="false">B167</f>
        <v>15.21</v>
      </c>
      <c r="C230" s="185"/>
      <c r="D230" s="185"/>
      <c r="E230" s="102" t="n">
        <f aca="false">E167</f>
        <v>612.451263984356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E188</f>
        <v>9.36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286.289166666667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2062.84044749938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193.591666666667</v>
      </c>
      <c r="C255" s="196"/>
      <c r="D255" s="197" t="s">
        <v>219</v>
      </c>
      <c r="E255" s="197"/>
      <c r="F255" s="199" t="n">
        <f aca="false">(B254-F254)+B255</f>
        <v>2044.10711416605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2062.84044749938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93.6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2044.10711416605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B91</f>
        <v>10680.272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7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1312.938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1272.94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10680.272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10755.6672238806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72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896.30560199005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896.30560199005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1239.99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896.30560199005</v>
      </c>
      <c r="B134" s="320" t="n">
        <f aca="false">IF(A111="YES",B95,0)</f>
        <v>0</v>
      </c>
      <c r="C134" s="325"/>
      <c r="D134" s="320" t="n">
        <f aca="false">B97</f>
        <v>896.30560199005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896.30560199005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896.30560199005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896.30560199005</v>
      </c>
      <c r="B143" s="37" t="n">
        <f aca="false">IF(A111="YES",B95,0)</f>
        <v>0</v>
      </c>
      <c r="C143" s="316"/>
      <c r="D143" s="37" t="n">
        <f aca="false">B97</f>
        <v>896.30560199005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16.06176</v>
      </c>
      <c r="B146" s="342" t="n">
        <f aca="false">G18*0.000002*1.2*100</f>
        <v>5.35392</v>
      </c>
      <c r="C146" s="316"/>
      <c r="D146" s="342" t="n">
        <f aca="false">A146+B146</f>
        <v>21.41568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723.071666666667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896.30560199005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896.30560199005</v>
      </c>
      <c r="B177" s="354" t="n">
        <f aca="false">IF(A111="YES",B95,0)</f>
        <v>0</v>
      </c>
      <c r="C177" s="357"/>
      <c r="D177" s="354" t="n">
        <f aca="false">B97</f>
        <v>896.30560199005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896.30560199005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896.30560199005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896.30560199005</v>
      </c>
      <c r="B186" s="102" t="n">
        <f aca="false">IF(A111="YES",B95,0)</f>
        <v>0</v>
      </c>
      <c r="C186" s="352"/>
      <c r="D186" s="102" t="n">
        <f aca="false">B97</f>
        <v>896.30560199005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G18*0.000002*1.2*100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723.071666666667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9" activeCellId="0" sqref="B6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22308</v>
      </c>
      <c r="C67" s="214"/>
      <c r="D67" s="214"/>
      <c r="E67" s="215"/>
      <c r="F67" s="62"/>
      <c r="G67" s="213" t="s">
        <v>14</v>
      </c>
      <c r="H67" s="290" t="n">
        <f aca="false">G18</f>
        <v>22308</v>
      </c>
      <c r="I67" s="214"/>
      <c r="J67" s="214"/>
      <c r="K67" s="215"/>
      <c r="L67" s="62"/>
      <c r="M67" s="213" t="s">
        <v>14</v>
      </c>
      <c r="N67" s="290" t="n">
        <f aca="false">G18</f>
        <v>22308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ROUND((B68+(B68*0.25*((H29/12)-1))),4)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1561.56</v>
      </c>
      <c r="C70" s="214" t="n">
        <v>10000</v>
      </c>
      <c r="D70" s="290" t="n">
        <f aca="false">B70-A149</f>
        <v>1561.56</v>
      </c>
      <c r="E70" s="215" t="n">
        <f aca="false">D70/12</f>
        <v>130.13</v>
      </c>
      <c r="F70" s="62"/>
      <c r="G70" s="284" t="s">
        <v>91</v>
      </c>
      <c r="H70" s="132" t="n">
        <f aca="false">H67*H69</f>
        <v>1561.56</v>
      </c>
      <c r="I70" s="214"/>
      <c r="J70" s="290" t="n">
        <f aca="false">H70-G151</f>
        <v>1561.56</v>
      </c>
      <c r="K70" s="215"/>
      <c r="L70" s="62"/>
      <c r="M70" s="284" t="s">
        <v>91</v>
      </c>
      <c r="N70" s="132" t="n">
        <f aca="false">N67*N69</f>
        <v>1561.56</v>
      </c>
      <c r="O70" s="214"/>
      <c r="P70" s="290" t="n">
        <f aca="false">N70-M151</f>
        <v>1561.56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223.08</v>
      </c>
      <c r="C73" s="214"/>
      <c r="D73" s="290"/>
      <c r="E73" s="215"/>
      <c r="F73" s="62"/>
      <c r="G73" s="284" t="s">
        <v>94</v>
      </c>
      <c r="H73" s="132" t="n">
        <f aca="false">H67*H72</f>
        <v>111.54</v>
      </c>
      <c r="I73" s="214"/>
      <c r="J73" s="290"/>
      <c r="K73" s="215"/>
      <c r="L73" s="62"/>
      <c r="M73" s="284" t="s">
        <v>94</v>
      </c>
      <c r="N73" s="132" t="n">
        <f aca="false">N67*N72</f>
        <v>111.54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2888.22666666667</v>
      </c>
      <c r="C87" s="214"/>
      <c r="D87" s="214"/>
      <c r="E87" s="215"/>
      <c r="F87" s="62"/>
      <c r="G87" s="302" t="s">
        <v>103</v>
      </c>
      <c r="H87" s="303" t="n">
        <f aca="false">SUM(J70:J86)</f>
        <v>4688.06</v>
      </c>
      <c r="I87" s="214"/>
      <c r="J87" s="214"/>
      <c r="K87" s="215"/>
      <c r="L87" s="62"/>
      <c r="M87" s="302" t="s">
        <v>103</v>
      </c>
      <c r="N87" s="303" t="n">
        <f aca="false">SUM(P70:P86)</f>
        <v>4675.56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240.685555555556</v>
      </c>
      <c r="C88" s="214"/>
      <c r="D88" s="214"/>
      <c r="E88" s="215"/>
      <c r="F88" s="62"/>
      <c r="G88" s="213" t="s">
        <v>104</v>
      </c>
      <c r="H88" s="299" t="n">
        <f aca="false">H87/H29</f>
        <v>390.671666666667</v>
      </c>
      <c r="I88" s="214"/>
      <c r="J88" s="214"/>
      <c r="K88" s="215"/>
      <c r="L88" s="62"/>
      <c r="M88" s="213" t="s">
        <v>104</v>
      </c>
      <c r="N88" s="299" t="n">
        <f aca="false">N87/H29</f>
        <v>389.63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8900.22666666667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12840.072</v>
      </c>
      <c r="I91" s="214"/>
      <c r="J91" s="214"/>
      <c r="K91" s="215"/>
      <c r="L91" s="62"/>
      <c r="M91" s="287" t="s">
        <v>115</v>
      </c>
      <c r="N91" s="130" t="n">
        <f aca="false">((N89*H29)+N87)</f>
        <v>10687.56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75.395223880597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90.6418959257765</v>
      </c>
      <c r="I92" s="214"/>
      <c r="J92" s="214"/>
      <c r="K92" s="215"/>
      <c r="L92" s="62"/>
      <c r="M92" s="213" t="s">
        <v>116</v>
      </c>
      <c r="N92" s="299" t="n">
        <f aca="false">(N91/(1-N76))*N76</f>
        <v>90.5360064542154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8975.62189054726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14930.7138959258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12778.0960064542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747.968490878939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747.968490878939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1239.988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747.968490878939</v>
      </c>
      <c r="B134" s="320" t="n">
        <f aca="false">IF(A111="YES",B95,0)</f>
        <v>0</v>
      </c>
      <c r="C134" s="325"/>
      <c r="D134" s="320" t="n">
        <f aca="false">B97</f>
        <v>747.968490878939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 Monthly in advance </v>
      </c>
      <c r="B137" s="37" t="n">
        <f aca="false">B96*B63</f>
        <v>747.968490878939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747.968490878939</v>
      </c>
      <c r="B140" s="37" t="n">
        <f aca="false">E120</f>
        <v>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0.135888</v>
      </c>
      <c r="H142" s="102" t="n">
        <f aca="false">IF(G111="YES",E15*0.000002,0)</f>
        <v>0.045296</v>
      </c>
      <c r="I142" s="102"/>
      <c r="J142" s="102" t="n">
        <f aca="false">G142+H142</f>
        <v>0.181184</v>
      </c>
      <c r="K142" s="104"/>
      <c r="L142" s="62"/>
      <c r="M142" s="110" t="n">
        <f aca="false">E15*0.000006</f>
        <v>0.135888</v>
      </c>
      <c r="N142" s="102" t="n">
        <f aca="false">IF(M111="YES",E15*0.000002,0)</f>
        <v>0.045296</v>
      </c>
      <c r="O142" s="102"/>
      <c r="P142" s="102" t="n">
        <f aca="false">M142+N142</f>
        <v>0.181184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747.968490878939</v>
      </c>
      <c r="B143" s="37" t="n">
        <f aca="false">IF(A111="YES",B95,0)</f>
        <v>0</v>
      </c>
      <c r="C143" s="316"/>
      <c r="D143" s="37" t="n">
        <f aca="false">B97</f>
        <v>747.968490878939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92.95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92.95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13.3848</v>
      </c>
      <c r="B146" s="342" t="n">
        <f aca="false">G18*0.000002*100</f>
        <v>4.4616</v>
      </c>
      <c r="C146" s="316"/>
      <c r="D146" s="342" t="n">
        <f aca="false">A146+B146</f>
        <v>17.8464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1324.938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1284.94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223.08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723.07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747.968490878939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747.968490878939</v>
      </c>
      <c r="B177" s="354" t="n">
        <f aca="false">IF(A111="YES",B95,0)</f>
        <v>0</v>
      </c>
      <c r="C177" s="357"/>
      <c r="D177" s="354" t="n">
        <f aca="false">B91</f>
        <v>8900.22666666667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 Monthly in advance </v>
      </c>
      <c r="B180" s="102" t="n">
        <f aca="false">B96*B63</f>
        <v>747.968490878939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747.968490878939</v>
      </c>
      <c r="B183" s="102" t="n">
        <f aca="false">E120</f>
        <v>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747.968490878939</v>
      </c>
      <c r="B186" s="102" t="n">
        <f aca="false">IF(A111="YES",B95,0)</f>
        <v>0</v>
      </c>
      <c r="C186" s="352"/>
      <c r="D186" s="102" t="n">
        <f aca="false">B97</f>
        <v>747.968490878939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G18*0.000002*100</f>
        <v>4.4616</v>
      </c>
      <c r="C189" s="352"/>
      <c r="D189" s="364" t="n">
        <f aca="false">A189+B189</f>
        <v>17.8464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223.08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723.07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1561.56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223.08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1678.47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1561.56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223.08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1678.47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75.395223880597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21648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18611.3568111357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212.325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21648</v>
      </c>
      <c r="C81" s="92"/>
      <c r="D81" s="92"/>
      <c r="E81" s="112"/>
      <c r="F81" s="24" t="s">
        <v>106</v>
      </c>
      <c r="G81" s="26" t="n">
        <f aca="false">B81</f>
        <v>21648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16392.1760889046</v>
      </c>
      <c r="C88" s="92" t="n">
        <f aca="false">B81-B86</f>
        <v>16392.1760889046</v>
      </c>
      <c r="D88" s="92"/>
      <c r="E88" s="112"/>
      <c r="F88" s="30" t="s">
        <v>113</v>
      </c>
      <c r="G88" s="32" t="n">
        <f aca="false">G81-G86</f>
        <v>15623.6270487143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597.241263984356</v>
      </c>
      <c r="C89" s="92" t="n">
        <f aca="false">(B88/B87)</f>
        <v>597.241263984356</v>
      </c>
      <c r="D89" s="92"/>
      <c r="E89" s="112"/>
      <c r="F89" s="30" t="s">
        <v>114</v>
      </c>
      <c r="G89" s="32" t="n">
        <f aca="false">(G88/G87)</f>
        <v>533.091955497554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19111.7204474994</v>
      </c>
      <c r="C90" s="92"/>
      <c r="D90" s="92"/>
      <c r="E90" s="112"/>
      <c r="F90" s="30" t="s">
        <v>115</v>
      </c>
      <c r="G90" s="32" t="n">
        <f aca="false">((G89*(G85))+G77)</f>
        <v>17058.9425759217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19111.7204474994</v>
      </c>
      <c r="C92" s="92"/>
      <c r="D92" s="92"/>
      <c r="E92" s="112"/>
      <c r="F92" s="55" t="s">
        <v>117</v>
      </c>
      <c r="G92" s="64" t="n">
        <f aca="false">(G90+G91)</f>
        <v>17058.9425759217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597.241263984356</v>
      </c>
      <c r="C95" s="92"/>
      <c r="D95" s="92"/>
      <c r="E95" s="112"/>
      <c r="F95" s="94" t="s">
        <v>119</v>
      </c>
      <c r="G95" s="95" t="n">
        <f aca="false">G92/(G85)</f>
        <v>533.091955497554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597.241263984356</v>
      </c>
      <c r="C96" s="92"/>
      <c r="D96" s="92"/>
      <c r="E96" s="112"/>
      <c r="F96" s="96" t="s">
        <v>120</v>
      </c>
      <c r="G96" s="97" t="n">
        <f aca="false">G94+G95</f>
        <v>533.091955497554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17895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17895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3718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22648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22648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-18040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22648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597.241263984356</v>
      </c>
      <c r="B167" s="176" t="str">
        <f aca="false">B94</f>
        <v>0</v>
      </c>
      <c r="C167" s="173"/>
      <c r="D167" s="173"/>
      <c r="E167" s="176" t="n">
        <f aca="false">B96</f>
        <v>597.241263984356</v>
      </c>
      <c r="F167" s="22"/>
      <c r="G167" s="22" t="n">
        <f aca="false">ROUND(G95,2)</f>
        <v>533.09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18590</v>
      </c>
      <c r="B173" s="102" t="n">
        <f aca="false">H137</f>
        <v>3718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22648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22648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3663.68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26561.668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4.4616</v>
      </c>
      <c r="B188" s="102" t="n">
        <f aca="false">(G158*B67)/1.2</f>
        <v>176.9375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276.9275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597.241263984356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1610.88</v>
      </c>
      <c r="B201" s="185" t="n">
        <f aca="false">E179+A201+(B182*1.2)+A185</f>
        <v>24508.868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597.241263984356</v>
      </c>
      <c r="B212" s="176" t="str">
        <f aca="false">B167</f>
        <v>0</v>
      </c>
      <c r="C212" s="173"/>
      <c r="D212" s="173"/>
      <c r="E212" s="176" t="n">
        <f aca="false">E167</f>
        <v>597.241263984356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18590</v>
      </c>
      <c r="B215" s="102" t="n">
        <f aca="false">B173</f>
        <v>3718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22648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22648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3663.68</v>
      </c>
      <c r="B224" s="102" t="str">
        <f aca="false">B182</f>
        <v>199.99</v>
      </c>
      <c r="C224" s="102"/>
      <c r="D224" s="112"/>
      <c r="E224" s="102" t="n">
        <f aca="false">E182</f>
        <v>26561.668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597.241263984356</v>
      </c>
      <c r="B230" s="102" t="str">
        <f aca="false">B167</f>
        <v>0</v>
      </c>
      <c r="C230" s="185"/>
      <c r="D230" s="185"/>
      <c r="E230" s="102" t="n">
        <f aca="false">E167</f>
        <v>597.241263984356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4.4616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176.9375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276.9275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2062.8</v>
      </c>
      <c r="C254" s="196"/>
      <c r="D254" s="197" t="s">
        <v>217</v>
      </c>
      <c r="E254" s="197"/>
      <c r="F254" s="199" t="n">
        <f aca="false">F261+F267+F269+B270+B271</f>
        <v>212.325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1950.465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2062.8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212.325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1950.465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0" sqref="A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K10" s="1" t="s">
        <v>19</v>
      </c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17.9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7.9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1494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567.537226151468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567.537226151468</v>
      </c>
      <c r="B36" s="231" t="str">
        <f aca="false">IF(B26="YES",K42,"0.00")</f>
        <v>0.00</v>
      </c>
      <c r="C36" s="231"/>
      <c r="D36" s="231"/>
      <c r="E36" s="231" t="n">
        <f aca="false">K31</f>
        <v>1494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26270.1016973342</v>
      </c>
      <c r="N39" s="1" t="n">
        <f aca="false">K39-L39</f>
        <v>-7340.10169733419</v>
      </c>
      <c r="P39" s="211"/>
    </row>
    <row r="40" customFormat="false" ht="19.5" hidden="false" customHeight="false" outlineLevel="0" collapsed="false">
      <c r="A40" s="106" t="n">
        <f aca="false">E36*A45/100</f>
        <v>1494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1245</v>
      </c>
      <c r="L40" s="2" t="n">
        <f aca="false">K39-L39</f>
        <v>-7340.10169733419</v>
      </c>
      <c r="N40" s="1" t="n">
        <f aca="false">N38-N39</f>
        <v>10251.7816973342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1009.79330192001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17920.20669808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567.537226151468</v>
      </c>
      <c r="L47" s="2" t="n">
        <f aca="false">L49-K42</f>
        <v>800</v>
      </c>
      <c r="M47" s="1" t="n">
        <f aca="false">K47-L47</f>
        <v>-232.462773848532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567.537226151468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567.537226151468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8711.27514632454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29804.7855578572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875.396888368272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875.396888368272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567.537226151468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567.537226151468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567.537226151468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567.537226151468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18269.5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1494</v>
      </c>
      <c r="C82" s="92"/>
      <c r="D82" s="92"/>
      <c r="E82" s="112"/>
      <c r="F82" s="30" t="s">
        <v>107</v>
      </c>
      <c r="G82" s="32" t="n">
        <f aca="false">IF(A111="YES",A40,0)</f>
        <v>1494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1494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1494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1054.63581349056</v>
      </c>
      <c r="C86" s="92"/>
      <c r="D86" s="92"/>
      <c r="E86" s="112"/>
      <c r="F86" s="30" t="s">
        <v>111</v>
      </c>
      <c r="G86" s="32" t="n">
        <f aca="false">(G82/((1+G84)^(G85+1)))</f>
        <v>1218.82051541746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1021.6758167167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1021.6758167167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24122.9681865094</v>
      </c>
      <c r="C88" s="92"/>
      <c r="D88" s="92"/>
      <c r="E88" s="112"/>
      <c r="F88" s="30" t="s">
        <v>113</v>
      </c>
      <c r="G88" s="32" t="n">
        <f aca="false">G81-G86</f>
        <v>23958.7834845825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17247.8241832833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17247.8241832833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840.443472400762</v>
      </c>
      <c r="C89" s="92"/>
      <c r="D89" s="92"/>
      <c r="E89" s="112"/>
      <c r="F89" s="30" t="s">
        <v>114</v>
      </c>
      <c r="G89" s="32" t="n">
        <f aca="false">(G88/G87)</f>
        <v>778.90488718784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609.976464813813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609.976464813813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28575.0780616259</v>
      </c>
      <c r="C90" s="92"/>
      <c r="D90" s="92"/>
      <c r="E90" s="112"/>
      <c r="F90" s="30" t="s">
        <v>115</v>
      </c>
      <c r="G90" s="32" t="n">
        <f aca="false">((G89*(G85))+G77)</f>
        <v>26482.7661643865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20739.1998036696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20739.1998036696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28575.0780616259</v>
      </c>
      <c r="C92" s="92"/>
      <c r="D92" s="92"/>
      <c r="E92" s="112"/>
      <c r="F92" s="55" t="s">
        <v>117</v>
      </c>
      <c r="G92" s="64" t="n">
        <f aca="false">(G90+G91)</f>
        <v>26482.7661643865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20739.1998036696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20739.1998036696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840.443472400762</v>
      </c>
      <c r="C95" s="92"/>
      <c r="D95" s="92"/>
      <c r="E95" s="112"/>
      <c r="F95" s="94" t="s">
        <v>119</v>
      </c>
      <c r="G95" s="95" t="n">
        <f aca="false">G92/(G85)</f>
        <v>778.90488718784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609.976464813813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609.976464813813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840.443472400762</v>
      </c>
      <c r="C96" s="92"/>
      <c r="D96" s="92"/>
      <c r="E96" s="112"/>
      <c r="F96" s="96" t="s">
        <v>120</v>
      </c>
      <c r="G96" s="97" t="n">
        <f aca="false">G94+G95</f>
        <v>778.90488718784</v>
      </c>
      <c r="H96" s="32"/>
      <c r="J96" s="96" t="s">
        <v>120</v>
      </c>
      <c r="K96" s="97" t="n">
        <f aca="false">(K94+K95)</f>
        <v>1460.84083744584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609.976464813813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609.976464813813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4473.75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13421.25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13421.25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2823.25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17269.5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17269.5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-5378.5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18269.5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840.443472400762</v>
      </c>
      <c r="B167" s="176" t="str">
        <f aca="false">B94</f>
        <v>0</v>
      </c>
      <c r="C167" s="173"/>
      <c r="D167" s="173"/>
      <c r="E167" s="176" t="n">
        <f aca="false">B96</f>
        <v>840.443472400762</v>
      </c>
      <c r="F167" s="22"/>
      <c r="G167" s="22" t="n">
        <f aca="false">ROUND(G95,2)</f>
        <v>778.9</v>
      </c>
      <c r="H167" s="32"/>
      <c r="J167" s="175" t="n">
        <f aca="false">K95</f>
        <v>1460.84083744584</v>
      </c>
      <c r="K167" s="176" t="n">
        <f aca="false">K94</f>
        <v>0</v>
      </c>
      <c r="L167" s="173"/>
      <c r="M167" s="173"/>
      <c r="N167" s="176" t="n">
        <f aca="false">K96</f>
        <v>1460.84083744584</v>
      </c>
      <c r="O167" s="22"/>
      <c r="P167" s="22"/>
      <c r="Q167" s="32"/>
      <c r="S167" s="175" t="n">
        <f aca="false">T95</f>
        <v>609.976464813813</v>
      </c>
      <c r="T167" s="176" t="n">
        <f aca="false">T94</f>
        <v>0</v>
      </c>
      <c r="U167" s="173"/>
      <c r="V167" s="173"/>
      <c r="W167" s="176" t="n">
        <f aca="false">T96</f>
        <v>609.976464813813</v>
      </c>
      <c r="X167" s="22"/>
      <c r="Y167" s="22"/>
      <c r="Z167" s="32"/>
      <c r="AB167" s="175" t="n">
        <f aca="false">AC95</f>
        <v>609.976464813813</v>
      </c>
      <c r="AC167" s="176" t="n">
        <f aca="false">AC94</f>
        <v>0</v>
      </c>
      <c r="AD167" s="173"/>
      <c r="AE167" s="173"/>
      <c r="AF167" s="176" t="n">
        <f aca="false">AC96</f>
        <v>609.976464813813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1494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1494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1494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1494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14116.25</v>
      </c>
      <c r="T173" s="102" t="n">
        <f aca="false">Z137</f>
        <v>2823.25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17269.5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18269.5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4891.36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30318.948</v>
      </c>
      <c r="F182" s="22"/>
      <c r="G182" s="22"/>
      <c r="H182" s="104"/>
      <c r="J182" s="110" t="n">
        <f aca="false">(J167*K59)+N185-N179-J185</f>
        <v>14643.5844731586</v>
      </c>
      <c r="K182" s="102" t="n">
        <f aca="false">K114</f>
        <v>239.99</v>
      </c>
      <c r="L182" s="102"/>
      <c r="M182" s="22"/>
      <c r="N182" s="102" t="n">
        <f aca="false">N179+J182+K182+J185</f>
        <v>51422.5784731586</v>
      </c>
      <c r="O182" s="22"/>
      <c r="P182" s="22"/>
      <c r="Q182" s="104"/>
      <c r="S182" s="110" t="n">
        <f aca="false">(S167*T59)+W185-W179-S185</f>
        <v>3963.69980366964</v>
      </c>
      <c r="T182" s="102" t="n">
        <f aca="false">T114</f>
        <v>199.99</v>
      </c>
      <c r="U182" s="102"/>
      <c r="V182" s="22"/>
      <c r="W182" s="102" t="n">
        <f aca="false">W179+S182+T182+S185</f>
        <v>22443.1898036696</v>
      </c>
      <c r="X182" s="22"/>
      <c r="Y182" s="22"/>
      <c r="Z182" s="104"/>
      <c r="AB182" s="110" t="n">
        <f aca="false">(AB167*AC59)+AF185-AF179-AB185</f>
        <v>3963.69980366964</v>
      </c>
      <c r="AC182" s="102" t="n">
        <f aca="false">AC114</f>
        <v>239.99</v>
      </c>
      <c r="AD182" s="102"/>
      <c r="AE182" s="22"/>
      <c r="AF182" s="102" t="n">
        <f aca="false">AF179+AB182+AC182+AB185</f>
        <v>22483.1898036696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1504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1504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1504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149.074045138889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305.432254861111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3390.72722569444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1249.06404513889</v>
      </c>
      <c r="U191" s="92"/>
      <c r="V191" s="92"/>
      <c r="W191" s="102" t="n">
        <f aca="false">Z148</f>
        <v>-5378.5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1289.06404513889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840.443472400762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1460.84083744584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609.976464813813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609.976464813813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2798.996</v>
      </c>
      <c r="B201" s="185" t="n">
        <f aca="false">E179+A201+(B182*1.2)+A185</f>
        <v>28226.588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840.443472400762</v>
      </c>
      <c r="B212" s="176" t="str">
        <f aca="false">B167</f>
        <v>0</v>
      </c>
      <c r="C212" s="173"/>
      <c r="D212" s="173"/>
      <c r="E212" s="176" t="n">
        <f aca="false">E167</f>
        <v>840.443472400762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4891.36</v>
      </c>
      <c r="B224" s="102" t="str">
        <f aca="false">B182</f>
        <v>199.99</v>
      </c>
      <c r="C224" s="102"/>
      <c r="D224" s="112"/>
      <c r="E224" s="102" t="n">
        <f aca="false">E182</f>
        <v>30318.948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840.443472400762</v>
      </c>
      <c r="B230" s="102" t="str">
        <f aca="false">B167</f>
        <v>0</v>
      </c>
      <c r="C230" s="185"/>
      <c r="D230" s="185"/>
      <c r="E230" s="102" t="n">
        <f aca="false">E167</f>
        <v>840.443472400762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1494</v>
      </c>
      <c r="B233" s="102" t="n">
        <f aca="false">E185</f>
        <v>1504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4080.10225486111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2102.36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1955.81929416667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2102.36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1955.81929416667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35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35000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2490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1975.05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602.646962785702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546.216962785703</v>
      </c>
      <c r="B36" s="231" t="n">
        <f aca="false">IF(B26="YES",K42,"0.00")</f>
        <v>56.43</v>
      </c>
      <c r="C36" s="231"/>
      <c r="D36" s="231"/>
      <c r="E36" s="231" t="n">
        <f aca="false">K31</f>
        <v>2490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25161.498228506</v>
      </c>
      <c r="N39" s="1" t="n">
        <f aca="false">K39-L39</f>
        <v>-6231.49822850601</v>
      </c>
      <c r="P39" s="211"/>
    </row>
    <row r="40" customFormat="false" ht="19.5" hidden="false" customHeight="false" outlineLevel="0" collapsed="false">
      <c r="A40" s="106" t="n">
        <f aca="false">E36*A45/100</f>
        <v>2490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2075</v>
      </c>
      <c r="L40" s="2" t="n">
        <f aca="false">K39-L39</f>
        <v>-6231.49822850601</v>
      </c>
      <c r="N40" s="1" t="n">
        <f aca="false">N38-N39</f>
        <v>9143.17822850601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1682.98883653336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17247.0111634666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546.216962785703</v>
      </c>
      <c r="L47" s="2" t="n">
        <f aca="false">L49-K42</f>
        <v>743.57</v>
      </c>
      <c r="M47" s="1" t="n">
        <f aca="false">K47-L47</f>
        <v>-197.353037214298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602.646962785702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602.646962785702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8624.63216384767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30550.994775659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7193.27608910257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802.614343409958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546.216962785703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546.216962785703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602.646962785702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602.646962785702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2490</v>
      </c>
      <c r="C82" s="92"/>
      <c r="D82" s="92"/>
      <c r="E82" s="112"/>
      <c r="F82" s="30" t="s">
        <v>107</v>
      </c>
      <c r="G82" s="32" t="n">
        <f aca="false">IF(A111="YES",A40,0)</f>
        <v>2490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2490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2490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1757.72635581759</v>
      </c>
      <c r="C86" s="92"/>
      <c r="D86" s="92"/>
      <c r="E86" s="112"/>
      <c r="F86" s="30" t="s">
        <v>111</v>
      </c>
      <c r="G86" s="32" t="n">
        <f aca="false">(G82/((1+G84)^(G85+1)))</f>
        <v>2031.36752569576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1702.79302786116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1702.79302786116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23419.8776441824</v>
      </c>
      <c r="C88" s="92"/>
      <c r="D88" s="92"/>
      <c r="E88" s="112"/>
      <c r="F88" s="30" t="s">
        <v>113</v>
      </c>
      <c r="G88" s="32" t="n">
        <f aca="false">G81-G86</f>
        <v>23146.2364743042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21881.5219721388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16566.7069721388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815.94781945139</v>
      </c>
      <c r="C89" s="92"/>
      <c r="D89" s="92"/>
      <c r="E89" s="112"/>
      <c r="F89" s="30" t="s">
        <v>114</v>
      </c>
      <c r="G89" s="32" t="n">
        <f aca="false">(G88/G87)</f>
        <v>752.488819870277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773.849111370652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585.888471791457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27742.2258613473</v>
      </c>
      <c r="C90" s="92"/>
      <c r="D90" s="92"/>
      <c r="E90" s="112"/>
      <c r="F90" s="30" t="s">
        <v>115</v>
      </c>
      <c r="G90" s="32" t="n">
        <f aca="false">((G89*(G85))+G77)</f>
        <v>25584.6198755894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26310.8697866022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19920.2080409095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27742.2258613473</v>
      </c>
      <c r="C92" s="92"/>
      <c r="D92" s="92"/>
      <c r="E92" s="112"/>
      <c r="F92" s="55" t="s">
        <v>117</v>
      </c>
      <c r="G92" s="64" t="n">
        <f aca="false">(G90+G91)</f>
        <v>25584.6198755894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26310.8697866022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19920.2080409095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90.6199411764706</v>
      </c>
      <c r="C94" s="92"/>
      <c r="D94" s="92"/>
      <c r="E94" s="112"/>
      <c r="F94" s="87" t="s">
        <v>118</v>
      </c>
      <c r="G94" s="93" t="n">
        <f aca="false">IF(B26="YES",((E40/B85)*(1+A108)*(C45/100)),"0")</f>
        <v>75.5166176470588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815.94781945139</v>
      </c>
      <c r="C95" s="92"/>
      <c r="D95" s="92"/>
      <c r="E95" s="112"/>
      <c r="F95" s="94" t="s">
        <v>119</v>
      </c>
      <c r="G95" s="95" t="n">
        <f aca="false">G92/(G85)</f>
        <v>752.488819870277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773.849111370652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585.888471791457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906.567760627861</v>
      </c>
      <c r="C96" s="92"/>
      <c r="D96" s="92"/>
      <c r="E96" s="112"/>
      <c r="F96" s="96" t="s">
        <v>120</v>
      </c>
      <c r="G96" s="97" t="n">
        <f aca="false">G94+G95</f>
        <v>828.005437517336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843.556758429475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669.537648262046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-3774.67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815.94781945139</v>
      </c>
      <c r="B167" s="176" t="n">
        <f aca="false">B94</f>
        <v>90.6199411764706</v>
      </c>
      <c r="C167" s="173"/>
      <c r="D167" s="173"/>
      <c r="E167" s="176" t="n">
        <f aca="false">B96</f>
        <v>906.567760627861</v>
      </c>
      <c r="F167" s="22"/>
      <c r="G167" s="22" t="n">
        <f aca="false">ROUND(G95,2)</f>
        <v>752.49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773.849111370652</v>
      </c>
      <c r="T167" s="176" t="n">
        <f aca="false">T94</f>
        <v>69.7076470588235</v>
      </c>
      <c r="U167" s="173"/>
      <c r="V167" s="173"/>
      <c r="W167" s="176" t="n">
        <f aca="false">T96</f>
        <v>843.556758429475</v>
      </c>
      <c r="X167" s="22"/>
      <c r="Y167" s="22"/>
      <c r="Z167" s="32"/>
      <c r="AB167" s="175" t="n">
        <f aca="false">AC95</f>
        <v>585.888471791457</v>
      </c>
      <c r="AC167" s="176" t="n">
        <f aca="false">AC94</f>
        <v>83.6491764705882</v>
      </c>
      <c r="AD167" s="173"/>
      <c r="AE167" s="173"/>
      <c r="AF167" s="176" t="n">
        <f aca="false">AC96</f>
        <v>669.537648262046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2490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2490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2490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2490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5054.7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30482.29</v>
      </c>
      <c r="F182" s="22"/>
      <c r="G182" s="22"/>
      <c r="H182" s="104"/>
      <c r="J182" s="110" t="n">
        <f aca="false">(J167*K59)+N185-N179-J185</f>
        <v>15639.5844731586</v>
      </c>
      <c r="K182" s="102" t="n">
        <f aca="false">K114</f>
        <v>239.99</v>
      </c>
      <c r="L182" s="102"/>
      <c r="M182" s="22"/>
      <c r="N182" s="102" t="n">
        <f aca="false">N179+J182+K182+J185</f>
        <v>52418.5784731586</v>
      </c>
      <c r="O182" s="22"/>
      <c r="P182" s="22"/>
      <c r="Q182" s="104"/>
      <c r="S182" s="110" t="n">
        <f aca="false">(S167*T59)+W185-W179-S185</f>
        <v>5216.55478660216</v>
      </c>
      <c r="T182" s="102" t="n">
        <f aca="false">T114</f>
        <v>199.99</v>
      </c>
      <c r="U182" s="102"/>
      <c r="V182" s="22"/>
      <c r="W182" s="102" t="n">
        <f aca="false">W179+S182+T182+S185</f>
        <v>29010.8597866022</v>
      </c>
      <c r="X182" s="22"/>
      <c r="Y182" s="22"/>
      <c r="Z182" s="104"/>
      <c r="AB182" s="110" t="n">
        <f aca="false">(AB167*AC59)+AF185-AF179-AB185</f>
        <v>4140.70804090955</v>
      </c>
      <c r="AC182" s="102" t="n">
        <f aca="false">AC114</f>
        <v>239.99</v>
      </c>
      <c r="AD182" s="102"/>
      <c r="AE182" s="22"/>
      <c r="AF182" s="102" t="n">
        <f aca="false">AF179+AB182+AC182+AB185</f>
        <v>22660.1980409095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2500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2510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2500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2500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5.35392</v>
      </c>
      <c r="B188" s="102" t="n">
        <f aca="false">B68</f>
        <v>205.442254861111</v>
      </c>
      <c r="C188" s="92"/>
      <c r="D188" s="92"/>
      <c r="E188" s="102" t="n">
        <f aca="false">(E40*A108)*0.1*(C45/100)</f>
        <v>59.2515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364.685421527778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906.567760627861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843.556758429475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669.537648262046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2897.056</v>
      </c>
      <c r="B201" s="185" t="n">
        <f aca="false">E179+A201+B182+A185</f>
        <v>28324.65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815.94781945139</v>
      </c>
      <c r="B212" s="176" t="n">
        <f aca="false">B167</f>
        <v>90.6199411764706</v>
      </c>
      <c r="C212" s="173"/>
      <c r="D212" s="173"/>
      <c r="E212" s="176" t="n">
        <f aca="false">E167</f>
        <v>906.567760627861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5054.7</v>
      </c>
      <c r="B224" s="102" t="str">
        <f aca="false">B182</f>
        <v>239.99</v>
      </c>
      <c r="C224" s="102"/>
      <c r="D224" s="112"/>
      <c r="E224" s="102" t="n">
        <f aca="false">E182</f>
        <v>30482.29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815.94781945139</v>
      </c>
      <c r="B230" s="102" t="n">
        <f aca="false">B167</f>
        <v>90.6199411764706</v>
      </c>
      <c r="C230" s="185"/>
      <c r="D230" s="185"/>
      <c r="E230" s="102" t="n">
        <f aca="false">E167</f>
        <v>906.567760627861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2490</v>
      </c>
      <c r="B233" s="102" t="n">
        <f aca="false">E185</f>
        <v>2500</v>
      </c>
      <c r="C233" s="92"/>
      <c r="D233" s="92"/>
      <c r="E233" s="102" t="n">
        <f aca="false">A188</f>
        <v>5.35392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59.2515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4139.35542152778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2167.64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692.506666666667</v>
      </c>
      <c r="C255" s="196"/>
      <c r="D255" s="197" t="s">
        <v>219</v>
      </c>
      <c r="E255" s="197"/>
      <c r="F255" s="199" t="n">
        <f aca="false">(B254-F254)+B255</f>
        <v>2613.61596083333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2167.64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592.515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2613.61596083333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182" activeCellId="0" sqref="B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624.587094468585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556.877094468585</v>
      </c>
      <c r="B36" s="231" t="n">
        <f aca="false">IF(B26="YES",K42,"0.00")</f>
        <v>67.71</v>
      </c>
      <c r="C36" s="231"/>
      <c r="D36" s="231"/>
      <c r="E36" s="231" t="n">
        <f aca="false">K31</f>
        <v>1992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24468.730112824</v>
      </c>
      <c r="N39" s="1" t="n">
        <f aca="false">K39-L39</f>
        <v>-5538.73011282399</v>
      </c>
      <c r="P39" s="211"/>
    </row>
    <row r="40" customFormat="false" ht="19.5" hidden="false" customHeight="false" outlineLevel="0" collapsed="false">
      <c r="A40" s="312" t="n">
        <f aca="false">E36*A45/100</f>
        <v>1992</v>
      </c>
      <c r="B40" s="106" t="n">
        <f aca="false">IF(B26="YES",K42,"0.00")</f>
        <v>67.71</v>
      </c>
      <c r="C40" s="106"/>
      <c r="D40" s="106"/>
      <c r="E40" s="181" t="n">
        <f aca="false">K32</f>
        <v>2369.85</v>
      </c>
      <c r="F40" s="185"/>
      <c r="G40" s="185"/>
      <c r="H40" s="46"/>
      <c r="J40" s="2" t="s">
        <v>107</v>
      </c>
      <c r="K40" s="2" t="n">
        <f aca="false">(A40)/1.2</f>
        <v>1660</v>
      </c>
      <c r="L40" s="2" t="n">
        <f aca="false">K39-L39</f>
        <v>-5538.73011282399</v>
      </c>
      <c r="N40" s="1" t="n">
        <f aca="false">N38-N39</f>
        <v>8450.41011282399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67.71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1346.39106922669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17583.6089307733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556.877094468585</v>
      </c>
      <c r="L47" s="2" t="n">
        <f aca="false">L49-K42</f>
        <v>732.29</v>
      </c>
      <c r="M47" s="1" t="n">
        <f aca="false">K47-L47</f>
        <v>-175.412905531415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624.587094468585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624.587094468585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10563.2479880683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30177.8901667581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7229.66736158172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839.005615889113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218.497810416667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556.877094468585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556.877094468585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624.587094468585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624.587094468585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26777.604</v>
      </c>
      <c r="C81" s="92"/>
      <c r="D81" s="92"/>
      <c r="E81" s="112"/>
      <c r="F81" s="24" t="s">
        <v>106</v>
      </c>
      <c r="G81" s="26" t="n">
        <f aca="false">G158</f>
        <v>26777.604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1992</v>
      </c>
      <c r="C82" s="92"/>
      <c r="D82" s="92"/>
      <c r="E82" s="112"/>
      <c r="F82" s="30" t="s">
        <v>107</v>
      </c>
      <c r="G82" s="32" t="n">
        <f aca="false">IF(A111="YES",A40,0)</f>
        <v>1992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1992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1992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1406.18108465407</v>
      </c>
      <c r="C86" s="92"/>
      <c r="D86" s="92"/>
      <c r="E86" s="112"/>
      <c r="F86" s="30" t="s">
        <v>111</v>
      </c>
      <c r="G86" s="32" t="n">
        <f aca="false">(G82/((1+G84)^(G85+1)))</f>
        <v>1625.09402055661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1362.23442228893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1362.23442228893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25371.4229153459</v>
      </c>
      <c r="C88" s="92"/>
      <c r="D88" s="92"/>
      <c r="E88" s="112"/>
      <c r="F88" s="30" t="s">
        <v>113</v>
      </c>
      <c r="G88" s="32" t="n">
        <f aca="false">G81-G86</f>
        <v>25152.5099794434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22222.0805777111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16907.2655777111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883.939596896141</v>
      </c>
      <c r="C89" s="92"/>
      <c r="D89" s="92"/>
      <c r="E89" s="112"/>
      <c r="F89" s="30" t="s">
        <v>114</v>
      </c>
      <c r="G89" s="32" t="n">
        <f aca="false">(G88/G87)</f>
        <v>817.713176490636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785.89310788183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597.932468302635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30053.9462944688</v>
      </c>
      <c r="C90" s="92"/>
      <c r="D90" s="92"/>
      <c r="E90" s="112"/>
      <c r="F90" s="30" t="s">
        <v>115</v>
      </c>
      <c r="G90" s="32" t="n">
        <f aca="false">((G89*(G85))+G77)</f>
        <v>27802.2480006816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26720.3656679822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20329.7039222896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30053.9462944688</v>
      </c>
      <c r="C92" s="92"/>
      <c r="D92" s="92"/>
      <c r="E92" s="112"/>
      <c r="F92" s="55" t="s">
        <v>117</v>
      </c>
      <c r="G92" s="64" t="n">
        <f aca="false">(G90+G91)</f>
        <v>27802.2480006816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26720.3656679822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20329.7039222896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108.734294117647</v>
      </c>
      <c r="C94" s="92"/>
      <c r="D94" s="92"/>
      <c r="E94" s="112"/>
      <c r="F94" s="87" t="s">
        <v>118</v>
      </c>
      <c r="G94" s="93" t="n">
        <f aca="false">IF(B26="YES",((E40/B85)*(1+A108)*(C45/100)),"0")</f>
        <v>90.6119117647059</v>
      </c>
      <c r="H94" s="32"/>
      <c r="J94" s="87" t="s">
        <v>118</v>
      </c>
      <c r="K94" s="88" t="n">
        <f aca="false">((E40/K85)*(1+J108))*1.2</f>
        <v>105.6276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83.6417647058824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100.370117647059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883.939596896141</v>
      </c>
      <c r="C95" s="92"/>
      <c r="D95" s="92"/>
      <c r="E95" s="112"/>
      <c r="F95" s="94" t="s">
        <v>119</v>
      </c>
      <c r="G95" s="95" t="n">
        <f aca="false">G92/(G85)</f>
        <v>817.713176490636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785.89310788183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597.932468302635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992.673891013788</v>
      </c>
      <c r="C96" s="92"/>
      <c r="D96" s="92"/>
      <c r="E96" s="112"/>
      <c r="F96" s="96" t="s">
        <v>120</v>
      </c>
      <c r="G96" s="97" t="n">
        <f aca="false">G94+G95</f>
        <v>908.325088255341</v>
      </c>
      <c r="H96" s="32"/>
      <c r="J96" s="96" t="s">
        <v>120</v>
      </c>
      <c r="K96" s="97" t="n">
        <f aca="false">(K94+K95)</f>
        <v>1566.46843744584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869.534872587712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698.302585949694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391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392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0.0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-19169.1116666667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26777.604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883.939596896141</v>
      </c>
      <c r="B167" s="176" t="n">
        <f aca="false">B94</f>
        <v>108.734294117647</v>
      </c>
      <c r="C167" s="173"/>
      <c r="D167" s="173"/>
      <c r="E167" s="176" t="n">
        <f aca="false">B96</f>
        <v>992.673891013788</v>
      </c>
      <c r="F167" s="22"/>
      <c r="G167" s="22" t="n">
        <f aca="false">ROUND(G95,2)</f>
        <v>817.71</v>
      </c>
      <c r="H167" s="32"/>
      <c r="J167" s="175" t="n">
        <f aca="false">K95</f>
        <v>1460.84083744584</v>
      </c>
      <c r="K167" s="176" t="n">
        <f aca="false">K94</f>
        <v>105.6276</v>
      </c>
      <c r="L167" s="173"/>
      <c r="M167" s="173"/>
      <c r="N167" s="176" t="n">
        <f aca="false">K96</f>
        <v>1566.46843744584</v>
      </c>
      <c r="O167" s="22"/>
      <c r="P167" s="22"/>
      <c r="Q167" s="32"/>
      <c r="S167" s="175" t="n">
        <f aca="false">T95</f>
        <v>785.89310788183</v>
      </c>
      <c r="T167" s="176" t="n">
        <f aca="false">T94</f>
        <v>83.6417647058824</v>
      </c>
      <c r="U167" s="173"/>
      <c r="V167" s="173"/>
      <c r="W167" s="176" t="n">
        <f aca="false">T96</f>
        <v>869.534872587712</v>
      </c>
      <c r="X167" s="22"/>
      <c r="Y167" s="22"/>
      <c r="Z167" s="32"/>
      <c r="AB167" s="175" t="n">
        <f aca="false">AC95</f>
        <v>597.932468302635</v>
      </c>
      <c r="AC167" s="176" t="n">
        <f aca="false">AC94</f>
        <v>100.370117647059</v>
      </c>
      <c r="AD167" s="173"/>
      <c r="AE167" s="173"/>
      <c r="AF167" s="176" t="n">
        <f aca="false">AC96</f>
        <v>698.302585949694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1992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1992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1992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1992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0</v>
      </c>
      <c r="C179" s="102"/>
      <c r="D179" s="22"/>
      <c r="E179" s="102" t="n">
        <f aca="false">A176-A179-B179</f>
        <v>26777.604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5268.36</v>
      </c>
      <c r="B182" s="102" t="str">
        <f aca="false">B114</f>
        <v>239.99</v>
      </c>
      <c r="C182" s="102"/>
      <c r="D182" s="22"/>
      <c r="E182" s="102" t="n">
        <f aca="false">ROUND(E179, 2) + ROUND(A182, 2) + ROUND(B182, 2) + ROUND(A185, 2)</f>
        <v>32295.95</v>
      </c>
      <c r="F182" s="22"/>
      <c r="G182" s="22"/>
      <c r="H182" s="104"/>
      <c r="J182" s="110" t="n">
        <f aca="false">(J167*K59)+N185-N179-J185</f>
        <v>15141.5844731586</v>
      </c>
      <c r="K182" s="102" t="n">
        <f aca="false">K114</f>
        <v>239.99</v>
      </c>
      <c r="L182" s="102"/>
      <c r="M182" s="22"/>
      <c r="N182" s="102" t="n">
        <f aca="false">N179+J182+K182+J185</f>
        <v>51920.5784731586</v>
      </c>
      <c r="O182" s="22"/>
      <c r="P182" s="22"/>
      <c r="Q182" s="104"/>
      <c r="S182" s="110" t="n">
        <f aca="false">(S167*T59)+W185-W179-S185</f>
        <v>5128.0506679822</v>
      </c>
      <c r="T182" s="102" t="n">
        <f aca="false">T114</f>
        <v>199.99</v>
      </c>
      <c r="U182" s="102"/>
      <c r="V182" s="22"/>
      <c r="W182" s="102" t="n">
        <f aca="false">W179+S182+T182+S185</f>
        <v>28922.3556679822</v>
      </c>
      <c r="X182" s="22"/>
      <c r="Y182" s="22"/>
      <c r="Z182" s="104"/>
      <c r="AB182" s="110" t="n">
        <f aca="false">(AB167*AC59)+AF185-AF179-AB185</f>
        <v>4052.20392228959</v>
      </c>
      <c r="AC182" s="102" t="n">
        <f aca="false">AC114</f>
        <v>239.99</v>
      </c>
      <c r="AD182" s="102"/>
      <c r="AE182" s="22"/>
      <c r="AF182" s="102" t="n">
        <f aca="false">AF179+AB182+AC182+AB185</f>
        <v>22571.6939222896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2002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2012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2002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2002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0.044616</v>
      </c>
      <c r="B188" s="102" t="n">
        <f aca="false">(G158*B67)/1.2</f>
        <v>218.497810416667</v>
      </c>
      <c r="C188" s="92"/>
      <c r="D188" s="92"/>
      <c r="E188" s="102" t="n">
        <f aca="false">(E40*A108)*0.1*C45/100</f>
        <v>71.0955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71.0955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47.397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47.397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389.584977083333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3461.82272569444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1339.82845920139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1336.46104513889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992.673891013788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1566.46843744584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869.534872587712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698.302585949694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3016.536</v>
      </c>
      <c r="B201" s="185" t="n">
        <f aca="false">E179+A201+B182+A185</f>
        <v>30044.13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883.939596896141</v>
      </c>
      <c r="B212" s="176" t="n">
        <f aca="false">B167</f>
        <v>108.734294117647</v>
      </c>
      <c r="C212" s="173"/>
      <c r="D212" s="173"/>
      <c r="E212" s="176" t="n">
        <f aca="false">E167</f>
        <v>992.673891013788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0</v>
      </c>
      <c r="C221" s="102"/>
      <c r="D221" s="112"/>
      <c r="E221" s="102" t="n">
        <f aca="false">E179</f>
        <v>26777.604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5268.36</v>
      </c>
      <c r="B224" s="102" t="str">
        <f aca="false">B182</f>
        <v>239.99</v>
      </c>
      <c r="C224" s="102"/>
      <c r="D224" s="112"/>
      <c r="E224" s="102" t="n">
        <f aca="false">E182</f>
        <v>32295.95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883.939596896141</v>
      </c>
      <c r="B230" s="102" t="n">
        <f aca="false">B167</f>
        <v>108.734294117647</v>
      </c>
      <c r="C230" s="185"/>
      <c r="D230" s="185"/>
      <c r="E230" s="102" t="n">
        <f aca="false">E167</f>
        <v>992.673891013788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1992</v>
      </c>
      <c r="B233" s="102" t="n">
        <f aca="false">E185</f>
        <v>2002</v>
      </c>
      <c r="C233" s="92"/>
      <c r="D233" s="92"/>
      <c r="E233" s="102" t="n">
        <f aca="false">J18*0.000006*100*1.2</f>
        <v>16.06176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5.35392</v>
      </c>
      <c r="B236" s="102" t="n">
        <f aca="false">E233+A236</f>
        <v>21.41568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218.497810416667</v>
      </c>
      <c r="C240" s="92"/>
      <c r="D240" s="92"/>
      <c r="E240" s="102" t="n">
        <f aca="false">E188</f>
        <v>71.0955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4164.25497708333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2261.82</v>
      </c>
      <c r="C254" s="196"/>
      <c r="D254" s="197" t="s">
        <v>217</v>
      </c>
      <c r="E254" s="197"/>
      <c r="F254" s="199" t="n">
        <f aca="false">F261+F267+F269+B270+B271</f>
        <v>262.1973725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810.946666666667</v>
      </c>
      <c r="C255" s="196"/>
      <c r="D255" s="197" t="s">
        <v>219</v>
      </c>
      <c r="E255" s="197"/>
      <c r="F255" s="199" t="n">
        <f aca="false">(B254-F254)+B255</f>
        <v>2810.56929416667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2261.82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262.1973725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710.955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2810.56929416667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7" colorId="64" zoomScale="85" zoomScaleNormal="85" zoomScalePageLayoutView="100" workbookViewId="0">
      <selection pane="topLeft" activeCell="E182" activeCellId="0" sqref="E182"/>
    </sheetView>
  </sheetViews>
  <sheetFormatPr defaultColWidth="8.3125" defaultRowHeight="18.7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55495.83</v>
      </c>
      <c r="C3" s="437" t="n">
        <v>0</v>
      </c>
      <c r="D3" s="437" t="n">
        <v>0.0</v>
      </c>
      <c r="E3" s="437"/>
      <c r="F3" s="437" t="n">
        <v>833.33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0.0</v>
      </c>
      <c r="C4" s="123" t="n">
        <v>0</v>
      </c>
      <c r="D4" s="123" t="n">
        <v>0.0</v>
      </c>
      <c r="E4" s="123"/>
      <c r="F4" s="123" t="n">
        <v>0.0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0.0</v>
      </c>
      <c r="C5" s="437" t="n">
        <v>0</v>
      </c>
      <c r="D5" s="437" t="n">
        <v>0.0</v>
      </c>
      <c r="E5" s="437"/>
      <c r="F5" s="437" t="n">
        <v>0.0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17895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17895</v>
      </c>
      <c r="F9" s="151"/>
      <c r="G9" s="135"/>
      <c r="H9" s="439" t="n">
        <f aca="false">B7+D7+F7+H3</f>
        <v>17895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645.83</v>
      </c>
      <c r="I10" s="2"/>
      <c r="J10" s="2"/>
      <c r="L10" s="15" t="s">
        <v>1</v>
      </c>
      <c r="M10" s="9" t="n">
        <f aca="false">H15-H11-M8</f>
        <v>18590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3718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585.0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65.0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22648</v>
      </c>
      <c r="I15" s="2"/>
      <c r="J15" s="16" t="n">
        <f aca="false">H15</f>
        <v>22648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0.0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22308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0.0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22648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386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36.0</v>
      </c>
      <c r="P29" s="211"/>
    </row>
    <row r="30" customFormat="false" ht="19.5" hidden="false" customHeight="false" outlineLevel="0" collapsed="false">
      <c r="A30" s="30" t="s">
        <v>182</v>
      </c>
      <c r="B30" s="103" t="s">
        <v>387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10000.0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28050.0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1800.0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544.20923893446</v>
      </c>
      <c r="F33" s="231"/>
      <c r="G33" s="231"/>
      <c r="H33" s="46"/>
      <c r="I33" s="2"/>
      <c r="J33" s="33" t="s">
        <v>356</v>
      </c>
      <c r="K33" s="47" t="n">
        <f aca="false">H21-H11+(H16*20%)</f>
        <v>18930</v>
      </c>
      <c r="L33" s="1" t="n">
        <f aca="false">H21-H11+(H16*20%)</f>
        <v>18930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487.77923893446</v>
      </c>
      <c r="B36" s="231" t="n">
        <f aca="false">IF(B26="YES",K42,"0.00")</f>
        <v>56.43</v>
      </c>
      <c r="C36" s="231"/>
      <c r="D36" s="231"/>
      <c r="E36" s="231" t="n">
        <f aca="false">K31</f>
        <v>4980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18930</v>
      </c>
      <c r="L39" s="2" t="n">
        <f aca="false">(L47*K46)+K44</f>
        <v>27065.2259186891</v>
      </c>
      <c r="N39" s="1" t="n">
        <f aca="false">K39-L39</f>
        <v>-8135.22591868915</v>
      </c>
      <c r="P39" s="211"/>
    </row>
    <row r="40" customFormat="false" ht="19.5" hidden="false" customHeight="false" outlineLevel="0" collapsed="false">
      <c r="A40" s="312" t="n">
        <f aca="false">E36*A45/100</f>
        <v>4980</v>
      </c>
      <c r="B40" s="106" t="n">
        <f aca="false">IF(B26="YES",K42,"0.00")</f>
        <v>56.43</v>
      </c>
      <c r="C40" s="106"/>
      <c r="D40" s="106"/>
      <c r="E40" s="181" t="n">
        <f aca="false">K32</f>
        <v>1975.05</v>
      </c>
      <c r="F40" s="185"/>
      <c r="G40" s="185"/>
      <c r="H40" s="46"/>
      <c r="J40" s="2" t="s">
        <v>107</v>
      </c>
      <c r="K40" s="2" t="n">
        <f aca="false">(A40)/1.2</f>
        <v>4150</v>
      </c>
      <c r="L40" s="2" t="n">
        <f aca="false">K39-L39</f>
        <v>-8135.22591868915</v>
      </c>
      <c r="N40" s="1" t="n">
        <f aca="false">N38-N39</f>
        <v>11046.9059186891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56.43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3416.5612399451</v>
      </c>
      <c r="L44" s="2"/>
      <c r="P44" s="211"/>
    </row>
    <row r="45" customFormat="false" ht="19.5" hidden="false" customHeight="false" outlineLevel="0" collapsed="false">
      <c r="A45" s="504" t="n">
        <v>100.0</v>
      </c>
      <c r="B45" s="92"/>
      <c r="C45" s="503" t="n">
        <v>100.0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15513.4387600549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487.77923893446</v>
      </c>
      <c r="L47" s="2" t="n">
        <f aca="false">L49-K42</f>
        <v>743.57</v>
      </c>
      <c r="M47" s="1" t="n">
        <f aca="false">K47-L47</f>
        <v>-255.79076106554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544.20923893446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544.20923893446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10.0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22308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22308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22308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22308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7141.39890987647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32596.3151104524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7191.11701699582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800.45527130321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205.442254861111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1649.8625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218.4325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178.888854166667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487.77923893446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487.77923893446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544.20923893446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544.20923893446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25177.604</v>
      </c>
      <c r="C81" s="92"/>
      <c r="D81" s="92"/>
      <c r="E81" s="112"/>
      <c r="F81" s="24" t="s">
        <v>106</v>
      </c>
      <c r="G81" s="26" t="n">
        <f aca="false">G158</f>
        <v>25177.604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23584.315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18269.5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4980</v>
      </c>
      <c r="C82" s="92"/>
      <c r="D82" s="92"/>
      <c r="E82" s="112"/>
      <c r="F82" s="30" t="s">
        <v>107</v>
      </c>
      <c r="G82" s="32" t="n">
        <f aca="false">IF(A111="YES",A40,0)</f>
        <v>4980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4980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4980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3845.11859302563</v>
      </c>
      <c r="C86" s="92"/>
      <c r="D86" s="92"/>
      <c r="E86" s="112"/>
      <c r="F86" s="30" t="s">
        <v>111</v>
      </c>
      <c r="G86" s="32" t="n">
        <f aca="false">(G82/((1+G84)^(G85+1)))</f>
        <v>4122.08113599376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3405.58605572233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3405.58605572233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21332.4854069744</v>
      </c>
      <c r="C88" s="92"/>
      <c r="D88" s="92"/>
      <c r="E88" s="112"/>
      <c r="F88" s="30" t="s">
        <v>113</v>
      </c>
      <c r="G88" s="32" t="n">
        <f aca="false">G81-G86</f>
        <v>21055.5228640062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20178.7289442777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14863.9139442777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712.166831546546</v>
      </c>
      <c r="C89" s="92"/>
      <c r="D89" s="92"/>
      <c r="E89" s="112"/>
      <c r="F89" s="30" t="s">
        <v>114</v>
      </c>
      <c r="G89" s="32" t="n">
        <f aca="false">(G88/G87)</f>
        <v>679.725823474091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713.629128814763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525.668489235568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24213.6722725826</v>
      </c>
      <c r="C90" s="92"/>
      <c r="D90" s="92"/>
      <c r="E90" s="112"/>
      <c r="F90" s="30" t="s">
        <v>115</v>
      </c>
      <c r="G90" s="32" t="n">
        <f aca="false">((G89*(G85))+G77)</f>
        <v>23110.6779981191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24263.3903797019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17872.7286340093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24213.6722725826</v>
      </c>
      <c r="C92" s="92"/>
      <c r="D92" s="92"/>
      <c r="E92" s="112"/>
      <c r="F92" s="55" t="s">
        <v>117</v>
      </c>
      <c r="G92" s="64" t="n">
        <f aca="false">(G90+G91)</f>
        <v>23110.6779981191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24263.3903797019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17872.7286340093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69.7076470588235</v>
      </c>
      <c r="C94" s="92"/>
      <c r="D94" s="92"/>
      <c r="E94" s="112"/>
      <c r="F94" s="87" t="s">
        <v>118</v>
      </c>
      <c r="G94" s="93" t="n">
        <f aca="false">IF(B26="YES",((E40/B85)*(1+A108)*(C45/100)),"0")</f>
        <v>69.7076470588235</v>
      </c>
      <c r="H94" s="32"/>
      <c r="J94" s="87" t="s">
        <v>118</v>
      </c>
      <c r="K94" s="88" t="n">
        <f aca="false">((E40/K85)*(1+J108))*1.2</f>
        <v>88.0308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69.7076470588235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83.6491764705882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712.166831546546</v>
      </c>
      <c r="C95" s="92"/>
      <c r="D95" s="92"/>
      <c r="E95" s="112"/>
      <c r="F95" s="94" t="s">
        <v>119</v>
      </c>
      <c r="G95" s="95" t="n">
        <f aca="false">G92/(G85)</f>
        <v>679.725823474091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713.629128814763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525.668489235568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781.87447860537</v>
      </c>
      <c r="C96" s="92"/>
      <c r="D96" s="92"/>
      <c r="E96" s="112"/>
      <c r="F96" s="96" t="s">
        <v>120</v>
      </c>
      <c r="G96" s="97" t="n">
        <f aca="false">G94+G95</f>
        <v>749.433470532915</v>
      </c>
      <c r="H96" s="32"/>
      <c r="J96" s="96" t="s">
        <v>120</v>
      </c>
      <c r="K96" s="97" t="n">
        <f aca="false">(K94+K95)</f>
        <v>1548.87163744584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783.336775873586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609.317665706157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386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389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386</v>
      </c>
      <c r="B111" s="106" t="n">
        <v>1000.0</v>
      </c>
      <c r="C111" s="106"/>
      <c r="D111" s="106"/>
      <c r="E111" s="106" t="n">
        <v>0.0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390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17895</v>
      </c>
      <c r="C121" s="120" t="n">
        <f aca="false">B121</f>
        <v>17895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17895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17895</v>
      </c>
      <c r="U121" s="120" t="n">
        <f aca="false">T121</f>
        <v>17895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17895</v>
      </c>
      <c r="AD121" s="120" t="n">
        <f aca="false">AC121</f>
        <v>17895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0.0</v>
      </c>
      <c r="D122" s="122" t="n">
        <f aca="false">D4</f>
        <v>0</v>
      </c>
      <c r="E122" s="123" t="n">
        <v>0.0</v>
      </c>
      <c r="F122" s="122" t="n">
        <f aca="false">F4</f>
        <v>0</v>
      </c>
      <c r="G122" s="448" t="n">
        <v>0.0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-11503.33</v>
      </c>
      <c r="D123" s="129" t="n">
        <f aca="false">D5</f>
        <v>0</v>
      </c>
      <c r="E123" s="120" t="n">
        <v>0.0</v>
      </c>
      <c r="F123" s="129" t="n">
        <f aca="false">F5</f>
        <v>0</v>
      </c>
      <c r="G123" s="120" t="n">
        <v>0.0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-3774.67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44.7375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4473.75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17895</v>
      </c>
      <c r="C125" s="132" t="n">
        <f aca="false">C121-C124</f>
        <v>21669.67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17895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17895</v>
      </c>
      <c r="U125" s="132" t="n">
        <f aca="false">U121-U124</f>
        <v>17850.2625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17895</v>
      </c>
      <c r="AD125" s="132" t="n">
        <f aca="false">AD121-AD124</f>
        <v>13421.25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17895</v>
      </c>
      <c r="H135" s="152" t="n">
        <f aca="false">C125+E125+G125+H128</f>
        <v>21669.67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17895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17895</v>
      </c>
      <c r="Z135" s="152" t="n">
        <f aca="false">U125+W125+Y125+Z128</f>
        <v>17850.2625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17895</v>
      </c>
      <c r="AI135" s="152" t="n">
        <f aca="false">AD125+AF125+AH125+AI128</f>
        <v>13421.25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3718</v>
      </c>
      <c r="H137" s="32" t="n">
        <f aca="false">(H135+H136)*20%</f>
        <v>4472.934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3718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3718</v>
      </c>
      <c r="Z137" s="32" t="n">
        <f aca="false">(Z135+Z136)*20%</f>
        <v>3709.0525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3718</v>
      </c>
      <c r="AI137" s="32" t="n">
        <f aca="false">(AI135+AI136)*20%</f>
        <v>2823.25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22648</v>
      </c>
      <c r="H141" s="156" t="n">
        <f aca="false">(H135+H136+H139+H140+H137)-H138</f>
        <v>27177.604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22648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22648</v>
      </c>
      <c r="Z141" s="156" t="n">
        <f aca="false">(Z135+Z136+Z139+Z140+Z137)-Z138</f>
        <v>22584.315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22648</v>
      </c>
      <c r="AI141" s="156" t="n">
        <f aca="false">(AI135+AI136+AI139+AI140+AI137)-AI138</f>
        <v>17269.5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22648</v>
      </c>
      <c r="H147" s="163" t="n">
        <f aca="false">H141-((H144*1.2)+(H145*1.2)+(H146*1.2)+(H142*1.2))</f>
        <v>27177.604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22648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22648</v>
      </c>
      <c r="Z147" s="163" t="n">
        <f aca="false">Z141-((Z144*1.2)+(Z145*1.2)+(Z146*1.2)+(Z142*1.2))</f>
        <v>22584.315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22648</v>
      </c>
      <c r="AI147" s="163" t="n">
        <f aca="false">AI141-((AI144*1.2)+(AI145*1.2)+(AI146*1.2)+(AI142*1.2))</f>
        <v>17269.5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3774.67</v>
      </c>
      <c r="I148" s="1" t="n">
        <f aca="false">(H148-G81)/1.2</f>
        <v>-17835.7783333333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12871.004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-63.6849999999977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-5378.5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0.0</v>
      </c>
      <c r="F152" s="106"/>
      <c r="G152" s="106" t="n">
        <v>0.0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0.0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25177.604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23584.315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18269.5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712.166831546546</v>
      </c>
      <c r="B167" s="176" t="n">
        <f aca="false">B94</f>
        <v>69.7076470588235</v>
      </c>
      <c r="C167" s="173"/>
      <c r="D167" s="173"/>
      <c r="E167" s="176" t="n">
        <f aca="false">B96</f>
        <v>781.87447860537</v>
      </c>
      <c r="F167" s="22"/>
      <c r="G167" s="22" t="n">
        <f aca="false">ROUND(G95,2)</f>
        <v>679.73</v>
      </c>
      <c r="H167" s="32"/>
      <c r="J167" s="175" t="n">
        <f aca="false">K95</f>
        <v>1460.84083744584</v>
      </c>
      <c r="K167" s="176" t="n">
        <f aca="false">K94</f>
        <v>88.0308</v>
      </c>
      <c r="L167" s="173"/>
      <c r="M167" s="173"/>
      <c r="N167" s="176" t="n">
        <f aca="false">K96</f>
        <v>1548.87163744584</v>
      </c>
      <c r="O167" s="22"/>
      <c r="P167" s="22"/>
      <c r="Q167" s="32"/>
      <c r="S167" s="175" t="n">
        <f aca="false">T95</f>
        <v>713.629128814763</v>
      </c>
      <c r="T167" s="176" t="n">
        <f aca="false">T94</f>
        <v>69.7076470588235</v>
      </c>
      <c r="U167" s="173"/>
      <c r="V167" s="173"/>
      <c r="W167" s="176" t="n">
        <f aca="false">T96</f>
        <v>783.336775873586</v>
      </c>
      <c r="X167" s="22"/>
      <c r="Y167" s="22"/>
      <c r="Z167" s="32"/>
      <c r="AB167" s="175" t="n">
        <f aca="false">AC95</f>
        <v>525.668489235568</v>
      </c>
      <c r="AC167" s="176" t="n">
        <f aca="false">AC94</f>
        <v>83.6491764705882</v>
      </c>
      <c r="AD167" s="173"/>
      <c r="AE167" s="173"/>
      <c r="AF167" s="176" t="n">
        <f aca="false">AC96</f>
        <v>609.317665706157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4980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4980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4980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4980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22364.67</v>
      </c>
      <c r="B173" s="102" t="n">
        <f aca="false">H137</f>
        <v>4472.934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18545.2625</v>
      </c>
      <c r="T173" s="102" t="n">
        <f aca="false">Z137</f>
        <v>3709.0525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14116.25</v>
      </c>
      <c r="AC173" s="102" t="n">
        <f aca="false">AI137</f>
        <v>2823.25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27177.604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22584.315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17269.5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0</v>
      </c>
      <c r="C179" s="102"/>
      <c r="D179" s="22"/>
      <c r="E179" s="102" t="n">
        <f aca="false">A176-A179-B179</f>
        <v>25177.604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23584.315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18269.5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(ROUND(A167, 2)*B59)+ROUND(E185, 2)-ROUND(E179, 2)-ROUND(A185,2)</f>
        <v>4016.18</v>
      </c>
      <c r="B182" s="102" t="str">
        <f aca="false">B114</f>
        <v>199.99</v>
      </c>
      <c r="C182" s="102"/>
      <c r="D182" s="22"/>
      <c r="E182" s="102" t="n">
        <f aca="false">ROUND(E179, 2)+ROUND(A182, 2)+(ROUND(B182, 2)*1.2)+ROUND(A185, 2)</f>
        <v>29443.768</v>
      </c>
      <c r="F182" s="22"/>
      <c r="G182" s="22"/>
      <c r="H182" s="104"/>
      <c r="J182" s="110" t="n">
        <f aca="false">(J167*K59)+N185-N179-J185</f>
        <v>18129.5844731586</v>
      </c>
      <c r="K182" s="102" t="n">
        <f aca="false">K114</f>
        <v>239.99</v>
      </c>
      <c r="L182" s="102"/>
      <c r="M182" s="22"/>
      <c r="N182" s="102" t="n">
        <f aca="false">N179+J182+K182+J185</f>
        <v>54908.5784731586</v>
      </c>
      <c r="O182" s="22"/>
      <c r="P182" s="22"/>
      <c r="Q182" s="104"/>
      <c r="S182" s="110" t="n">
        <f aca="false">(S167*T59)+W185-W179-S185</f>
        <v>5659.07537970193</v>
      </c>
      <c r="T182" s="102" t="n">
        <f aca="false">T114</f>
        <v>199.99</v>
      </c>
      <c r="U182" s="102"/>
      <c r="V182" s="22"/>
      <c r="W182" s="102" t="n">
        <f aca="false">W179+S182+T182+S185</f>
        <v>29453.3803797019</v>
      </c>
      <c r="X182" s="22"/>
      <c r="Y182" s="22"/>
      <c r="Z182" s="104"/>
      <c r="AB182" s="110" t="n">
        <f aca="false">(AB167*AC59)+AF185-AF179-AB185</f>
        <v>4583.22863400932</v>
      </c>
      <c r="AC182" s="102" t="n">
        <f aca="false">AC114</f>
        <v>239.99</v>
      </c>
      <c r="AD182" s="102"/>
      <c r="AE182" s="22"/>
      <c r="AF182" s="102" t="n">
        <f aca="false">AF179+AB182+AC182+AB185</f>
        <v>23102.7186340093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4990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4990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4990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4.4616</v>
      </c>
      <c r="B188" s="102" t="n">
        <f aca="false">(G158*B67)/1.2</f>
        <v>205.442254861111</v>
      </c>
      <c r="C188" s="92"/>
      <c r="D188" s="92"/>
      <c r="E188" s="102" t="n">
        <f aca="false">(E40*A108)*0.1*(C45/100)</f>
        <v>39.501</v>
      </c>
      <c r="F188" s="22"/>
      <c r="G188" s="22"/>
      <c r="H188" s="32"/>
      <c r="J188" s="110" t="n">
        <f aca="false">IF(N105="YES",H15*0.000002,0)</f>
        <v>0.045296</v>
      </c>
      <c r="K188" s="102" t="n">
        <f aca="false">(P158*K67)/1.2</f>
        <v>2250.73722569444</v>
      </c>
      <c r="L188" s="92"/>
      <c r="M188" s="92"/>
      <c r="N188" s="102" t="n">
        <f aca="false">(E40*J108)*0.1</f>
        <v>59.2515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192.441459201389</v>
      </c>
      <c r="U188" s="92"/>
      <c r="V188" s="92"/>
      <c r="W188" s="102" t="n">
        <f aca="false">(E40*S108)*0.1</f>
        <v>39.501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149.074045138889</v>
      </c>
      <c r="AD188" s="92"/>
      <c r="AE188" s="92"/>
      <c r="AF188" s="102" t="n">
        <f aca="false">(E40*AB108)*0.1</f>
        <v>39.501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344.933254861111</v>
      </c>
      <c r="C191" s="92"/>
      <c r="D191" s="92"/>
      <c r="E191" s="102" t="n">
        <f aca="false">H148</f>
        <v>3774.67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3449.97872569444</v>
      </c>
      <c r="L191" s="92"/>
      <c r="M191" s="92"/>
      <c r="N191" s="102" t="n">
        <f aca="false">Q148</f>
        <v>12871.004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1331.93245920139</v>
      </c>
      <c r="U191" s="92"/>
      <c r="V191" s="92"/>
      <c r="W191" s="102" t="n">
        <f aca="false">Z148</f>
        <v>-63.6849999999977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1328.56504513889</v>
      </c>
      <c r="AD191" s="92"/>
      <c r="AE191" s="92"/>
      <c r="AF191" s="102" t="n">
        <f aca="false">AI148</f>
        <v>-5378.5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781.87447860537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1548.87163744584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783.336775873586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609.317665706157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2913.216</v>
      </c>
      <c r="B201" s="185" t="n">
        <f aca="false">E179+A201+(B182*1.2)+A185</f>
        <v>28340.808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712.166831546546</v>
      </c>
      <c r="B212" s="176" t="n">
        <f aca="false">B167</f>
        <v>69.7076470588235</v>
      </c>
      <c r="C212" s="173"/>
      <c r="D212" s="173"/>
      <c r="E212" s="176" t="n">
        <f aca="false">E167</f>
        <v>781.87447860537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22364.67</v>
      </c>
      <c r="B215" s="102" t="n">
        <f aca="false">B173</f>
        <v>4472.934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27177.604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0</v>
      </c>
      <c r="C221" s="102"/>
      <c r="D221" s="112"/>
      <c r="E221" s="102" t="n">
        <f aca="false">E179</f>
        <v>25177.604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4016.18</v>
      </c>
      <c r="B224" s="102" t="str">
        <f aca="false">B182</f>
        <v>199.99</v>
      </c>
      <c r="C224" s="102"/>
      <c r="D224" s="112"/>
      <c r="E224" s="102" t="n">
        <f aca="false">E182</f>
        <v>29443.768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712.166831546546</v>
      </c>
      <c r="B230" s="102" t="n">
        <f aca="false">B167</f>
        <v>69.7076470588235</v>
      </c>
      <c r="C230" s="185"/>
      <c r="D230" s="185"/>
      <c r="E230" s="102" t="n">
        <f aca="false">E167</f>
        <v>781.87447860537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4980</v>
      </c>
      <c r="B233" s="102" t="n">
        <f aca="false">E185</f>
        <v>4990</v>
      </c>
      <c r="C233" s="92"/>
      <c r="D233" s="92"/>
      <c r="E233" s="102" t="n">
        <f aca="false">J18*0.000006*100</f>
        <v>13.3848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4.4616</v>
      </c>
      <c r="B236" s="102" t="n">
        <f aca="false">E233+A236</f>
        <v>17.8464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3774.67</v>
      </c>
      <c r="B240" s="102" t="n">
        <f aca="false">B68</f>
        <v>205.442254861111</v>
      </c>
      <c r="C240" s="92"/>
      <c r="D240" s="92"/>
      <c r="E240" s="102" t="n">
        <f aca="false">E188</f>
        <v>39.501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4119.60325486111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1112.96</v>
      </c>
      <c r="C254" s="196"/>
      <c r="D254" s="197" t="s">
        <v>217</v>
      </c>
      <c r="E254" s="197"/>
      <c r="F254" s="199" t="n">
        <f aca="false">F261+F267+F269+B270+B271</f>
        <v>246.530705833333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495</v>
      </c>
      <c r="C255" s="196"/>
      <c r="D255" s="197" t="s">
        <v>219</v>
      </c>
      <c r="E255" s="197"/>
      <c r="F255" s="199" t="n">
        <f aca="false">(B254-F254)+B255</f>
        <v>1361.42929416667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1112.96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246.530705833333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395.01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1361.42929416667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237" t="n">
        <f aca="false">IF(C107="YES",H31,0)</f>
        <v>8280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2160.0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620.494864376825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str">
        <f aca="false">IF(B26="YES",H42,"")</f>
        <v/>
      </c>
      <c r="C36" s="220"/>
      <c r="D36" s="183" t="n">
        <f aca="false">I31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35055.6328049521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str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6900</v>
      </c>
      <c r="I40" s="237" t="n">
        <f aca="false">H39-I39</f>
        <v>-16125.6328049521</v>
      </c>
      <c r="J40" s="62" t="n">
        <v>24541.66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620.494864376825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620.494864376825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</v>
      </c>
      <c r="D64" s="290" t="n">
        <f aca="false">B64-A143</f>
        <v>1887.2568</v>
      </c>
      <c r="E64" s="215"/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215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215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215"/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16914.8104829568</v>
      </c>
      <c r="C85" s="214"/>
      <c r="D85" s="214"/>
      <c r="E85" s="215"/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143.288027487734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17058.0985104446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0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775.368114111116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775.368114111116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731.707892316227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604.96212691386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0.2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386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0</v>
      </c>
      <c r="I127" s="176"/>
      <c r="J127" s="333" t="n">
        <f aca="false">H91</f>
        <v>731.707892316227</v>
      </c>
      <c r="K127" s="215"/>
      <c r="L127" s="62"/>
      <c r="M127" s="332" t="n">
        <f aca="false">N90</f>
        <v>604.96212691386</v>
      </c>
      <c r="N127" s="176" t="n">
        <f aca="false">IF(M105="YES",N89*N57,0)</f>
        <v>0</v>
      </c>
      <c r="O127" s="176"/>
      <c r="P127" s="176" t="n">
        <f aca="false">N91</f>
        <v>604.96212691386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775.368114111116</v>
      </c>
      <c r="B128" s="320" t="n">
        <f aca="false">IF(A105="YES",B89,0)</f>
        <v>0</v>
      </c>
      <c r="C128" s="324"/>
      <c r="D128" s="320" t="n">
        <f aca="false">B91</f>
        <v>775.368114111116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775.368114111116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0</v>
      </c>
      <c r="I133" s="220"/>
      <c r="J133" s="183" t="n">
        <f aca="false">H91*H57</f>
        <v>4390.24735389736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0</v>
      </c>
      <c r="O133" s="220"/>
      <c r="P133" s="183" t="n">
        <f aca="false">N91*N57</f>
        <v>3629.77276148316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775.368114111116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775.368114111116</v>
      </c>
      <c r="B137" s="37" t="n">
        <f aca="false">IF(A105="YES",B89,0)</f>
        <v>0</v>
      </c>
      <c r="C137" s="316"/>
      <c r="D137" s="37" t="n">
        <f aca="false">B91</f>
        <v>775.368114111116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13.3848</v>
      </c>
      <c r="B140" s="342" t="n">
        <f aca="false">IF(A105="YES",G18*0.000002,0)*100</f>
        <v>0</v>
      </c>
      <c r="C140" s="316"/>
      <c r="D140" s="342" t="n">
        <f aca="false">A140+B140</f>
        <v>13.3848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e">
        <f aca="false">IF(G105="YES",((B36*H105)*0.1)*(G130),0)</f>
        <v>#VALUE!</v>
      </c>
      <c r="H142" s="102" t="n">
        <f aca="false">G102-100</f>
        <v>99.99</v>
      </c>
      <c r="I142" s="102"/>
      <c r="J142" s="102" t="e">
        <f aca="false">(H139+J139+G142+H142)-H145</f>
        <v>#VALUE!</v>
      </c>
      <c r="K142" s="104"/>
      <c r="L142" s="62"/>
      <c r="M142" s="110" t="e">
        <f aca="false">IF(M105="YES",((B36*N105)*0.1)*(M130),0)</f>
        <v>#VALUE!</v>
      </c>
      <c r="N142" s="102" t="n">
        <f aca="false">M102-100</f>
        <v>99.99</v>
      </c>
      <c r="O142" s="102"/>
      <c r="P142" s="102" t="e">
        <f aca="false">(N139+P139+M142+N142)-N145</f>
        <v>#VALUE!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#VALUE!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#VALUE!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816.02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731.707892316227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604.96212691386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775.368114111116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775.368114111116</v>
      </c>
      <c r="B177" s="354" t="n">
        <f aca="false">IF(A105="YES",B89,0)</f>
        <v>0</v>
      </c>
      <c r="C177" s="356"/>
      <c r="D177" s="354" t="n">
        <f aca="false">B91</f>
        <v>775.368114111116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775.368114111116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775.368114111116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775.368114111116</v>
      </c>
      <c r="B186" s="102" t="n">
        <f aca="false">IF(A105="YES",B89,0)</f>
        <v>0</v>
      </c>
      <c r="C186" s="352"/>
      <c r="D186" s="102" t="n">
        <f aca="false">B91</f>
        <v>775.368114111116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13.3848</v>
      </c>
      <c r="B189" s="364" t="n">
        <f aca="false">IF(A105="YES",G18*0.000002,0)*100</f>
        <v>0</v>
      </c>
      <c r="C189" s="352"/>
      <c r="D189" s="364" t="n">
        <f aca="false">A189+B189</f>
        <v>13.3848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816.02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1911.2168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1911.2168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18" activeCellId="0" sqref="E11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-750.936015646829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17895</v>
      </c>
      <c r="F9" s="62"/>
      <c r="G9" s="450" t="n">
        <f aca="false">E9-G11</f>
        <v>-134380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3718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585.0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22648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22308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673.404864376825</v>
      </c>
      <c r="E33" s="215"/>
      <c r="F33" s="62"/>
      <c r="G33" s="218" t="s">
        <v>356</v>
      </c>
      <c r="H33" s="456" t="n">
        <f aca="false">E21-E11+((E16*20%)+(E19*20%)+(E20*20%))</f>
        <v>18930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620.494864376825</v>
      </c>
      <c r="B36" s="102" t="n">
        <f aca="false">IF(B26="YES",H42,"")</f>
        <v>52.91</v>
      </c>
      <c r="C36" s="220"/>
      <c r="D36" s="183" t="n">
        <f aca="false">H31</f>
        <v>8280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18930</v>
      </c>
      <c r="I39" s="237" t="n">
        <f aca="false">(I48*H46)+H44</f>
        <v>33961.0829518226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8280</v>
      </c>
      <c r="B40" s="106" t="n">
        <f aca="false">IF(B26="YES",H42,"0")</f>
        <v>52.91</v>
      </c>
      <c r="C40" s="106"/>
      <c r="D40" s="183" t="n">
        <f aca="false">I32</f>
        <v>1164.02</v>
      </c>
      <c r="E40" s="215"/>
      <c r="F40" s="62"/>
      <c r="G40" s="62" t="s">
        <v>107</v>
      </c>
      <c r="H40" s="237" t="n">
        <f aca="false">(A40)/1.2</f>
        <v>6900</v>
      </c>
      <c r="I40" s="237" t="n">
        <f aca="false">H39-I39</f>
        <v>-15031.0829518226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52.91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6093.8147293282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507" t="n">
        <v>100.0</v>
      </c>
      <c r="D45" s="507"/>
      <c r="E45" s="215"/>
      <c r="F45" s="62"/>
      <c r="G45" s="62" t="s">
        <v>374</v>
      </c>
      <c r="H45" s="237" t="n">
        <f aca="false">(H39-H44)</f>
        <v>12836.1852706718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620.494864376825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673.404864376825</v>
      </c>
      <c r="I48" s="237" t="n">
        <f aca="false">I49-H42</f>
        <v>1347.09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673.404864376825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213" t="s">
        <v>14</v>
      </c>
      <c r="N61" s="290" t="n">
        <f aca="false">G18</f>
        <v>22308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0.0846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1887.2568</v>
      </c>
      <c r="C64" s="214" t="n">
        <v>10000.0</v>
      </c>
      <c r="D64" s="290" t="n">
        <f aca="false">B64-A143</f>
        <v>1887.2568</v>
      </c>
      <c r="E64" s="462" t="n">
        <f aca="false">D64/(B58+B57)</f>
        <v>85.7844</v>
      </c>
      <c r="F64" s="62"/>
      <c r="G64" s="284" t="s">
        <v>91</v>
      </c>
      <c r="H64" s="132" t="n">
        <f aca="false">H61*H63</f>
        <v>1886.885</v>
      </c>
      <c r="I64" s="214"/>
      <c r="J64" s="290" t="n">
        <f aca="false">H64-G145</f>
        <v>1886.885</v>
      </c>
      <c r="K64" s="215"/>
      <c r="L64" s="62"/>
      <c r="M64" s="284" t="s">
        <v>91</v>
      </c>
      <c r="N64" s="132" t="n">
        <f aca="false">N61*N63</f>
        <v>1886.885</v>
      </c>
      <c r="O64" s="214"/>
      <c r="P64" s="290" t="n">
        <f aca="false">N64-M145</f>
        <v>1886.885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316.03</v>
      </c>
      <c r="C67" s="214"/>
      <c r="D67" s="290"/>
      <c r="E67" s="215"/>
      <c r="F67" s="62"/>
      <c r="G67" s="284" t="s">
        <v>94</v>
      </c>
      <c r="H67" s="132" t="n">
        <f aca="false">(H61*H66)/1.2</f>
        <v>263.358333333333</v>
      </c>
      <c r="I67" s="214"/>
      <c r="J67" s="290"/>
      <c r="K67" s="215"/>
      <c r="L67" s="62"/>
      <c r="M67" s="284" t="s">
        <v>94</v>
      </c>
      <c r="N67" s="132" t="n">
        <f aca="false">(N61*N66)/1.2</f>
        <v>263.358333333333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3263.92346666667</v>
      </c>
      <c r="C81" s="214"/>
      <c r="D81" s="214"/>
      <c r="E81" s="462"/>
      <c r="F81" s="62"/>
      <c r="G81" s="302" t="s">
        <v>103</v>
      </c>
      <c r="H81" s="303" t="n">
        <f aca="false">SUM(J64:J80)</f>
        <v>2697.135</v>
      </c>
      <c r="I81" s="214"/>
      <c r="J81" s="214"/>
      <c r="K81" s="215"/>
      <c r="L81" s="62"/>
      <c r="M81" s="302" t="s">
        <v>103</v>
      </c>
      <c r="N81" s="303" t="n">
        <f aca="false">SUM(P64:P80)</f>
        <v>2545.885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148.360157575758</v>
      </c>
      <c r="C82" s="214"/>
      <c r="D82" s="214"/>
      <c r="E82" s="462"/>
      <c r="F82" s="62"/>
      <c r="G82" s="213" t="s">
        <v>104</v>
      </c>
      <c r="H82" s="299" t="n">
        <f aca="false">H81/H29</f>
        <v>122.597045454545</v>
      </c>
      <c r="I82" s="214"/>
      <c r="J82" s="214"/>
      <c r="K82" s="215"/>
      <c r="L82" s="62"/>
      <c r="M82" s="213" t="s">
        <v>104</v>
      </c>
      <c r="N82" s="299" t="n">
        <f aca="false">N81/H29</f>
        <v>115.722045454545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620.494864376825</v>
      </c>
      <c r="C83" s="214"/>
      <c r="D83" s="214"/>
      <c r="E83" s="462" t="n">
        <f aca="false">B83+E80+E77+E64</f>
        <v>758.754011851573</v>
      </c>
      <c r="F83" s="62"/>
      <c r="G83" s="304" t="s">
        <v>105</v>
      </c>
      <c r="H83" s="305" t="n">
        <f aca="false">H47</f>
        <v>620.494864376825</v>
      </c>
      <c r="I83" s="214"/>
      <c r="J83" s="214"/>
      <c r="K83" s="215"/>
      <c r="L83" s="62"/>
      <c r="M83" s="304" t="s">
        <v>105</v>
      </c>
      <c r="N83" s="305" t="n">
        <f aca="false">H47</f>
        <v>620.494864376825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20297.7725795482</v>
      </c>
      <c r="C85" s="214"/>
      <c r="D85" s="214"/>
      <c r="E85" s="462" t="n">
        <f aca="false">B85/(B58+B57)</f>
        <v>922.626026343099</v>
      </c>
      <c r="F85" s="62"/>
      <c r="G85" s="287" t="s">
        <v>115</v>
      </c>
      <c r="H85" s="130" t="n">
        <f aca="false">((H83*H29)+H81)*1.2</f>
        <v>19617.6264195482</v>
      </c>
      <c r="I85" s="214"/>
      <c r="J85" s="214"/>
      <c r="K85" s="215"/>
      <c r="L85" s="62"/>
      <c r="M85" s="287" t="s">
        <v>115</v>
      </c>
      <c r="N85" s="130" t="n">
        <f aca="false">((N83*H29)+N81)</f>
        <v>16196.7720162902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143.288027487734</v>
      </c>
      <c r="C86" s="214"/>
      <c r="D86" s="214"/>
      <c r="E86" s="462" t="n">
        <f aca="false">B86/(B58+B57)</f>
        <v>6.51309215853338</v>
      </c>
      <c r="F86" s="62"/>
      <c r="G86" s="213" t="s">
        <v>116</v>
      </c>
      <c r="H86" s="299" t="n">
        <f aca="false">((((H83*H29)+H81))/(1-H70))*H70</f>
        <v>138.486672989953</v>
      </c>
      <c r="I86" s="214"/>
      <c r="J86" s="214"/>
      <c r="K86" s="215"/>
      <c r="L86" s="62"/>
      <c r="M86" s="213" t="s">
        <v>116</v>
      </c>
      <c r="N86" s="299" t="n">
        <f aca="false">(N85/(1-N70))*N70</f>
        <v>137.205410384063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20441.0606070359</v>
      </c>
      <c r="C87" s="214"/>
      <c r="D87" s="214"/>
      <c r="E87" s="462" t="n">
        <f aca="false">E86+E85</f>
        <v>929.139118501633</v>
      </c>
      <c r="F87" s="62"/>
      <c r="G87" s="284" t="s">
        <v>117</v>
      </c>
      <c r="H87" s="132" t="n">
        <f aca="false">IF(H110="YES",((H85+H86)-K114),(H85+H86))</f>
        <v>19756.1130925381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16333.9774266742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82.5396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62.0810666666667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51.7342222222222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929.139118501633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731.707892316227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604.96212691386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1011.67871850163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793.788958982894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656.696349136082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400.0</v>
      </c>
      <c r="C102" s="106"/>
      <c r="D102" s="106" t="n">
        <v>200.0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1239.99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731.707892316227</v>
      </c>
      <c r="H127" s="176" t="n">
        <f aca="false">IF(G105="YES",H89*H57,0)</f>
        <v>372.4864</v>
      </c>
      <c r="I127" s="176"/>
      <c r="J127" s="333" t="n">
        <f aca="false">H91</f>
        <v>793.788958982894</v>
      </c>
      <c r="K127" s="215"/>
      <c r="L127" s="62"/>
      <c r="M127" s="332" t="n">
        <f aca="false">N90</f>
        <v>604.96212691386</v>
      </c>
      <c r="N127" s="176" t="n">
        <f aca="false">IF(M105="YES",N89*N57,0)</f>
        <v>310.405333333333</v>
      </c>
      <c r="O127" s="176"/>
      <c r="P127" s="176" t="n">
        <f aca="false">N91</f>
        <v>656.696349136082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929.139118501633</v>
      </c>
      <c r="B128" s="320" t="n">
        <f aca="false">IF(A105="YES",B89,0)</f>
        <v>82.5396</v>
      </c>
      <c r="C128" s="324"/>
      <c r="D128" s="320" t="n">
        <f aca="false">B91</f>
        <v>1011.67871850163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929.139118501633</v>
      </c>
      <c r="C131" s="316"/>
      <c r="D131" s="37" t="n">
        <f aca="false">IF(A105="YES",B89*B57,0)</f>
        <v>82.5396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4390.24735389736</v>
      </c>
      <c r="H133" s="102" t="n">
        <f aca="false">IF(G105="YES",H89*H57,0)</f>
        <v>372.4864</v>
      </c>
      <c r="I133" s="220"/>
      <c r="J133" s="183" t="n">
        <f aca="false">H91*H57</f>
        <v>4762.73375389736</v>
      </c>
      <c r="K133" s="215"/>
      <c r="L133" s="62"/>
      <c r="M133" s="184" t="n">
        <f aca="false">N90*N57</f>
        <v>3629.77276148316</v>
      </c>
      <c r="N133" s="102" t="n">
        <f aca="false">IF(M105="YES",N89*N57,0)</f>
        <v>310.405333333333</v>
      </c>
      <c r="O133" s="220"/>
      <c r="P133" s="183" t="n">
        <f aca="false">N91*N57</f>
        <v>3940.17809481649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1011.67871850163</v>
      </c>
      <c r="B134" s="37" t="n">
        <f aca="false">E114</f>
        <v>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110" t="n">
        <f aca="false">E15*0.000006</f>
        <v>0.135888</v>
      </c>
      <c r="N136" s="102" t="n">
        <f aca="false">IF(M105="YES",E15*0.000002,0)</f>
        <v>0.045296</v>
      </c>
      <c r="O136" s="102"/>
      <c r="P136" s="102" t="n">
        <f aca="false">M136+N136</f>
        <v>0.181184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929.139118501633</v>
      </c>
      <c r="B137" s="37" t="n">
        <f aca="false">IF(A105="YES",B89,0)</f>
        <v>82.5396</v>
      </c>
      <c r="C137" s="316"/>
      <c r="D137" s="37" t="n">
        <f aca="false">B91</f>
        <v>1011.67871850163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263.358333333333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263.358333333333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IF(A105="YES",G18*0.000002,0)*1.2*100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23.2804</v>
      </c>
      <c r="H142" s="102" t="n">
        <f aca="false">G102-100</f>
        <v>99.99</v>
      </c>
      <c r="I142" s="102"/>
      <c r="J142" s="102" t="n">
        <f aca="false">(H139+J139+G142+H142)-H145</f>
        <v>386.628733333333</v>
      </c>
      <c r="K142" s="104"/>
      <c r="L142" s="62"/>
      <c r="M142" s="110" t="n">
        <f aca="false">IF(M105="YES",((B36*N105)*0.1)*(M130),0)</f>
        <v>23.2804</v>
      </c>
      <c r="N142" s="102" t="n">
        <f aca="false">M102-100</f>
        <v>99.99</v>
      </c>
      <c r="O142" s="102"/>
      <c r="P142" s="102" t="n">
        <f aca="false">(N139+P139+M142+N142)-N145</f>
        <v>386.628733333333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316.03</v>
      </c>
      <c r="B148" s="37" t="n">
        <f aca="false">B102</f>
        <v>400</v>
      </c>
      <c r="C148" s="37"/>
      <c r="D148" s="37" t="n">
        <f aca="false">IF(A105="YES",(B40*B105)*B125,0)*0.1</f>
        <v>34.9206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850.942266666667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793.788958982894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656.696349136082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1011.67871850163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929.139118501633</v>
      </c>
      <c r="B177" s="354" t="n">
        <f aca="false">IF(A105="YES",B89,0)</f>
        <v>82.5396</v>
      </c>
      <c r="C177" s="356"/>
      <c r="D177" s="354" t="n">
        <f aca="false">B91</f>
        <v>1011.67871850163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929.139118501633</v>
      </c>
      <c r="C180" s="352"/>
      <c r="D180" s="102" t="n">
        <f aca="false">IF(A105="YES",B89*B57,0)</f>
        <v>82.5396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1011.67871850163</v>
      </c>
      <c r="B183" s="102" t="n">
        <f aca="false">E114</f>
        <v>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929.139118501633</v>
      </c>
      <c r="B186" s="102" t="n">
        <f aca="false">IF(A105="YES",B89,0)</f>
        <v>82.5396</v>
      </c>
      <c r="C186" s="352"/>
      <c r="D186" s="102" t="n">
        <f aca="false">B91</f>
        <v>1011.67871850163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16.06176</v>
      </c>
      <c r="B189" s="364" t="n">
        <f aca="false">IF(A105="YES",G18*0.000002,0)*1.2*100</f>
        <v>5.35392</v>
      </c>
      <c r="C189" s="352"/>
      <c r="D189" s="364" t="n">
        <f aca="false">A189+B189</f>
        <v>21.41568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316.03</v>
      </c>
      <c r="B197" s="102" t="n">
        <f aca="false">B102</f>
        <v>400</v>
      </c>
      <c r="C197" s="102"/>
      <c r="D197" s="102" t="n">
        <f aca="false">IF(A105="YES",(B40*B105)*B125,0)*0.1</f>
        <v>34.9206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850.942266666667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1887.2568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316.03</v>
      </c>
      <c r="C211" s="319" t="s">
        <v>218</v>
      </c>
      <c r="D211" s="369" t="n">
        <f aca="false">B225+E221+B221+B223</f>
        <v>689.197666666667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2260.42446666667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1887.2568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316.03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2260.42446666667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349.206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143.288027487734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true" showOutlineSymbols="true" defaultGridColor="true" view="normal" topLeftCell="A94" colorId="64" zoomScale="85" zoomScaleNormal="85" zoomScalePageLayoutView="100" workbookViewId="0">
      <selection pane="topLeft" activeCell="C113" activeCellId="0" sqref="C113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4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0.0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0.0</v>
      </c>
      <c r="C4" s="0" t="n">
        <v>0.0</v>
      </c>
      <c r="D4" s="0" t="n">
        <v>0.0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0.0</v>
      </c>
      <c r="C5" s="495" t="n">
        <v>0.0</v>
      </c>
      <c r="D5" s="495" t="n">
        <v>0.0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-172.422876938081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18875.0</v>
      </c>
      <c r="C9" s="482"/>
      <c r="D9" s="482"/>
      <c r="E9" s="505" t="n">
        <f aca="false">(B7+C7+D7+E3)</f>
        <v>56329.16</v>
      </c>
      <c r="F9" s="62"/>
      <c r="G9" s="450" t="n">
        <f aca="false">E9-G11</f>
        <v>-95687.5066666667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0.0</v>
      </c>
      <c r="C11" s="484"/>
      <c r="D11" s="484"/>
      <c r="E11" s="299" t="n">
        <f aca="false">(E9+E10)*0.2</f>
        <v>11394.998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0.0</v>
      </c>
      <c r="C13" s="484"/>
      <c r="D13" s="484"/>
      <c r="E13" s="496" t="n">
        <v>585.0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65.0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69019.988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0.0</v>
      </c>
      <c r="F16" s="62"/>
      <c r="G16" s="452" t="n">
        <f aca="false">(B3+C3+E10)*1.2</f>
        <v>67369.992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0.0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386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36.0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387</v>
      </c>
      <c r="C30" s="171"/>
      <c r="D30" s="214"/>
      <c r="E30" s="215"/>
      <c r="F30" s="62"/>
      <c r="G30" s="217" t="s">
        <v>32</v>
      </c>
      <c r="H30" s="453" t="n">
        <v>10000.0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28050.0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1800.0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1229.52019526256</v>
      </c>
      <c r="E33" s="215"/>
      <c r="F33" s="62"/>
      <c r="G33" s="218" t="s">
        <v>356</v>
      </c>
      <c r="H33" s="456" t="n">
        <f aca="false">E21-E11+((E16*20%)+(E19*20%)+(E20*20%))</f>
        <v>57624.99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1179.52019526256</v>
      </c>
      <c r="B36" s="102" t="n">
        <f aca="false">IF(B26="YES",H42,"")</f>
        <v>50</v>
      </c>
      <c r="C36" s="220"/>
      <c r="D36" s="183" t="n">
        <f aca="false">H31</f>
        <v>28050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57624.99</v>
      </c>
      <c r="I39" s="237" t="n">
        <f aca="false">(I48*H46)+H44</f>
        <v>63187.3179303518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28050</v>
      </c>
      <c r="B40" s="106" t="n">
        <f aca="false">IF(B26="YES",H42,"0")</f>
        <v>50</v>
      </c>
      <c r="C40" s="106"/>
      <c r="D40" s="183" t="n">
        <f aca="false">I32</f>
        <v>1800</v>
      </c>
      <c r="E40" s="215"/>
      <c r="F40" s="62"/>
      <c r="G40" s="62" t="s">
        <v>107</v>
      </c>
      <c r="H40" s="237" t="n">
        <f aca="false">A40/1.2</f>
        <v>23375</v>
      </c>
      <c r="I40" s="237" t="n">
        <f aca="false">H39-I39</f>
        <v>-5562.32793035177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19140.2079659795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100.0</v>
      </c>
      <c r="B45" s="214"/>
      <c r="C45" s="459" t="n">
        <v>100.0</v>
      </c>
      <c r="D45" s="459"/>
      <c r="E45" s="215"/>
      <c r="F45" s="62"/>
      <c r="G45" s="62" t="s">
        <v>374</v>
      </c>
      <c r="H45" s="237" t="n">
        <f aca="false">(H39-H44)</f>
        <v>38484.7820340206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1179.52019526256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1229.52019526256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1229.52019526256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213" t="s">
        <v>14</v>
      </c>
      <c r="N61" s="290" t="n">
        <f aca="false">G18</f>
        <v>68369.988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7178.84874</v>
      </c>
      <c r="C64" s="461" t="n">
        <v>10000.0</v>
      </c>
      <c r="D64" s="290" t="n">
        <f aca="false">B64</f>
        <v>7178.84874</v>
      </c>
      <c r="E64" s="462" t="n">
        <f aca="false">D64/(B58+B57)</f>
        <v>199.412465</v>
      </c>
      <c r="F64" s="62"/>
      <c r="G64" s="284" t="s">
        <v>91</v>
      </c>
      <c r="H64" s="132" t="n">
        <f aca="false">H61*H63</f>
        <v>7178.84874</v>
      </c>
      <c r="I64" s="214"/>
      <c r="J64" s="290" t="n">
        <f aca="false">H64-G145</f>
        <v>7178.84874</v>
      </c>
      <c r="K64" s="215"/>
      <c r="L64" s="62"/>
      <c r="M64" s="284" t="s">
        <v>91</v>
      </c>
      <c r="N64" s="132" t="n">
        <f aca="false">N61*N63</f>
        <v>7178.84874</v>
      </c>
      <c r="O64" s="214"/>
      <c r="P64" s="290" t="n">
        <f aca="false">N64-M145</f>
        <v>7178.84874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1367.39976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1139.4998</v>
      </c>
      <c r="I67" s="214"/>
      <c r="J67" s="290"/>
      <c r="K67" s="215"/>
      <c r="L67" s="62"/>
      <c r="M67" s="284" t="s">
        <v>94</v>
      </c>
      <c r="N67" s="132" t="n">
        <f aca="false">(N61*N66)/1.2</f>
        <v>1139.4998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200.0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5.0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165.0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355.0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1083.33333333333</v>
      </c>
      <c r="C76" s="214"/>
      <c r="D76" s="290" t="n">
        <f aca="false">B76</f>
        <v>1083.33333333333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222.222222222222</v>
      </c>
      <c r="C77" s="469"/>
      <c r="D77" s="290" t="n">
        <f aca="false">B77</f>
        <v>222.222222222222</v>
      </c>
      <c r="E77" s="462" t="n">
        <f aca="false">D77/(B58+B57)</f>
        <v>6.17283950617284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200.0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200.0</v>
      </c>
      <c r="C80" s="469"/>
      <c r="D80" s="290" t="n">
        <f aca="false">B80</f>
        <v>200</v>
      </c>
      <c r="E80" s="462" t="n">
        <f aca="false">(D73+D76+D79+D80)/(B58+B57)</f>
        <v>51.7592592592593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9486.62651777778</v>
      </c>
      <c r="C81" s="469"/>
      <c r="D81" s="470"/>
      <c r="E81" s="462"/>
      <c r="F81" s="62"/>
      <c r="G81" s="302" t="s">
        <v>103</v>
      </c>
      <c r="H81" s="303" t="n">
        <f aca="false">SUM(J64:J80)</f>
        <v>8244.59874</v>
      </c>
      <c r="I81" s="214"/>
      <c r="J81" s="214"/>
      <c r="K81" s="215"/>
      <c r="L81" s="62"/>
      <c r="M81" s="302" t="s">
        <v>103</v>
      </c>
      <c r="N81" s="303" t="n">
        <f aca="false">SUM(P64:P80)</f>
        <v>7900.84874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263.517403271605</v>
      </c>
      <c r="C82" s="469"/>
      <c r="D82" s="214"/>
      <c r="E82" s="462"/>
      <c r="F82" s="62"/>
      <c r="G82" s="213" t="s">
        <v>104</v>
      </c>
      <c r="H82" s="299" t="n">
        <f aca="false">H81/H29</f>
        <v>229.016631666667</v>
      </c>
      <c r="I82" s="214"/>
      <c r="J82" s="214"/>
      <c r="K82" s="215"/>
      <c r="L82" s="62"/>
      <c r="M82" s="213" t="s">
        <v>104</v>
      </c>
      <c r="N82" s="299" t="n">
        <f aca="false">N81/H29</f>
        <v>219.468020555556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1179.52019526256</v>
      </c>
      <c r="C83" s="469"/>
      <c r="D83" s="214"/>
      <c r="E83" s="462" t="n">
        <f aca="false">B83+E80+E77+E64</f>
        <v>1436.86475902799</v>
      </c>
      <c r="F83" s="62"/>
      <c r="G83" s="304" t="s">
        <v>105</v>
      </c>
      <c r="H83" s="305" t="n">
        <f aca="false">H47</f>
        <v>1179.52019526256</v>
      </c>
      <c r="I83" s="214"/>
      <c r="J83" s="214"/>
      <c r="K83" s="215"/>
      <c r="L83" s="62"/>
      <c r="M83" s="304" t="s">
        <v>105</v>
      </c>
      <c r="N83" s="305" t="n">
        <f aca="false">H47</f>
        <v>1179.52019526256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51949.3535472298</v>
      </c>
      <c r="C85" s="469"/>
      <c r="D85" s="469"/>
      <c r="E85" s="462" t="n">
        <f aca="false">B85/(B58+B57)</f>
        <v>1443.03759853416</v>
      </c>
      <c r="F85" s="62"/>
      <c r="G85" s="287" t="s">
        <v>115</v>
      </c>
      <c r="H85" s="130" t="n">
        <f aca="false">((H83*H29)+H81)*1.2</f>
        <v>60848.7909233425</v>
      </c>
      <c r="I85" s="214"/>
      <c r="J85" s="214"/>
      <c r="K85" s="215"/>
      <c r="L85" s="62"/>
      <c r="M85" s="287" t="s">
        <v>115</v>
      </c>
      <c r="N85" s="130" t="n">
        <f aca="false">((N83*H29)+N81)</f>
        <v>50363.575769452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440.071167604609</v>
      </c>
      <c r="C86" s="469" t="s">
        <v>231</v>
      </c>
      <c r="D86" s="214"/>
      <c r="E86" s="462" t="n">
        <f aca="false">B86/(B58+B57)</f>
        <v>12.224199100128</v>
      </c>
      <c r="F86" s="62"/>
      <c r="G86" s="213" t="s">
        <v>116</v>
      </c>
      <c r="H86" s="299" t="n">
        <f aca="false">((((H83*H29)+H81))/(1-H70))*H70</f>
        <v>429.54975440036</v>
      </c>
      <c r="I86" s="214"/>
      <c r="J86" s="214"/>
      <c r="K86" s="215"/>
      <c r="L86" s="62"/>
      <c r="M86" s="213" t="s">
        <v>116</v>
      </c>
      <c r="N86" s="299" t="n">
        <f aca="false">(N85/(1-N70))*N70</f>
        <v>426.63779393243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52389.4247148344</v>
      </c>
      <c r="C87" s="469"/>
      <c r="D87" s="471"/>
      <c r="E87" s="462" t="n">
        <f aca="false">E86+E85</f>
        <v>1455.26179763429</v>
      </c>
      <c r="F87" s="62"/>
      <c r="G87" s="284" t="s">
        <v>117</v>
      </c>
      <c r="H87" s="132" t="n">
        <f aca="false">IF(H110="YES",((H85+H86)-K114),(H85+H86))</f>
        <v>61278.3406777428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50790.2135633845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63.2195121951219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52.6829268292683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1455.26179763429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1494.5936750669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1238.78569666791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1515.26179763429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1557.81318726202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1291.46862349718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1000.0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0.0</v>
      </c>
      <c r="C102" s="106"/>
      <c r="D102" s="106" t="n">
        <v>0.0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386</v>
      </c>
      <c r="B105" s="313" t="n">
        <v>0.3</v>
      </c>
      <c r="C105" s="313"/>
      <c r="D105" s="106" t="n">
        <v>200.0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388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0.0</v>
      </c>
      <c r="E112" s="106" t="n">
        <v>0.0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0.0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1239.988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0.0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1494.5936750669</v>
      </c>
      <c r="H127" s="176" t="n">
        <f aca="false">IF(G105="YES",H89*H57,0)</f>
        <v>379.317073170732</v>
      </c>
      <c r="I127" s="176"/>
      <c r="J127" s="333" t="n">
        <f aca="false">H91</f>
        <v>1557.81318726202</v>
      </c>
      <c r="K127" s="215"/>
      <c r="L127" s="62"/>
      <c r="M127" s="332" t="n">
        <f aca="false">N90</f>
        <v>1238.78569666791</v>
      </c>
      <c r="N127" s="176" t="n">
        <f aca="false">IF(M105="YES",N89*N57,0)</f>
        <v>316.09756097561</v>
      </c>
      <c r="O127" s="176"/>
      <c r="P127" s="176" t="n">
        <f aca="false">N91</f>
        <v>1291.46862349718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1455.26179763429</v>
      </c>
      <c r="B128" s="320" t="n">
        <f aca="false">IF(A105="YES",B89,0)</f>
        <v>60</v>
      </c>
      <c r="C128" s="324"/>
      <c r="D128" s="320" t="n">
        <f aca="false">B91</f>
        <v>1515.26179763429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n">
        <v>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1455.26179763429</v>
      </c>
      <c r="C131" s="316"/>
      <c r="D131" s="37" t="n">
        <f aca="false">IF(A105="YES",B89*B57,0)</f>
        <v>60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8967.56205040139</v>
      </c>
      <c r="H133" s="102" t="n">
        <f aca="false">IF(G105="YES",H89*H57,0)</f>
        <v>379.317073170732</v>
      </c>
      <c r="I133" s="220"/>
      <c r="J133" s="183" t="n">
        <f aca="false">H91*H57</f>
        <v>9346.87912357212</v>
      </c>
      <c r="K133" s="215"/>
      <c r="L133" s="62"/>
      <c r="M133" s="184" t="n">
        <f aca="false">N90*N57</f>
        <v>7432.71418000748</v>
      </c>
      <c r="N133" s="102" t="n">
        <f aca="false">IF(M105="YES",N89*N57,0)</f>
        <v>316.09756097561</v>
      </c>
      <c r="O133" s="220"/>
      <c r="P133" s="183" t="n">
        <f aca="false">N91*N57</f>
        <v>7748.81174098309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1515.26179763429</v>
      </c>
      <c r="B134" s="37" t="n">
        <f aca="false">E114</f>
        <v>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110" t="n">
        <f aca="false">E15*0.000006</f>
        <v>0.414119928</v>
      </c>
      <c r="N136" s="102" t="n">
        <f aca="false">IF(M105="YES",E15*0.000002,0)</f>
        <v>0.138039976</v>
      </c>
      <c r="O136" s="102"/>
      <c r="P136" s="102" t="n">
        <f aca="false">M136+N136</f>
        <v>0.552159904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1455.26179763429</v>
      </c>
      <c r="B137" s="37" t="n">
        <f aca="false">IF(A105="YES",B89,0)</f>
        <v>60</v>
      </c>
      <c r="C137" s="316"/>
      <c r="D137" s="37" t="n">
        <f aca="false">B91</f>
        <v>1515.26179763429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1139.4998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1139.4998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IF(A105="YES",G18*0.000002,0)*100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n">
        <f aca="false">(H139+J139+G142+H142)-H145</f>
        <v>1275.4898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n">
        <f aca="false">(N139+P139+M142+N142)-N145</f>
        <v>1275.4898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200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1367.39976</v>
      </c>
      <c r="B148" s="102" t="n">
        <f aca="false">B102</f>
        <v>200</v>
      </c>
      <c r="C148" s="37"/>
      <c r="D148" s="37" t="n">
        <f aca="false">IF(A105="YES",(B40*B105)*B125,0)*0.1</f>
        <v>36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1703.38976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1557.81318726202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1291.46862349718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1515.26179763429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1455.26179763429</v>
      </c>
      <c r="B177" s="354" t="n">
        <f aca="false">IF(A105="YES",B89,0)</f>
        <v>60</v>
      </c>
      <c r="C177" s="356"/>
      <c r="D177" s="354" t="n">
        <f aca="false">B91</f>
        <v>1515.26179763429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 Monthly in advance </v>
      </c>
      <c r="B180" s="102" t="n">
        <f aca="false">B90*B57</f>
        <v>1455.26179763429</v>
      </c>
      <c r="C180" s="352"/>
      <c r="D180" s="102" t="n">
        <f aca="false">IF(A105="YES",B89*B57,0)</f>
        <v>60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1515.26179763429</v>
      </c>
      <c r="B183" s="102" t="n">
        <f aca="false">E114</f>
        <v>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1455.26179763429</v>
      </c>
      <c r="B186" s="102" t="n">
        <f aca="false">IF(A105="YES",B89,0)</f>
        <v>60</v>
      </c>
      <c r="C186" s="352"/>
      <c r="D186" s="102" t="n">
        <f aca="false">B91</f>
        <v>1515.26179763429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41.0219928</v>
      </c>
      <c r="B189" s="364" t="n">
        <f aca="false">IF(A105="YES",G18*0.000002,0)*100</f>
        <v>13.6739976</v>
      </c>
      <c r="C189" s="352"/>
      <c r="D189" s="364" t="n">
        <f aca="false">A189+B189</f>
        <v>54.6959904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200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1367.39976</v>
      </c>
      <c r="B197" s="102" t="n">
        <f aca="false">B102</f>
        <v>200</v>
      </c>
      <c r="C197" s="102"/>
      <c r="D197" s="102" t="n">
        <f aca="false">IF(A105="YES",(B40*B105)*B125,0)*0.1</f>
        <v>36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1703.38976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7178.84874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1367.39976</v>
      </c>
      <c r="C211" s="319" t="s">
        <v>218</v>
      </c>
      <c r="D211" s="369" t="n">
        <f aca="false">B225+E221+B221+B223</f>
        <v>679.99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6491.43898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7178.84874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1367.39976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20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6491.43898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360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440.071167604609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355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385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17895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17895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18590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3718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22648</v>
      </c>
      <c r="F15" s="62"/>
      <c r="G15" s="273" t="n">
        <f aca="false">E15</f>
        <v>22648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22308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22648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22308</v>
      </c>
      <c r="C61" s="214"/>
      <c r="D61" s="214"/>
      <c r="E61" s="215"/>
      <c r="F61" s="62"/>
      <c r="G61" s="213" t="s">
        <v>14</v>
      </c>
      <c r="H61" s="290" t="n">
        <f aca="false">G18</f>
        <v>22308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1561.56</v>
      </c>
      <c r="C64" s="214" t="n">
        <v>10000</v>
      </c>
      <c r="D64" s="290" t="n">
        <f aca="false">B64</f>
        <v>1561.56</v>
      </c>
      <c r="E64" s="215"/>
      <c r="F64" s="62"/>
      <c r="G64" s="284" t="s">
        <v>91</v>
      </c>
      <c r="H64" s="132" t="n">
        <f aca="false">H61*H63</f>
        <v>1561.56</v>
      </c>
      <c r="I64" s="214"/>
      <c r="J64" s="290" t="n">
        <f aca="false">H64</f>
        <v>1561.56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223.08</v>
      </c>
      <c r="C67" s="214"/>
      <c r="D67" s="290"/>
      <c r="E67" s="215"/>
      <c r="F67" s="62"/>
      <c r="G67" s="284" t="s">
        <v>94</v>
      </c>
      <c r="H67" s="132" t="n">
        <f aca="false">H61*H66</f>
        <v>111.54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2888.22666666667</v>
      </c>
      <c r="C81" s="214"/>
      <c r="D81" s="214"/>
      <c r="E81" s="215"/>
      <c r="F81" s="62"/>
      <c r="G81" s="302" t="s">
        <v>103</v>
      </c>
      <c r="H81" s="303" t="n">
        <f aca="false">SUM(J64:J80)</f>
        <v>3188.06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240.685555555556</v>
      </c>
      <c r="C82" s="214"/>
      <c r="D82" s="214"/>
      <c r="E82" s="215"/>
      <c r="F82" s="62"/>
      <c r="G82" s="213" t="s">
        <v>104</v>
      </c>
      <c r="H82" s="299" t="n">
        <f aca="false">H81/H29</f>
        <v>265.671666666667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10680.272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11040.072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75.395223880597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77.9351593384429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10755.6672238806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11018.0171593384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896.30560199005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918.168096611537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896.30560199005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918.168096611537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896.30560199005</v>
      </c>
      <c r="B128" s="320" t="n">
        <f aca="false">IF(A105="YES",B89,0)</f>
        <v>0</v>
      </c>
      <c r="C128" s="325"/>
      <c r="D128" s="320" t="n">
        <f aca="false">B91</f>
        <v>896.30560199005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918.168096611537</v>
      </c>
      <c r="H130" s="176" t="n">
        <f aca="false">IF(G105="YES",H89*H57,0)</f>
        <v>0</v>
      </c>
      <c r="I130" s="176"/>
      <c r="J130" s="333" t="n">
        <f aca="false">H91</f>
        <v>918.168096611537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Monthly in advance </v>
      </c>
      <c r="B131" s="37" t="n">
        <f aca="false">B90*B57</f>
        <v>896.30560199005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918.168096611537</v>
      </c>
      <c r="H133" s="102" t="n">
        <f aca="false">IF(G105="YES",H89*H57,0)</f>
        <v>0</v>
      </c>
      <c r="I133" s="220"/>
      <c r="J133" s="183" t="n">
        <f aca="false">H91*H57</f>
        <v>918.168096611537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896.30560199005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0.135888</v>
      </c>
      <c r="H136" s="102" t="n">
        <f aca="false">IF(G105="YES",E15*0.000002,0)</f>
        <v>0.045296</v>
      </c>
      <c r="I136" s="102"/>
      <c r="J136" s="102" t="n">
        <f aca="false">G136+H136</f>
        <v>0.181184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896.30560199005</v>
      </c>
      <c r="B137" s="37" t="n">
        <f aca="false">IF(A105="YES",B89,0)</f>
        <v>0</v>
      </c>
      <c r="C137" s="316"/>
      <c r="D137" s="37" t="n">
        <f aca="false">B91</f>
        <v>896.30560199005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111.54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16.06176</v>
      </c>
      <c r="B140" s="342" t="n">
        <f aca="false">G18*0.000002*1.2*100</f>
        <v>5.35392</v>
      </c>
      <c r="C140" s="316"/>
      <c r="D140" s="342" t="n">
        <f aca="false">A140+B140</f>
        <v>21.41568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1331.528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223.08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723.07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918.168096611537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896.30560199005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896.30560199005</v>
      </c>
      <c r="B171" s="354" t="n">
        <f aca="false">IF(A105="YES",B89,0)</f>
        <v>0</v>
      </c>
      <c r="C171" s="357"/>
      <c r="D171" s="354" t="n">
        <f aca="false">B91</f>
        <v>896.30560199005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Monthly in advance </v>
      </c>
      <c r="B174" s="102" t="n">
        <f aca="false">B90*B57</f>
        <v>896.30560199005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896.30560199005</v>
      </c>
      <c r="B177" s="102" t="n">
        <f aca="false">E114</f>
        <v>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896.30560199005</v>
      </c>
      <c r="B180" s="102" t="n">
        <f aca="false">IF(A105="YES",B89,0)</f>
        <v>0</v>
      </c>
      <c r="C180" s="352"/>
      <c r="D180" s="102" t="n">
        <f aca="false">B91</f>
        <v>896.30560199005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16.06176</v>
      </c>
      <c r="B183" s="364" t="n">
        <f aca="false">G18*0.000002*1.2*100</f>
        <v>5.35392</v>
      </c>
      <c r="C183" s="352"/>
      <c r="D183" s="364" t="n">
        <f aca="false">A183+B183</f>
        <v>21.41568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223.08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723.07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1561.56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223.08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1678.47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1561.56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223.08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1678.47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75.395223880597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9" colorId="64" zoomScale="85" zoomScaleNormal="85" zoomScalePageLayoutView="100" workbookViewId="0">
      <selection pane="topLeft" activeCell="B63" activeCellId="0" sqref="B6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55495.83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55495.83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56329.16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62"/>
      <c r="H10" s="62"/>
      <c r="I10" s="15" t="s">
        <v>1</v>
      </c>
      <c r="J10" s="9" t="n">
        <f aca="false">E15-E11-J8</f>
        <v>56974.99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11394.998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69019.988</v>
      </c>
      <c r="F15" s="62"/>
      <c r="G15" s="273" t="n">
        <f aca="false">E15</f>
        <v>69019.988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68369.988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69019.988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45462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68369.988</v>
      </c>
      <c r="C61" s="214"/>
      <c r="D61" s="214"/>
      <c r="E61" s="215"/>
      <c r="F61" s="62"/>
      <c r="G61" s="213" t="s">
        <v>14</v>
      </c>
      <c r="H61" s="290" t="n">
        <f aca="false">G18</f>
        <v>68369.988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ROUND((B62+(B62*0.25*((H29/12)-1))),4)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4785.89916</v>
      </c>
      <c r="C64" s="214" t="n">
        <v>10000</v>
      </c>
      <c r="D64" s="290" t="n">
        <f aca="false">B64</f>
        <v>4785.89916</v>
      </c>
      <c r="E64" s="215"/>
      <c r="F64" s="62"/>
      <c r="G64" s="284" t="s">
        <v>91</v>
      </c>
      <c r="H64" s="132" t="n">
        <f aca="false">H61*H63</f>
        <v>4785.89916</v>
      </c>
      <c r="I64" s="214"/>
      <c r="J64" s="290" t="n">
        <f aca="false">H64</f>
        <v>4785.89916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683.69988</v>
      </c>
      <c r="C67" s="214"/>
      <c r="D67" s="290"/>
      <c r="E67" s="215"/>
      <c r="F67" s="62"/>
      <c r="G67" s="284" t="s">
        <v>94</v>
      </c>
      <c r="H67" s="132" t="n">
        <f aca="false">H61*H66</f>
        <v>341.84994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6112.56582666667</v>
      </c>
      <c r="C81" s="214"/>
      <c r="D81" s="214"/>
      <c r="E81" s="215"/>
      <c r="F81" s="62"/>
      <c r="G81" s="302" t="s">
        <v>103</v>
      </c>
      <c r="H81" s="303" t="n">
        <f aca="false">SUM(J64:J80)</f>
        <v>6439.48249333333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509.380485555556</v>
      </c>
      <c r="C82" s="214"/>
      <c r="D82" s="214"/>
      <c r="E82" s="215"/>
      <c r="F82" s="62"/>
      <c r="G82" s="213" t="s">
        <v>104</v>
      </c>
      <c r="H82" s="299" t="n">
        <f aca="false">H81/H29</f>
        <v>536.623541111111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12124.5658266667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14941.778992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102.709109463493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105.478472109722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12227.2749361302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14947.2674641097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1018.93957801085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1245.60562200914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1018.93957801085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1245.60562200914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1239.988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1018.93957801085</v>
      </c>
      <c r="B128" s="320" t="n">
        <f aca="false">IF(A105="YES",B89,0)</f>
        <v>0</v>
      </c>
      <c r="C128" s="325"/>
      <c r="D128" s="320" t="n">
        <f aca="false">B91</f>
        <v>1018.93957801085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1245.60562200914</v>
      </c>
      <c r="H130" s="176" t="n">
        <f aca="false">IF(G105="YES",H89*H57,0)</f>
        <v>0</v>
      </c>
      <c r="I130" s="176"/>
      <c r="J130" s="333" t="n">
        <f aca="false">H91</f>
        <v>1245.60562200914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 Terminal pause with 9 down </v>
      </c>
      <c r="B131" s="37" t="n">
        <f aca="false">B90*B57</f>
        <v>9170.45620209762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1245.60562200914</v>
      </c>
      <c r="H133" s="102" t="n">
        <f aca="false">IF(G105="YES",H89*H57,0)</f>
        <v>0</v>
      </c>
      <c r="I133" s="220"/>
      <c r="J133" s="183" t="n">
        <f aca="false">H91*H57</f>
        <v>1245.60562200914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9170.45620209762</v>
      </c>
      <c r="B134" s="37" t="n">
        <f aca="false">E114</f>
        <v>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0.414119928</v>
      </c>
      <c r="H136" s="102" t="n">
        <f aca="false">IF(G105="YES",E15*0.000002,0)</f>
        <v>0.138039976</v>
      </c>
      <c r="I136" s="102"/>
      <c r="J136" s="102" t="n">
        <f aca="false">G136+H136</f>
        <v>0.552159904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1018.93957801085</v>
      </c>
      <c r="B137" s="37" t="n">
        <f aca="false">IF(A105="YES",B89,0)</f>
        <v>0</v>
      </c>
      <c r="C137" s="316"/>
      <c r="D137" s="37" t="n">
        <f aca="false">B91</f>
        <v>1018.93957801085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341.84994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41.0219928</v>
      </c>
      <c r="B140" s="342" t="n">
        <f aca="false">G18*0.000002*100</f>
        <v>13.6739976</v>
      </c>
      <c r="C140" s="316"/>
      <c r="D140" s="342" t="n">
        <f aca="false">A140+B140</f>
        <v>54.6959904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1561.83794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683.69988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1183.68988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1245.60562200914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1018.93957801085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1018.93957801085</v>
      </c>
      <c r="B171" s="354" t="n">
        <f aca="false">IF(A105="YES",B89,0)</f>
        <v>0</v>
      </c>
      <c r="C171" s="357"/>
      <c r="D171" s="354" t="n">
        <f aca="false">B91</f>
        <v>1018.93957801085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 Terminal pause with 9 down </v>
      </c>
      <c r="B174" s="102" t="n">
        <f aca="false">B90*B57</f>
        <v>9170.45620209762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9170.45620209762</v>
      </c>
      <c r="B177" s="102" t="n">
        <f aca="false">E114</f>
        <v>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1018.93957801085</v>
      </c>
      <c r="B180" s="102" t="n">
        <f aca="false">IF(A105="YES",B89,0)</f>
        <v>0</v>
      </c>
      <c r="C180" s="352"/>
      <c r="D180" s="102" t="n">
        <f aca="false">B91</f>
        <v>1018.93957801085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41.0219928</v>
      </c>
      <c r="B183" s="364" t="n">
        <f aca="false">G18*0.000002*100</f>
        <v>13.6739976</v>
      </c>
      <c r="C183" s="352"/>
      <c r="D183" s="364" t="n">
        <f aca="false">A183+B183</f>
        <v>54.6959904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683.69988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1183.68988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4785.89916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683.69988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4442.18928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4785.89916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683.69988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4442.18928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102.709109463493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131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2020-12-02T11:02:00Z</dcterms:created>
  <dc:creator>Kushal Panchal</dc:creator>
  <dc:language>en-US</dc:language>
  <dcterms:modified xsi:type="dcterms:W3CDTF">2024-06-18T16:13:48Z</dcterms:modified>
  <cp:revision>945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