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<sst xmlns="http://schemas.openxmlformats.org/spreadsheetml/2006/main" count="33549" uniqueCount="428">
  <si>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</si>
  <si>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</si>
  <si>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</si>
  <si>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</si>
  <si>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</si>
  <si>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</si>
  <si>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</si>
  <si>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</si>
  <si>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</si>
  <si>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</si>
  <si>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</si>
  <si>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</si>
  <si>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</si>
  <si>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</si>
  <si>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</si>
  <si>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</si>
  <si>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</si>
  <si>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</si>
  <si>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</si>
  <si>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</si>
  <si>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</si>
  <si>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</si>
  <si>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</si>
  <si>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</si>
  <si>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</si>
  <si>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</si>
  <si>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</si>
  <si>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</si>
  <si>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</si>
  <si>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</si>
  <si>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</si>
  <si>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</si>
  <si>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</si>
  <si>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</si>
  <si>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</si>
  <si>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</si>
  <si>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</si>
  <si>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</si>
  <si>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</si>
  <si>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</si>
  <si>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</si>
  <si>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</si>
  <si>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</si>
  <si>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</si>
  <si>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</si>
  <si>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</si>
  <si>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</si>
  <si>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</si>
  <si>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</si>
  <si>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</si>
  <si>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</si>
  <si>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</si>
  <si>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</si>
  <si>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</si>
  <si>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</si>
  <si>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</si>
  <si>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</si>
  <si>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</si>
  <si>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</si>
  <si>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</si>
  <si>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</si>
  <si>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</si>
  <si>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</si>
  <si>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</si>
  <si>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</si>
  <si>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</si>
  <si>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</si>
  <si>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</si>
  <si>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</si>
  <si>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</si>
  <si>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</si>
  <si>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</si>
  <si>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</si>
  <si>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</si>
  <si>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</si>
  <si>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</si>
  <si>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</si>
  <si>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</si>
  <si>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</si>
  <si>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</si>
  <si>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</si>
  <si>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</si>
  <si>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</si>
  <si>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</si>
  <si>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</si>
  <si>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</si>
  <si>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</si>
  <si>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</si>
  <si>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</si>
  <si>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</si>
  <si>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</si>
  <si>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</si>
  <si>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</si>
  <si>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</si>
  <si>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</si>
  <si>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</si>
  <si>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</si>
  <si>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</si>
  <si>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</si>
  <si>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</si>
  <si>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</si>
  <si>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</si>
  <si>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</si>
  <si>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</si>
  <si>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</si>
  <si>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</si>
  <si>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</si>
  <si>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</si>
  <si>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</si>
  <si>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</si>
  <si>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</si>
  <si>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</si>
  <si>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</si>
  <si>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</si>
  <si>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</si>
  <si>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</si>
  <si>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</si>
  <si>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</si>
  <si>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</si>
  <si>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</si>
  <si>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</si>
  <si>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</si>
  <si>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</si>
  <si>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</si>
  <si>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</si>
  <si>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</si>
  <si>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</si>
  <si>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</si>
  <si>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</si>
  <si>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</si>
  <si>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</si>
  <si>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</si>
  <si>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</si>
  <si>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</si>
  <si>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</si>
  <si>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</si>
  <si>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</si>
  <si>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</si>
  <si>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</si>
  <si>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</si>
  <si>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</si>
  <si>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</si>
  <si>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</si>
  <si>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</si>
  <si>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</si>
  <si>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</si>
  <si>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</si>
  <si>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</si>
  <si>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</si>
  <si>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</si>
  <si>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</si>
  <si>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</si>
  <si>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</si>
  <si>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</si>
  <si>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</si>
  <si>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</si>
  <si>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</si>
  <si>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</si>
  <si>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</si>
  <si>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</si>
  <si>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</si>
  <si>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</si>
  <si>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</si>
  <si>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</si>
  <si>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</si>
  <si>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</si>
  <si>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</si>
  <si>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</si>
  <si>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</si>
  <si>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</si>
  <si>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</si>
  <si>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</si>
  <si>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</si>
  <si>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</si>
  <si>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</si>
  <si>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</si>
  <si>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</si>
  <si>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</si>
  <si>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</si>
  <si>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</si>
  <si>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</si>
  <si>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</si>
  <si>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</si>
  <si>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</si>
  <si>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</si>
  <si>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</si>
  <si>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</si>
  <si>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</si>
  <si>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</si>
  <si>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</si>
  <si>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</si>
  <si>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</si>
  <si>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</si>
  <si>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</si>
  <si>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</si>
  <si>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</si>
  <si>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</si>
  <si>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</si>
  <si>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</si>
  <si>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</si>
  <si>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</si>
  <si>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</si>
  <si>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</si>
  <si>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</si>
  <si>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</si>
  <si>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</si>
  <si>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</si>
  <si>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</si>
  <si>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</si>
  <si>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</si>
  <si>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</si>
  <si>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</si>
  <si>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</si>
  <si>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</si>
  <si>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</si>
  <si>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</si>
  <si>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</si>
  <si>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</si>
  <si>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</si>
  <si>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</si>
  <si>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</si>
  <si>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</si>
  <si>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</si>
  <si>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</si>
  <si>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</si>
  <si>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</si>
  <si>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</si>
  <si>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</si>
  <si>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</si>
  <si>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</si>
  <si>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</si>
  <si>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</si>
  <si>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</si>
  <si>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</si>
  <si>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</si>
  <si>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</si>
  <si>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</si>
  <si>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</si>
  <si>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</si>
  <si>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</si>
  <si>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</si>
  <si>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</si>
  <si>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</si>
  <si>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</si>
  <si>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</si>
  <si>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</si>
  <si>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</si>
  <si>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</si>
  <si>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</si>
  <si>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</si>
  <si>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</si>
  <si>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</si>
  <si>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</si>
  <si>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</si>
  <si>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</si>
  <si>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</si>
  <si>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</si>
  <si>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</si>
  <si>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</si>
  <si>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</si>
  <si>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</si>
  <si>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</si>
  <si>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</si>
  <si>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</si>
  <si>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</si>
  <si>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</si>
  <si>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</si>
  <si>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</si>
  <si>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</si>
  <si>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</si>
  <si>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</si>
  <si>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</si>
  <si>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</si>
  <si>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</si>
  <si>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</si>
  <si>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</si>
  <si>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</si>
  <si>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</si>
  <si>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</si>
  <si>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</si>
  <si>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</si>
  <si>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</si>
  <si>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</si>
  <si>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</si>
  <si>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</si>
  <si>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</si>
  <si>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</si>
  <si>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</si>
  <si>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</si>
  <si>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</si>
  <si>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</si>
  <si>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</si>
  <si>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</si>
  <si>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</si>
  <si>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</si>
  <si>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</si>
  <si>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</si>
  <si>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</si>
  <si>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</si>
  <si>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</si>
  <si>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</si>
  <si>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</si>
  <si>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</si>
  <si>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</si>
  <si>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</si>
  <si>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</si>
  <si>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</si>
  <si>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</si>
  <si>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</si>
  <si>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</si>
  <si>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</si>
  <si>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</si>
  <si>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</si>
  <si>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</si>
  <si>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</si>
  <si>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</si>
  <si>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</si>
  <si>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</si>
  <si>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</si>
  <si>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</si>
  <si>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</si>
  <si>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</si>
  <si>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</si>
  <si>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</si>
  <si>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</si>
  <si>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</si>
  <si>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</si>
  <si>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</si>
  <si>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</si>
  <si>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</si>
  <si>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</si>
  <si>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</si>
  <si>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</si>
  <si>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</si>
  <si>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</si>
  <si>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</si>
  <si>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</si>
  <si>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</si>
  <si>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</si>
  <si>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</si>
  <si>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</si>
  <si>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</si>
  <si>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</si>
  <si>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</si>
  <si>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</si>
  <si>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</si>
  <si>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</si>
  <si>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</si>
  <si>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</si>
  <si>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</si>
  <si>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</si>
  <si>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</si>
  <si>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</si>
  <si>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</si>
  <si>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</si>
  <si>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</si>
  <si>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</si>
  <si>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</si>
  <si>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</si>
  <si>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</si>
  <si>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</si>
  <si>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</si>
  <si>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</si>
  <si>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</si>
  <si>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</si>
  <si>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</si>
  <si>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</si>
  <si>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</si>
  <si>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</si>
  <si>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</si>
  <si>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</si>
  <si>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</si>
  <si>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</si>
  <si>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</si>
  <si>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</si>
  <si>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</si>
  <si>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</si>
  <si>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</si>
  <si>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</si>
  <si>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</si>
  <si>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</si>
  <si>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</si>
  <si>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</si>
  <si>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</si>
  <si>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</si>
  <si>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</si>
  <si>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</si>
  <si>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</si>
  <si>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</si>
  <si>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</si>
  <si>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</si>
  <si>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69019.99</t>
  </si>
  <si>
    <t xml:space="preserve">8.19</t>
  </si>
  <si>
    <t xml:space="preserve">60</t>
  </si>
  <si>
    <t xml:space="preserve">2</t>
  </si>
  <si>
    <t xml:space="preserve">103529.98</t>
  </si>
  <si>
    <t xml:space="preserve">Default Broker Margin </t>
  </si>
  <si>
    <t xml:space="preserve">RFL included?</t>
  </si>
  <si>
    <t>YES</t>
  </si>
  <si>
    <t>0</t>
  </si>
  <si>
    <t>50</t>
  </si>
  <si>
    <t>A1 Credit</t>
  </si>
  <si>
    <t>199.99</t>
  </si>
  <si>
    <t>NO</t>
  </si>
  <si>
    <t>69019.99</t>
  </si>
  <si>
    <t>1000</t>
  </si>
  <si>
    <t>33</t>
  </si>
  <si>
    <t>5000</t>
  </si>
  <si>
    <t>500</t>
  </si>
  <si>
    <t>609.18</t>
  </si>
  <si>
    <t>12</t>
  </si>
  <si>
    <t>Limited Credit</t>
  </si>
  <si>
    <t>239.99</t>
  </si>
  <si>
    <t>60</t>
  </si>
  <si>
    <t>100</t>
  </si>
  <si>
    <t>200</t>
  </si>
  <si>
    <t xml:space="preserve"> Terminal pause with 6 down </t>
  </si>
  <si>
    <t>40</t>
  </si>
  <si>
    <t>6000</t>
  </si>
  <si>
    <t>10</t>
  </si>
  <si>
    <t>1</t>
  </si>
  <si>
    <t>20</t>
  </si>
  <si>
    <t>70</t>
  </si>
  <si>
    <t>30</t>
  </si>
  <si>
    <t>8.19</t>
  </si>
  <si>
    <t>2</t>
  </si>
  <si>
    <t>46013.32</t>
  </si>
  <si>
    <t>103529.98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</si>
</sst>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1" sqref="A76:B76 C6"/>
    </sheetView>
  </sheetViews>
  <sheetFormatPr defaultColWidth="10.378906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10</v>
      </c>
      <c r="B3" s="0" t="n">
        <v>20</v>
      </c>
      <c r="C3" s="0" t="n">
        <v>500</v>
      </c>
    </row>
    <row r="4" customFormat="false" ht="12.8" hidden="false" customHeight="false" outlineLevel="0" collapsed="false">
      <c r="A4" s="0" t="n">
        <v>26</v>
      </c>
      <c r="B4" s="0" t="n">
        <v>45</v>
      </c>
      <c r="C4" s="0" t="n">
        <v>200</v>
      </c>
    </row>
    <row r="5" customFormat="false" ht="12.8" hidden="false" customHeight="false" outlineLevel="0" collapsed="false">
      <c r="A5" s="0" t="n">
        <v>47</v>
      </c>
      <c r="B5" s="0" t="n">
        <v>76</v>
      </c>
      <c r="C5" s="0" t="n">
        <v>300</v>
      </c>
    </row>
    <row r="6" customFormat="false" ht="12.8" hidden="false" customHeight="false" outlineLevel="0" collapsed="false">
      <c r="A6" s="0" t="n">
        <v>77</v>
      </c>
      <c r="B6" s="0" t="n">
        <v>84</v>
      </c>
      <c r="C6" s="0" t="n">
        <v>400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23</v>
      </c>
      <c r="C13" s="0" t="n">
        <v>2</v>
      </c>
    </row>
    <row r="14" customFormat="false" ht="12.8" hidden="false" customHeight="false" outlineLevel="0" collapsed="false">
      <c r="A14" s="0" t="n">
        <v>24</v>
      </c>
      <c r="B14" s="0" t="n">
        <v>35</v>
      </c>
      <c r="C14" s="0" t="n">
        <v>3.55</v>
      </c>
    </row>
    <row r="15" customFormat="false" ht="12.8" hidden="false" customHeight="false" outlineLevel="0" collapsed="false">
      <c r="A15" s="0" t="n">
        <v>48</v>
      </c>
      <c r="B15" s="0" t="n">
        <v>60</v>
      </c>
      <c r="C15" s="0" t="n">
        <v>5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6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3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12</v>
      </c>
      <c r="B21" s="0" t="n">
        <v>23</v>
      </c>
      <c r="C21" s="0" t="n">
        <v>1.5</v>
      </c>
    </row>
    <row r="22" customFormat="false" ht="13.8" hidden="false" customHeight="false" outlineLevel="0" collapsed="false">
      <c r="A22" s="0" t="n">
        <v>36</v>
      </c>
      <c r="B22" s="0" t="n">
        <v>45</v>
      </c>
      <c r="C22" s="0" t="n">
        <v>2.5</v>
      </c>
    </row>
    <row r="23" customFormat="false" ht="13.8" hidden="false" customHeight="false" outlineLevel="0" collapsed="false">
      <c r="A23" s="0" t="n">
        <v>24</v>
      </c>
      <c r="B23" s="0" t="n">
        <v>30</v>
      </c>
      <c r="C23" s="0" t="n">
        <v>3.5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4.5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5.5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20750.004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20750.004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86.45835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204.450016666667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20750.004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86.45835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2412.79001666667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749.655337201948</v>
      </c>
      <c r="C263" s="201"/>
      <c r="D263" s="202" t="s">
        <v>226</v>
      </c>
      <c r="E263" s="202"/>
      <c r="F263" s="204" t="n">
        <f aca="false">F270+F276+F278+B279+B280</f>
        <v>103.75002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925.896983868615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103.75002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925.896983868615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243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21249.996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21249.996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88.54165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188.53165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21249.996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88.54165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2188.53165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772.913723223064</v>
      </c>
      <c r="C263" s="201"/>
      <c r="D263" s="202" t="s">
        <v>226</v>
      </c>
      <c r="E263" s="202"/>
      <c r="F263" s="204" t="n">
        <f aca="false">F270+F276+F278+B279+B280</f>
        <v>106.24998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766.653743223064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106.24998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766.653743223064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633.617168397217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633.617168397217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1781.61316839722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1775.35485506389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1775.35485506389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766.659665241123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766.659665241123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341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0</v>
      </c>
      <c r="C223" s="340" t="s">
        <v>228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252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361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5360.68917315442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666.101088347751</v>
      </c>
      <c r="C89" s="97"/>
      <c r="D89" s="97"/>
      <c r="E89" s="117"/>
      <c r="F89" s="35" t="s">
        <v>123</v>
      </c>
      <c r="G89" s="37" t="n">
        <f aca="false">(G88/G87)</f>
        <v>605.265443954876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22647.4370038235</v>
      </c>
      <c r="C90" s="97"/>
      <c r="D90" s="97"/>
      <c r="E90" s="117"/>
      <c r="F90" s="35" t="s">
        <v>124</v>
      </c>
      <c r="G90" s="37" t="n">
        <f aca="false">((G89*(G85))+G77)</f>
        <v>21184.2905384206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22647.4370038235</v>
      </c>
      <c r="C92" s="97"/>
      <c r="D92" s="97"/>
      <c r="E92" s="117"/>
      <c r="F92" s="60" t="s">
        <v>126</v>
      </c>
      <c r="G92" s="69" t="n">
        <f aca="false">(G90+G91)</f>
        <v>21184.2905384206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666.101088347751</v>
      </c>
      <c r="C95" s="97"/>
      <c r="D95" s="97"/>
      <c r="E95" s="117"/>
      <c r="F95" s="99" t="s">
        <v>128</v>
      </c>
      <c r="G95" s="100" t="n">
        <f aca="false">G92/(G85)</f>
        <v>605.265443954876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666.101088347751</v>
      </c>
      <c r="C96" s="97"/>
      <c r="D96" s="97"/>
      <c r="E96" s="117"/>
      <c r="F96" s="101" t="s">
        <v>129</v>
      </c>
      <c r="G96" s="102" t="n">
        <f aca="false">G94+G95</f>
        <v>605.265443954876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666.101088347751</v>
      </c>
      <c r="B167" s="181" t="str">
        <f aca="false">B94</f>
        <v>0</v>
      </c>
      <c r="C167" s="178"/>
      <c r="D167" s="178"/>
      <c r="E167" s="181" t="n">
        <f aca="false">B96</f>
        <v>666.101088347751</v>
      </c>
      <c r="F167" s="27"/>
      <c r="G167" s="27" t="n">
        <f aca="false">ROUND(G95,2)</f>
        <v>605.27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4063.54209217128</v>
      </c>
      <c r="B182" s="107" t="str">
        <f aca="false">B114</f>
        <v>239.99</v>
      </c>
      <c r="C182" s="107"/>
      <c r="D182" s="27"/>
      <c r="E182" s="107" t="n">
        <f aca="false">E179+A182+B182+A185</f>
        <v>23563.5280921713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676.101088347751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80.2083166666667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180.199983333333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666.101088347751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1934.454</v>
      </c>
      <c r="B201" s="190" t="n">
        <f aca="false">E179+A201+B182+A185</f>
        <v>21434.44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666.101088347751</v>
      </c>
      <c r="B212" s="181" t="str">
        <f aca="false">B167</f>
        <v>0</v>
      </c>
      <c r="C212" s="178"/>
      <c r="D212" s="178"/>
      <c r="E212" s="181" t="n">
        <f aca="false">E167</f>
        <v>666.101088347751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4063.54209217128</v>
      </c>
      <c r="B224" s="107" t="str">
        <f aca="false">B182</f>
        <v>239.99</v>
      </c>
      <c r="C224" s="107"/>
      <c r="D224" s="117"/>
      <c r="E224" s="107" t="n">
        <f aca="false">E182</f>
        <v>23563.5280921713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666.101088347751</v>
      </c>
      <c r="B230" s="107" t="str">
        <f aca="false">B167</f>
        <v>0</v>
      </c>
      <c r="C230" s="190"/>
      <c r="D230" s="190"/>
      <c r="E230" s="107" t="n">
        <f aca="false">E167</f>
        <v>666.101088347751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676.101088347751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2139.08809217128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2142.82977883795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2139.08809217128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2142.82977883795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4723.13250131329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1126.91130775091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21411.3148472673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21411.3148472673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1126.91130775091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1177.69025511933</v>
      </c>
      <c r="C96" s="97"/>
      <c r="D96" s="97"/>
      <c r="E96" s="117"/>
      <c r="F96" s="101" t="s">
        <v>129</v>
      </c>
      <c r="G96" s="102" t="n">
        <f aca="false">G94+G95</f>
        <v>1073.31744575394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1126.91130775091</v>
      </c>
      <c r="B167" s="181" t="n">
        <f aca="false">B94</f>
        <v>50.7789473684211</v>
      </c>
      <c r="C167" s="178"/>
      <c r="D167" s="178"/>
      <c r="E167" s="181" t="n">
        <f aca="false">B96</f>
        <v>1177.69025511933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3339.00910238659</v>
      </c>
      <c r="B182" s="107" t="str">
        <f aca="false">B114</f>
        <v>199.99</v>
      </c>
      <c r="C182" s="107"/>
      <c r="D182" s="27"/>
      <c r="E182" s="107" t="n">
        <f aca="false">E179+A182+(B182*1.2)+A185</f>
        <v>22838.9931023866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1187.69025511933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80.2083166666667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196.278316666667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1177.69025511933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1126.91130775091</v>
      </c>
      <c r="B212" s="181" t="n">
        <f aca="false">B167</f>
        <v>50.7789473684211</v>
      </c>
      <c r="C212" s="178"/>
      <c r="D212" s="178"/>
      <c r="E212" s="181" t="n">
        <f aca="false">E167</f>
        <v>1177.69025511933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3339.00910238659</v>
      </c>
      <c r="B224" s="107" t="str">
        <f aca="false">B182</f>
        <v>199.99</v>
      </c>
      <c r="C224" s="107"/>
      <c r="D224" s="117"/>
      <c r="E224" s="107" t="n">
        <f aca="false">E182</f>
        <v>22838.9931023866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1126.91130775091</v>
      </c>
      <c r="B230" s="107" t="n">
        <f aca="false">B167</f>
        <v>50.7789473684211</v>
      </c>
      <c r="C230" s="190"/>
      <c r="D230" s="190"/>
      <c r="E230" s="107" t="n">
        <f aca="false">E167</f>
        <v>1177.69025511933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1187.69025511933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2196.27831666667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2148.2051023866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260.79</v>
      </c>
      <c r="C255" s="201"/>
      <c r="D255" s="202" t="s">
        <v>228</v>
      </c>
      <c r="E255" s="202"/>
      <c r="F255" s="204" t="n">
        <f aca="false">(B254-F254)+B255</f>
        <v>2312.7451223866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2148.2051023866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2312.7451223866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4917.14201428895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639.375331040146</v>
      </c>
      <c r="C89" s="97"/>
      <c r="D89" s="97"/>
      <c r="E89" s="117"/>
      <c r="F89" s="35" t="s">
        <v>123</v>
      </c>
      <c r="G89" s="37" t="n">
        <f aca="false">(G88/G87)</f>
        <v>594.383991150021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23017.5119174452</v>
      </c>
      <c r="C90" s="97"/>
      <c r="D90" s="97"/>
      <c r="E90" s="117"/>
      <c r="F90" s="35" t="s">
        <v>124</v>
      </c>
      <c r="G90" s="37" t="n">
        <f aca="false">((G89*(G85))+G77)</f>
        <v>21397.8236814007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23017.5119174452</v>
      </c>
      <c r="C92" s="97"/>
      <c r="D92" s="97"/>
      <c r="E92" s="117"/>
      <c r="F92" s="60" t="s">
        <v>126</v>
      </c>
      <c r="G92" s="69" t="n">
        <f aca="false">(G90+G91)</f>
        <v>21397.8236814007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639.375331040146</v>
      </c>
      <c r="C95" s="97"/>
      <c r="D95" s="97"/>
      <c r="E95" s="117"/>
      <c r="F95" s="99" t="s">
        <v>128</v>
      </c>
      <c r="G95" s="100" t="n">
        <f aca="false">G92/(G85)</f>
        <v>594.383991150021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639.375331040146</v>
      </c>
      <c r="C96" s="97"/>
      <c r="D96" s="97"/>
      <c r="E96" s="117"/>
      <c r="F96" s="101" t="s">
        <v>129</v>
      </c>
      <c r="G96" s="102" t="n">
        <f aca="false">G94+G95</f>
        <v>594.383991150021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639.375331040146</v>
      </c>
      <c r="B167" s="181" t="str">
        <f aca="false">B94</f>
        <v>0</v>
      </c>
      <c r="C167" s="178"/>
      <c r="D167" s="178"/>
      <c r="E167" s="181" t="n">
        <f aca="false">B96</f>
        <v>639.375331040146</v>
      </c>
      <c r="F167" s="27"/>
      <c r="G167" s="27" t="n">
        <f aca="false">ROUND(G95,2)</f>
        <v>594.38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3767.51591744524</v>
      </c>
      <c r="B182" s="107" t="str">
        <f aca="false">B114</f>
        <v>239.99</v>
      </c>
      <c r="C182" s="107"/>
      <c r="D182" s="27"/>
      <c r="E182" s="107" t="n">
        <f aca="false">E179+A182+B182+A185</f>
        <v>23267.5019174452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649.375331040146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96.24998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639.375331040146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2147.684</v>
      </c>
      <c r="B201" s="190" t="n">
        <f aca="false">E179+A201+B182+A185</f>
        <v>21647.67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639.375331040146</v>
      </c>
      <c r="B212" s="181" t="str">
        <f aca="false">B167</f>
        <v>0</v>
      </c>
      <c r="C212" s="178"/>
      <c r="D212" s="178"/>
      <c r="E212" s="181" t="n">
        <f aca="false">E167</f>
        <v>639.375331040146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3767.51591744524</v>
      </c>
      <c r="B224" s="107" t="str">
        <f aca="false">B182</f>
        <v>239.99</v>
      </c>
      <c r="C224" s="107"/>
      <c r="D224" s="117"/>
      <c r="E224" s="107" t="n">
        <f aca="false">E182</f>
        <v>23267.5019174452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639.375331040146</v>
      </c>
      <c r="B230" s="107" t="str">
        <f aca="false">B167</f>
        <v>0</v>
      </c>
      <c r="C230" s="190"/>
      <c r="D230" s="190"/>
      <c r="E230" s="107" t="n">
        <f aca="false">E167</f>
        <v>639.375331040146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649.375331040146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1629.83191744524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1633.57360411191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1629.83191744524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1633.57360411191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2" activeCellId="1" sqref="A76:B76 A182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3758.98575876213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106.944422222222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1076.16674235348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21523.3348470696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21523.3348470696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1076.16674235348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1128.42674235348</v>
      </c>
      <c r="C96" s="97"/>
      <c r="D96" s="97"/>
      <c r="E96" s="117"/>
      <c r="F96" s="101" t="s">
        <v>129</v>
      </c>
      <c r="G96" s="102" t="n">
        <f aca="false">G94+G95</f>
        <v>1074.79849838552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1076.16674235348</v>
      </c>
      <c r="B167" s="181" t="n">
        <f aca="false">B94</f>
        <v>52.26</v>
      </c>
      <c r="C167" s="178"/>
      <c r="D167" s="178"/>
      <c r="E167" s="181" t="n">
        <f aca="false">B96</f>
        <v>1128.42674235348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2325.59884706958</v>
      </c>
      <c r="B182" s="107" t="str">
        <f aca="false">B114</f>
        <v>199.99</v>
      </c>
      <c r="C182" s="107"/>
      <c r="D182" s="27"/>
      <c r="E182" s="107" t="n">
        <f aca="false">E179+A182+(B182*1.2)+A185</f>
        <v>21825.5828470696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1138.42674235348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106.944422222222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231.054422222222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1128.42674235348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1076.16674235348</v>
      </c>
      <c r="B212" s="181" t="n">
        <f aca="false">B167</f>
        <v>52.26</v>
      </c>
      <c r="C212" s="178"/>
      <c r="D212" s="178"/>
      <c r="E212" s="181" t="n">
        <f aca="false">E167</f>
        <v>1128.42674235348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2325.59884706958</v>
      </c>
      <c r="B224" s="107" t="str">
        <f aca="false">B182</f>
        <v>199.99</v>
      </c>
      <c r="C224" s="107"/>
      <c r="D224" s="117"/>
      <c r="E224" s="107" t="n">
        <f aca="false">E182</f>
        <v>21825.5828470696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1076.16674235348</v>
      </c>
      <c r="B230" s="107" t="n">
        <f aca="false">B167</f>
        <v>52.26</v>
      </c>
      <c r="C230" s="190"/>
      <c r="D230" s="190"/>
      <c r="E230" s="107" t="n">
        <f aca="false">E167</f>
        <v>1128.42674235348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1138.42674235348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106.944422222222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2231.05442222223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1134.79484706958</v>
      </c>
      <c r="C254" s="201"/>
      <c r="D254" s="202" t="s">
        <v>226</v>
      </c>
      <c r="E254" s="202"/>
      <c r="F254" s="204" t="n">
        <f aca="false">F261+F267+F269+B270+B271</f>
        <v>128.333306666667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341.19</v>
      </c>
      <c r="C255" s="201"/>
      <c r="D255" s="202" t="s">
        <v>228</v>
      </c>
      <c r="E255" s="202"/>
      <c r="F255" s="204" t="n">
        <f aca="false">(B254-F254)+B255</f>
        <v>1347.65154040292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1134.79484706958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0.00666666666666667</v>
      </c>
      <c r="C261" s="36"/>
      <c r="D261" s="170" t="s">
        <v>231</v>
      </c>
      <c r="E261" s="170"/>
      <c r="F261" s="155" t="n">
        <f aca="false">B68*1.2</f>
        <v>128.333306666667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1347.65154040292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240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240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825</v>
      </c>
      <c r="C76" s="219"/>
      <c r="D76" s="294" t="n">
        <f aca="false">B76</f>
        <v>825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45.7142857142857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12266.6666666667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350.47619047619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838.034065003244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29553.4144973358</v>
      </c>
      <c r="C85" s="479"/>
      <c r="D85" s="479"/>
      <c r="E85" s="472" t="n">
        <f aca="false">B85/(B58+B57)</f>
        <v>844.383271352451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250.351635515955</v>
      </c>
      <c r="C86" s="479" t="s">
        <v>240</v>
      </c>
      <c r="D86" s="219"/>
      <c r="E86" s="472" t="n">
        <f aca="false">B86/(B58+B57)</f>
        <v>7.15290387188442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29803.7661328517</v>
      </c>
      <c r="C87" s="479"/>
      <c r="D87" s="481"/>
      <c r="E87" s="472" t="n">
        <f aca="false">E86+E85</f>
        <v>851.536175224335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851.536175224335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851.536175224335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851.536175224335</v>
      </c>
      <c r="B128" s="325" t="n">
        <f aca="false">IF(A105="YES",B89,0)</f>
        <v>0</v>
      </c>
      <c r="C128" s="329"/>
      <c r="D128" s="325" t="n">
        <f aca="false">B91</f>
        <v>851.536175224335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851.536175224335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851.536175224335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851.536175224335</v>
      </c>
      <c r="B137" s="42" t="n">
        <f aca="false">IF(A105="YES",B89,0)</f>
        <v>0</v>
      </c>
      <c r="C137" s="321"/>
      <c r="D137" s="42" t="n">
        <f aca="false">B91</f>
        <v>851.536175224335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851.536175224335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851.536175224335</v>
      </c>
      <c r="B177" s="362" t="n">
        <f aca="false">IF(A105="YES",B89,0)</f>
        <v>0</v>
      </c>
      <c r="C177" s="364"/>
      <c r="D177" s="362" t="n">
        <f aca="false">B91</f>
        <v>851.536175224335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851.536175224335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851.536175224335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851.536175224335</v>
      </c>
      <c r="B186" s="107" t="n">
        <f aca="false">IF(A105="YES",B89,0)</f>
        <v>0</v>
      </c>
      <c r="C186" s="360"/>
      <c r="D186" s="107" t="n">
        <f aca="false">B91</f>
        <v>851.536175224335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250.351635515955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98.95835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216.950016666667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2008.62001666667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984.684975439895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984.684975439895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98.95835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198.94835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1990.61835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804.683308773228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804.683308773228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67" activeCellId="1" sqref="A76:B76 B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1161.14656630781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-739.123999999996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1161.14656630781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1910.27056630781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1891.51221297448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1891.51221297448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804.684975439895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804.684975439895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160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4.5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180</v>
      </c>
      <c r="C80" s="321"/>
      <c r="D80" s="321"/>
      <c r="E80" s="395" t="n">
        <f aca="false">E79+D82</f>
        <v>809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67.4166666666667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300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100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160</v>
      </c>
      <c r="C229" s="340" t="s">
        <v>236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300</v>
      </c>
      <c r="C233" s="389" t="s">
        <v>338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100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838.75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69.8958333333333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5040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561.810044991295</v>
      </c>
      <c r="C96" s="97"/>
      <c r="D96" s="97"/>
      <c r="E96" s="117"/>
      <c r="F96" s="101" t="s">
        <v>129</v>
      </c>
      <c r="G96" s="102" t="n">
        <f aca="false">G94+G95</f>
        <v>465.397318316458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80.2285714285714</v>
      </c>
      <c r="C167" s="178"/>
      <c r="D167" s="178"/>
      <c r="E167" s="181" t="n">
        <f aca="false">B96</f>
        <v>561.810044991295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239.99</v>
      </c>
      <c r="C182" s="107"/>
      <c r="D182" s="27"/>
      <c r="E182" s="107" t="n">
        <f aca="false">E179+A182+B182+A185</f>
        <v>31180.3415746953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253.99165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561.810044991295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E179+A201+B182+A185</f>
        <v>28273.89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80.2285714285714</v>
      </c>
      <c r="C212" s="178"/>
      <c r="D212" s="178"/>
      <c r="E212" s="181" t="n">
        <f aca="false">E167</f>
        <v>561.810044991295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239.99</v>
      </c>
      <c r="C224" s="107"/>
      <c r="D224" s="117"/>
      <c r="E224" s="107" t="n">
        <f aca="false">E182</f>
        <v>31180.3415746953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80.2285714285714</v>
      </c>
      <c r="C230" s="190"/>
      <c r="D230" s="190"/>
      <c r="E230" s="107" t="n">
        <f aca="false">E167</f>
        <v>561.810044991295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2212.32165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3436.44326136198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3436.44326136198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543.295759277009</v>
      </c>
      <c r="C96" s="97"/>
      <c r="D96" s="97"/>
      <c r="E96" s="117"/>
      <c r="F96" s="101" t="s">
        <v>129</v>
      </c>
      <c r="G96" s="102" t="n">
        <f aca="false">G94+G95</f>
        <v>460.254461173601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61.7142857142857</v>
      </c>
      <c r="C167" s="178"/>
      <c r="D167" s="178"/>
      <c r="E167" s="181" t="n">
        <f aca="false">B96</f>
        <v>543.295759277009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199.99</v>
      </c>
      <c r="C182" s="107"/>
      <c r="D182" s="27"/>
      <c r="E182" s="107" t="n">
        <f aca="false">E179+A182+(B182*1.2)+A185</f>
        <v>31180.3395746953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235.989983333333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543.295759277009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E179+A201+(B182*1.2)+A185</f>
        <v>28273.888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61.7142857142857</v>
      </c>
      <c r="C212" s="178"/>
      <c r="D212" s="178"/>
      <c r="E212" s="181" t="n">
        <f aca="false">E167</f>
        <v>543.295759277009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199.99</v>
      </c>
      <c r="C224" s="107"/>
      <c r="D224" s="117"/>
      <c r="E224" s="107" t="n">
        <f aca="false">E182</f>
        <v>31180.3395746953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61.7142857142857</v>
      </c>
      <c r="C230" s="190"/>
      <c r="D230" s="190"/>
      <c r="E230" s="107" t="n">
        <f aca="false">E167</f>
        <v>543.295759277009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2194.31998333333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3256.44159469531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3256.44159469531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364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40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3996.3297077507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-16215.2783333333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239.99</v>
      </c>
      <c r="C182" s="107"/>
      <c r="D182" s="27"/>
      <c r="E182" s="107" t="n">
        <f aca="false">E179+A182+B182+A185</f>
        <v>28088.3001580578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188.53335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E179+A201+B182+A185</f>
        <v>25334.04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239.99</v>
      </c>
      <c r="C224" s="107"/>
      <c r="D224" s="117"/>
      <c r="E224" s="107" t="n">
        <f aca="false">E182</f>
        <v>28088.3001580578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1980.20335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2758.00180472447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2758.00180472447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15333.33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364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6960.53471207802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19791.67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-13993.0533333333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199.99</v>
      </c>
      <c r="C182" s="107"/>
      <c r="D182" s="27"/>
      <c r="E182" s="107" t="n">
        <f aca="false">E179+A182+(B182*1.2)+A185</f>
        <v>28088.2981580578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188.531683333333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E179+A201+(B182*1.2)+A185</f>
        <v>25334.038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199.99</v>
      </c>
      <c r="C224" s="107"/>
      <c r="D224" s="117"/>
      <c r="E224" s="107" t="n">
        <f aca="false">E182</f>
        <v>28088.2981580578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4646.87168333333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2758.0001380578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2758.0001380578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0</v>
      </c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1585.5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359</v>
      </c>
      <c r="C99" s="316"/>
      <c r="D99" s="111" t="n">
        <v>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s">
        <v>360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6000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2000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Terminal pause with 9 down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Terminal pause with 9 down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1512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13975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247.084823627406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187.084823627406</v>
      </c>
      <c r="B36" s="107" t="n">
        <f aca="false">IF(B26="YES",H42,"")</f>
        <v>60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53325.0570765018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-37616.7270765017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9604.22200075439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6104.10799924561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187.084823627406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247.084823627406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247.084823627406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1979.24958</v>
      </c>
      <c r="C64" s="471" t="n">
        <v>10000</v>
      </c>
      <c r="D64" s="294" t="n">
        <f aca="false">B64</f>
        <v>1979.24958</v>
      </c>
      <c r="E64" s="472" t="n">
        <f aca="false">D64/(B58+B57)</f>
        <v>54.979155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0</v>
      </c>
      <c r="C77" s="479"/>
      <c r="D77" s="294" t="n">
        <f aca="false">B77</f>
        <v>0</v>
      </c>
      <c r="E77" s="472" t="n">
        <f aca="false">D77/(B58+B57)</f>
        <v>0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0</v>
      </c>
      <c r="C78" s="479"/>
      <c r="D78" s="294" t="n">
        <f aca="false">B78</f>
        <v>0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2759.24958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76.6458216666667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187.084823627406</v>
      </c>
      <c r="C83" s="479"/>
      <c r="D83" s="219"/>
      <c r="E83" s="472" t="n">
        <f aca="false">B83+E80+E77+E64</f>
        <v>263.730645294073</v>
      </c>
      <c r="F83" s="67"/>
      <c r="G83" s="309" t="s">
        <v>114</v>
      </c>
      <c r="H83" s="310" t="n">
        <f aca="false">H47</f>
        <v>187.084823627406</v>
      </c>
      <c r="I83" s="219"/>
      <c r="J83" s="219"/>
      <c r="K83" s="220"/>
      <c r="L83" s="67"/>
      <c r="M83" s="309" t="s">
        <v>114</v>
      </c>
      <c r="N83" s="310" t="n">
        <f aca="false">H47</f>
        <v>187.084823627406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9494.30323058663</v>
      </c>
      <c r="C85" s="479"/>
      <c r="D85" s="479"/>
      <c r="E85" s="472" t="n">
        <f aca="false">B85/(B58+B57)</f>
        <v>263.730645294073</v>
      </c>
      <c r="F85" s="67"/>
      <c r="G85" s="291" t="s">
        <v>124</v>
      </c>
      <c r="H85" s="135" t="n">
        <f aca="false">((H83*H29)+H81)*1.2</f>
        <v>9360.96438070395</v>
      </c>
      <c r="I85" s="219"/>
      <c r="J85" s="219"/>
      <c r="K85" s="220"/>
      <c r="L85" s="67"/>
      <c r="M85" s="291" t="s">
        <v>124</v>
      </c>
      <c r="N85" s="135" t="n">
        <f aca="false">((N83*H29)+N81)</f>
        <v>7457.05365058663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80.4277401542231</v>
      </c>
      <c r="C86" s="479" t="s">
        <v>240</v>
      </c>
      <c r="D86" s="219"/>
      <c r="E86" s="472" t="n">
        <f aca="false">B86/(B58+B57)</f>
        <v>2.23410389317286</v>
      </c>
      <c r="F86" s="67"/>
      <c r="G86" s="218" t="s">
        <v>125</v>
      </c>
      <c r="H86" s="304" t="n">
        <f aca="false">((((H83*H29)+H81))/(1-H70))*H70</f>
        <v>66.0818381050097</v>
      </c>
      <c r="I86" s="219"/>
      <c r="J86" s="219"/>
      <c r="K86" s="220"/>
      <c r="L86" s="67"/>
      <c r="M86" s="218" t="s">
        <v>125</v>
      </c>
      <c r="N86" s="304" t="n">
        <f aca="false">(N85/(1-N70))*N70</f>
        <v>63.1698776370791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9574.73097074085</v>
      </c>
      <c r="C87" s="479"/>
      <c r="D87" s="481"/>
      <c r="E87" s="472" t="n">
        <f aca="false">E86+E85</f>
        <v>265.964749187246</v>
      </c>
      <c r="F87" s="67"/>
      <c r="G87" s="288" t="s">
        <v>126</v>
      </c>
      <c r="H87" s="137" t="n">
        <f aca="false">IF(H110="YES",((H85+H86)-K114),(H85+H86))</f>
        <v>9427.04621880896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7520.2235282237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265.964749187246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229.927956556316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183.420086054237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337.964749187246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305.791371190462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246.639598249359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229.927956556316</v>
      </c>
      <c r="H127" s="181" t="n">
        <f aca="false">IF(G105="YES",H89*H57,0)</f>
        <v>455.180487804878</v>
      </c>
      <c r="I127" s="181"/>
      <c r="J127" s="338" t="n">
        <f aca="false">H91</f>
        <v>305.791371190462</v>
      </c>
      <c r="K127" s="220"/>
      <c r="L127" s="67"/>
      <c r="M127" s="337" t="n">
        <f aca="false">N90</f>
        <v>183.420086054237</v>
      </c>
      <c r="N127" s="181" t="n">
        <f aca="false">IF(M105="YES",N89*N57,0)</f>
        <v>379.317073170732</v>
      </c>
      <c r="O127" s="181"/>
      <c r="P127" s="181" t="n">
        <f aca="false">N91</f>
        <v>246.639598249359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265.964749187246</v>
      </c>
      <c r="B128" s="325" t="n">
        <f aca="false">IF(A105="YES",B89,0)</f>
        <v>72</v>
      </c>
      <c r="C128" s="329"/>
      <c r="D128" s="325" t="n">
        <f aca="false">B91</f>
        <v>337.964749187246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265.964749187246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1379.5677393379</v>
      </c>
      <c r="H133" s="107" t="n">
        <f aca="false">IF(G105="YES",H89*H57,0)</f>
        <v>455.180487804878</v>
      </c>
      <c r="I133" s="225"/>
      <c r="J133" s="188" t="n">
        <f aca="false">H91*H57</f>
        <v>1834.74822714277</v>
      </c>
      <c r="K133" s="220"/>
      <c r="L133" s="67"/>
      <c r="M133" s="189" t="n">
        <f aca="false">N90*N57</f>
        <v>1100.52051632542</v>
      </c>
      <c r="N133" s="107" t="n">
        <f aca="false">IF(M105="YES",N89*N57,0)</f>
        <v>379.317073170732</v>
      </c>
      <c r="O133" s="225"/>
      <c r="P133" s="188" t="n">
        <f aca="false">N91*N57</f>
        <v>1479.83758949615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337.964749187246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265.964749187246</v>
      </c>
      <c r="B137" s="42" t="n">
        <f aca="false">IF(A105="YES",B89,0)</f>
        <v>72</v>
      </c>
      <c r="C137" s="321"/>
      <c r="D137" s="42" t="n">
        <f aca="false">B91</f>
        <v>337.964749187246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0</v>
      </c>
      <c r="C148" s="42"/>
      <c r="D148" s="42" t="n">
        <f aca="false">IF(A105="YES",(B40*B105)*B125,0)*0.1</f>
        <v>43.2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143.2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305.791371190462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246.639598249359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337.964749187246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265.964749187246</v>
      </c>
      <c r="B177" s="362" t="n">
        <f aca="false">IF(A105="YES",B89,0)</f>
        <v>72</v>
      </c>
      <c r="C177" s="364"/>
      <c r="D177" s="362" t="n">
        <f aca="false">B91</f>
        <v>337.964749187246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265.964749187246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337.964749187246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265.964749187246</v>
      </c>
      <c r="B186" s="107" t="n">
        <f aca="false">IF(A105="YES",B89,0)</f>
        <v>72</v>
      </c>
      <c r="C186" s="360"/>
      <c r="D186" s="107" t="n">
        <f aca="false">B91</f>
        <v>337.964749187246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143.2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1979.24958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531.99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2511.22958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1979.24958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0</v>
      </c>
      <c r="C223" s="340" t="s">
        <v>228</v>
      </c>
      <c r="D223" s="321"/>
      <c r="E223" s="37" t="n">
        <f aca="false">(B217-B211+D211)</f>
        <v>2511.22958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80.4277401542231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2378.25</v>
      </c>
      <c r="C64" s="471" t="n">
        <v>10000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240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2378.25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1" sqref="A76:B76 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405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410</v>
      </c>
      <c r="B38" s="245" t="n">
        <f aca="false">A32-1</f>
        <v>11</v>
      </c>
      <c r="C38" s="245"/>
      <c r="D38" s="108" t="s">
        <v>408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418</v>
      </c>
      <c r="B41" s="108" t="s">
        <v>421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419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500.0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1000.0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403</v>
      </c>
      <c r="B111" s="316" t="n">
        <v>0.0</v>
      </c>
      <c r="C111" s="316"/>
      <c r="D111" s="111" t="s">
        <v>415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403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1183.69154666667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1183.69154666667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4442.19094666667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4442.19094666667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1" sqref="A76:B76 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405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410</v>
      </c>
      <c r="B38" s="245" t="n">
        <f aca="false">A32-1</f>
        <v>11</v>
      </c>
      <c r="C38" s="245"/>
      <c r="D38" s="108" t="s">
        <v>408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418</v>
      </c>
      <c r="B41" s="108" t="s">
        <v>421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400</v>
      </c>
      <c r="B44" s="108" t="s">
        <v>419</v>
      </c>
      <c r="C44" s="108"/>
      <c r="D44" s="108" t="s">
        <v>419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500.0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1000.0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398</v>
      </c>
      <c r="B111" s="316" t="n">
        <v>30.0</v>
      </c>
      <c r="C111" s="316"/>
      <c r="D111" s="111" t="s">
        <v>415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403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1201.68988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1201.68988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4622.18928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4622.18928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2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406</v>
      </c>
      <c r="B34" s="36"/>
      <c r="C34" s="45" t="s">
        <v>407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405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410</v>
      </c>
      <c r="B40" s="36"/>
      <c r="C40" s="58" t="n">
        <f aca="false">A34-1</f>
        <v>32</v>
      </c>
      <c r="D40" s="58"/>
      <c r="E40" s="36"/>
      <c r="F40" s="45" t="s">
        <v>408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409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403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398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402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199.99</v>
      </c>
      <c r="C191" s="107"/>
      <c r="D191" s="27"/>
      <c r="E191" s="107" t="n">
        <f aca="false">E188+A191+(B191*1.2)+A194</f>
        <v>80448.3407879342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387.573283333333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199.99</v>
      </c>
      <c r="C233" s="107"/>
      <c r="D233" s="117"/>
      <c r="E233" s="107" t="n">
        <f aca="false">E191</f>
        <v>80448.3407879342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387.573283333333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5421.1507879342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5176.0408479342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5421.1507879342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5176.0408479342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406</v>
      </c>
      <c r="B34" s="36"/>
      <c r="C34" s="45" t="s">
        <v>407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405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410</v>
      </c>
      <c r="B40" s="36"/>
      <c r="C40" s="58" t="n">
        <f aca="false">A34-1</f>
        <v>32</v>
      </c>
      <c r="D40" s="58"/>
      <c r="E40" s="36"/>
      <c r="F40" s="45" t="s">
        <v>408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409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403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398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412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387.57495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387.57495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5421.1527879342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99.9916666666667</v>
      </c>
      <c r="C264" s="201"/>
      <c r="D264" s="202" t="s">
        <v>228</v>
      </c>
      <c r="E264" s="202"/>
      <c r="F264" s="204" t="n">
        <f aca="false">(B263-F263)+B264</f>
        <v>5176.04451460087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5176.04451460087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240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404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405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406</v>
      </c>
      <c r="C35" s="227"/>
      <c r="D35" s="227" t="s">
        <v>407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403</v>
      </c>
      <c r="C38" s="227"/>
      <c r="D38" s="108" t="s">
        <v>408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403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411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398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412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404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405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406</v>
      </c>
      <c r="C35" s="227"/>
      <c r="D35" s="227" t="s">
        <v>407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403</v>
      </c>
      <c r="C38" s="227"/>
      <c r="D38" s="108" t="s">
        <v>408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403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411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398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402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387.573283333333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387.573283333333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5176.04517974425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5176.04517974425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404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405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406</v>
      </c>
      <c r="C35" s="227"/>
      <c r="D35" s="227" t="s">
        <v>407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403</v>
      </c>
      <c r="C38" s="227"/>
      <c r="D38" s="108" t="s">
        <v>408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403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401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398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412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424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9170.45620209762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9266.27920209762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502.9484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9170.45620209762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9266.27920209762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502.9484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424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11028.4163887237</v>
      </c>
      <c r="C137" s="321"/>
      <c r="D137" s="42" t="n">
        <f aca="false">IF(A111="YES",B95*B63,0)</f>
        <v>114.9876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11143.4039887237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502.950066666667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11028.4163887237</v>
      </c>
      <c r="C180" s="360"/>
      <c r="D180" s="107" t="n">
        <f aca="false">IF(A111="YES",B95*B63,0)</f>
        <v>114.9876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11143.4039887237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502.950066666667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424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165.0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355.0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531.620649396963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531.620649396963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6" t="n">
        <v>30.0</v>
      </c>
      <c r="C111" s="316"/>
      <c r="D111" s="111" t="s">
        <v>415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531.620649396963</v>
      </c>
      <c r="B134" s="325" t="n">
        <f aca="false">IF(A111="YES",B95,0)</f>
        <v>0</v>
      </c>
      <c r="C134" s="330"/>
      <c r="D134" s="325" t="n">
        <f aca="false">B97</f>
        <v>531.620649396963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Spread rentals with 12 down</v>
      </c>
      <c r="B137" s="42" t="n">
        <f aca="false">B96*B63</f>
        <v>6379.44779276356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6379.44779276356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531.620649396963</v>
      </c>
      <c r="B143" s="42" t="n">
        <f aca="false">IF(A111="YES",B95,0)</f>
        <v>0</v>
      </c>
      <c r="C143" s="321"/>
      <c r="D143" s="42" t="n">
        <f aca="false">B97</f>
        <v>531.620649396963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531.620649396963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531.620649396963</v>
      </c>
      <c r="B177" s="362" t="n">
        <f aca="false">IF(A111="YES",B95,0)</f>
        <v>0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Spread rentals with 12 down</v>
      </c>
      <c r="B180" s="107" t="n">
        <f aca="false">B96*B63</f>
        <v>6379.44779276356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6379.44779276356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531.620649396963</v>
      </c>
      <c r="B186" s="107" t="n">
        <f aca="false">IF(A111="YES",B95,0)</f>
        <v>0</v>
      </c>
      <c r="C186" s="360"/>
      <c r="D186" s="107" t="n">
        <f aca="false">B97</f>
        <v>531.620649396963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0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252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413</v>
      </c>
      <c r="B41" s="245" t="n">
        <f aca="false">IF(B38="YES",D38+A41,D38)</f>
        <v>560</v>
      </c>
      <c r="C41" s="245"/>
      <c r="D41" s="108" t="s">
        <v>418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108" t="s">
        <v>419</v>
      </c>
      <c r="C44" s="108"/>
      <c r="D44" s="108" t="s">
        <v>425</v>
      </c>
      <c r="E44" s="108"/>
      <c r="F44" s="67"/>
      <c r="G44" s="67" t="s">
        <v>266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420</v>
      </c>
      <c r="C47" s="435"/>
      <c r="D47" s="108" t="s">
        <v>420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8" t="n">
        <v>30.0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521.6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521.6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5341.87916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5341.87916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400</v>
      </c>
      <c r="B41" s="245" t="str">
        <f aca="false">IF(B38="YES",D38+A41,D38)</f>
        <v>500</v>
      </c>
      <c r="C41" s="245"/>
      <c r="D41" s="108" t="s">
        <v>418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108" t="s">
        <v>419</v>
      </c>
      <c r="C44" s="108"/>
      <c r="D44" s="108" t="s">
        <v>420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420</v>
      </c>
      <c r="C47" s="435"/>
      <c r="D47" s="108" t="s">
        <v>420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5125.88082666667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5125.88082666667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400</v>
      </c>
      <c r="B41" s="245" t="n">
        <f aca="false">IF(B38="YES",D38+A41,D38)</f>
        <v>550</v>
      </c>
      <c r="C41" s="245"/>
      <c r="D41" s="108" t="s">
        <v>418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410</v>
      </c>
      <c r="B44" s="108" t="s">
        <v>419</v>
      </c>
      <c r="C44" s="108"/>
      <c r="D44" s="108" t="s">
        <v>420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420</v>
      </c>
      <c r="C47" s="435"/>
      <c r="D47" s="108" t="s">
        <v>420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398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403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5305.87916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5305.87916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95" zoomScaleNormal="95" zoomScalePageLayoutView="100" workbookViewId="0">
      <selection pane="topLeft" activeCell="E182" activeCellId="1" sqref="A76:B76 E182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-28758.33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-28758.33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84254.16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84254.16</v>
      </c>
      <c r="F9" s="156"/>
      <c r="G9" s="140"/>
      <c r="H9" s="449" t="n">
        <f aca="false">B7+D7+F7+H3</f>
        <v>85087.49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85733.32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17146.664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103529.984</v>
      </c>
      <c r="I15" s="7"/>
      <c r="J15" s="21" t="n">
        <f aca="false">H15</f>
        <v>103529.984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103529.984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252</v>
      </c>
      <c r="H32" s="229" t="n">
        <f aca="false">A41</f>
        <v>18.46</v>
      </c>
      <c r="J32" s="48" t="s">
        <v>46</v>
      </c>
      <c r="K32" s="267" t="s">
        <v>427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405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406</v>
      </c>
      <c r="C35" s="227"/>
      <c r="D35" s="227" t="s">
        <v>407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409</v>
      </c>
      <c r="J36" s="48" t="s">
        <v>60</v>
      </c>
      <c r="K36" s="56" t="n">
        <f aca="false">K32-K34</f>
        <v>102529.98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117507.656574695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8.75" hidden="false" customHeight="false" outlineLevel="0" collapsed="false">
      <c r="A67" s="35" t="s">
        <v>102</v>
      </c>
      <c r="B67" s="88" t="n">
        <f aca="false">B66+(B66*0.5*(H29/12-1))</f>
        <v>0.009375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970.5936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102529.98</v>
      </c>
      <c r="C81" s="97"/>
      <c r="D81" s="97"/>
      <c r="E81" s="117"/>
      <c r="F81" s="29" t="s">
        <v>115</v>
      </c>
      <c r="G81" s="31" t="n">
        <f aca="false">B81</f>
        <v>102529.98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98404.6589208274</v>
      </c>
      <c r="C88" s="97" t="n">
        <f aca="false">B81-B86</f>
        <v>98404.6589208274</v>
      </c>
      <c r="D88" s="97"/>
      <c r="E88" s="117"/>
      <c r="F88" s="35" t="s">
        <v>122</v>
      </c>
      <c r="G88" s="37" t="n">
        <f aca="false">G81-G86</f>
        <v>97509.6692072619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3688.3275065956</v>
      </c>
      <c r="C89" s="97" t="n">
        <f aca="false">(B88/B87)</f>
        <v>3688.3275065956</v>
      </c>
      <c r="D89" s="97"/>
      <c r="E89" s="117"/>
      <c r="F89" s="35" t="s">
        <v>123</v>
      </c>
      <c r="G89" s="37" t="n">
        <f aca="false">(G88/G87)</f>
        <v>3327.11604517572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118026.480211059</v>
      </c>
      <c r="C90" s="97"/>
      <c r="D90" s="97"/>
      <c r="E90" s="117"/>
      <c r="F90" s="35" t="s">
        <v>124</v>
      </c>
      <c r="G90" s="37" t="n">
        <f aca="false">((G89*(G85))+G77)</f>
        <v>106467.713445623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118026.480211059</v>
      </c>
      <c r="C92" s="97"/>
      <c r="D92" s="97"/>
      <c r="E92" s="117"/>
      <c r="F92" s="60" t="s">
        <v>126</v>
      </c>
      <c r="G92" s="69" t="n">
        <f aca="false">(G90+G91)</f>
        <v>106467.713445623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3688.3275065956</v>
      </c>
      <c r="C95" s="97"/>
      <c r="D95" s="97"/>
      <c r="E95" s="117"/>
      <c r="F95" s="99" t="s">
        <v>128</v>
      </c>
      <c r="G95" s="100" t="n">
        <f aca="false">G92/(G85)</f>
        <v>3327.11604517572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3711.1717565956</v>
      </c>
      <c r="C96" s="97"/>
      <c r="D96" s="97"/>
      <c r="E96" s="117"/>
      <c r="F96" s="101" t="s">
        <v>129</v>
      </c>
      <c r="G96" s="102" t="n">
        <f aca="false">G94+G95</f>
        <v>3327.11604517572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398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411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398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402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-28758.33</v>
      </c>
      <c r="C123" s="125" t="n">
        <f aca="false">B123</f>
        <v>-28758.33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-28758.33</v>
      </c>
      <c r="C124" s="135" t="n">
        <f aca="false">(C121*C122/100)+C123</f>
        <v>-28758.33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84254.16</v>
      </c>
      <c r="C125" s="137" t="n">
        <f aca="false">C121-C124</f>
        <v>84254.16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85087.49</v>
      </c>
      <c r="H135" s="157" t="n">
        <f aca="false">C125+E125+G125+H128</f>
        <v>85087.49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17146.664</v>
      </c>
      <c r="H137" s="37" t="n">
        <f aca="false">(H135+H136)*20%</f>
        <v>17146.664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103529.984</v>
      </c>
      <c r="H141" s="161" t="n">
        <f aca="false">(H135+H136+H139+H140+H137)-H138</f>
        <v>103529.984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103529.984</v>
      </c>
      <c r="H147" s="168" t="n">
        <f aca="false">H141-((H144*1.2)+(H145*1.2)+(H146*1.2)+(H142*1.2))</f>
        <v>103529.984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-85441.65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103529.984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3688.3275065956</v>
      </c>
      <c r="B167" s="181" t="n">
        <f aca="false">B94</f>
        <v>22.84425</v>
      </c>
      <c r="C167" s="178"/>
      <c r="D167" s="178"/>
      <c r="E167" s="181" t="n">
        <f aca="false">B96</f>
        <v>3711.1717565956</v>
      </c>
      <c r="F167" s="27"/>
      <c r="G167" s="27" t="n">
        <f aca="false">ROUND(G95,2)</f>
        <v>3327.12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85733.32</v>
      </c>
      <c r="B173" s="107" t="n">
        <f aca="false">H137</f>
        <v>17146.664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103529.984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103529.984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20496.58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124276.548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808.828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921.0016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3711.1717565956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8937.85599999999</v>
      </c>
      <c r="B201" s="190" t="n">
        <f aca="false">E179+A201+(B182*1.2)+A185</f>
        <v>112717.828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3688.3275065956</v>
      </c>
      <c r="B212" s="181" t="n">
        <f aca="false">B167</f>
        <v>22.84425</v>
      </c>
      <c r="C212" s="178"/>
      <c r="D212" s="178"/>
      <c r="E212" s="181" t="n">
        <f aca="false">E167</f>
        <v>3711.1717565956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85733.32</v>
      </c>
      <c r="B215" s="107" t="n">
        <f aca="false">B173</f>
        <v>17146.664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103529.984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103529.984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20496.58</v>
      </c>
      <c r="B224" s="107" t="str">
        <f aca="false">B182</f>
        <v>199.99</v>
      </c>
      <c r="C224" s="107"/>
      <c r="D224" s="117"/>
      <c r="E224" s="107" t="n">
        <f aca="false">E182</f>
        <v>124276.548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3688.3275065956</v>
      </c>
      <c r="B230" s="107" t="n">
        <f aca="false">B167</f>
        <v>22.84425</v>
      </c>
      <c r="C230" s="190"/>
      <c r="D230" s="190"/>
      <c r="E230" s="107" t="n">
        <f aca="false">E167</f>
        <v>3711.1717565956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808.828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921.0016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11568.72</v>
      </c>
      <c r="C254" s="201"/>
      <c r="D254" s="202" t="s">
        <v>226</v>
      </c>
      <c r="E254" s="202"/>
      <c r="F254" s="204" t="n">
        <f aca="false">F261+F267+F269+B270+B271</f>
        <v>970.5936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221.826</v>
      </c>
      <c r="C255" s="201"/>
      <c r="D255" s="202" t="s">
        <v>228</v>
      </c>
      <c r="E255" s="202"/>
      <c r="F255" s="204" t="n">
        <f aca="false">(B254-F254)+B255</f>
        <v>10819.9524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0.072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0.137</v>
      </c>
      <c r="C260" s="47"/>
      <c r="D260" s="170" t="s">
        <v>225</v>
      </c>
      <c r="E260" s="170"/>
      <c r="F260" s="150" t="n">
        <f aca="false">B254</f>
        <v>11568.72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0.009375</v>
      </c>
      <c r="C261" s="36"/>
      <c r="D261" s="170" t="s">
        <v>231</v>
      </c>
      <c r="E261" s="170"/>
      <c r="F261" s="155" t="n">
        <f aca="false">B68</f>
        <v>970.5936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10819.9524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398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1711.27399140932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1622.44399140932</v>
      </c>
      <c r="B36" s="236" t="n">
        <f aca="false">IF(B26="YES",K42,"0.00")</f>
        <v>88.83</v>
      </c>
      <c r="C36" s="236"/>
      <c r="D36" s="236"/>
      <c r="E36" s="236" t="n">
        <f aca="false">K31</f>
        <v>9462.5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28851.1624303507</v>
      </c>
      <c r="N39" s="6" t="n">
        <f aca="false">K39-L39</f>
        <v>28773.8275696493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n">
        <f aca="false">IF(B26="YES",K42,"0.00")</f>
        <v>88.83</v>
      </c>
      <c r="C40" s="111"/>
      <c r="D40" s="111"/>
      <c r="E40" s="186" t="n">
        <f aca="false">K32</f>
        <v>3109.05</v>
      </c>
      <c r="F40" s="190"/>
      <c r="G40" s="190"/>
      <c r="H40" s="51"/>
      <c r="J40" s="7" t="s">
        <v>116</v>
      </c>
      <c r="K40" s="7" t="n">
        <f aca="false">(A40)/1.2</f>
        <v>7885.41666666667</v>
      </c>
      <c r="L40" s="7" t="n">
        <f aca="false">K39-L39</f>
        <v>28773.8275696493</v>
      </c>
      <c r="N40" s="6" t="n">
        <f aca="false">N38-N39</f>
        <v>-25862.1475696493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88.83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6395.69552839232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51229.2944716077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1622.44399140932</v>
      </c>
      <c r="L47" s="7" t="n">
        <f aca="false">L49-K42</f>
        <v>711.17</v>
      </c>
      <c r="M47" s="6" t="n">
        <f aca="false">K47-L47</f>
        <v>911.273991409321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1711.27399140932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1711.27399140932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31042.7205771855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-5415.50814104921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-403.531775903641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-403.531775903641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1622.44399140932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1622.44399140932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1711.27399140932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1711.27399140932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9462.5</v>
      </c>
      <c r="C82" s="97"/>
      <c r="D82" s="97"/>
      <c r="E82" s="117"/>
      <c r="F82" s="35" t="s">
        <v>116</v>
      </c>
      <c r="G82" s="37" t="n">
        <f aca="false">IF(A111="YES",A40,0)</f>
        <v>9462.5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9462.5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9462.5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6679.71310920642</v>
      </c>
      <c r="C86" s="97"/>
      <c r="D86" s="97"/>
      <c r="E86" s="117"/>
      <c r="F86" s="35" t="s">
        <v>120</v>
      </c>
      <c r="G86" s="37" t="n">
        <f aca="false">(G82/((1+G84)^(G85+1)))</f>
        <v>7719.60450276954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6470.95543218324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6470.95543218324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74144.2708907936</v>
      </c>
      <c r="C88" s="97"/>
      <c r="D88" s="97"/>
      <c r="E88" s="117"/>
      <c r="F88" s="35" t="s">
        <v>122</v>
      </c>
      <c r="G88" s="37" t="n">
        <f aca="false">G81-G86</f>
        <v>73104.3794972305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46890.2835678168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46890.2835678168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2583.18412577976</v>
      </c>
      <c r="C89" s="97"/>
      <c r="D89" s="97"/>
      <c r="E89" s="117"/>
      <c r="F89" s="35" t="s">
        <v>123</v>
      </c>
      <c r="G89" s="37" t="n">
        <f aca="false">(G88/G87)</f>
        <v>2376.63813364602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1658.2943506889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1658.2943506889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87828.2602765118</v>
      </c>
      <c r="C90" s="97"/>
      <c r="D90" s="97"/>
      <c r="E90" s="117"/>
      <c r="F90" s="35" t="s">
        <v>124</v>
      </c>
      <c r="G90" s="37" t="n">
        <f aca="false">((G89*(G85))+G77)</f>
        <v>80805.6965439647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56382.0079234226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56382.0079234226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87828.2602765118</v>
      </c>
      <c r="C92" s="97"/>
      <c r="D92" s="97"/>
      <c r="E92" s="117"/>
      <c r="F92" s="60" t="s">
        <v>126</v>
      </c>
      <c r="G92" s="69" t="n">
        <f aca="false">(G90+G91)</f>
        <v>80805.6965439647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56382.0079234226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56382.0079234226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109.731176470588</v>
      </c>
      <c r="C94" s="97"/>
      <c r="D94" s="97"/>
      <c r="E94" s="117"/>
      <c r="F94" s="93" t="s">
        <v>127</v>
      </c>
      <c r="G94" s="98" t="n">
        <f aca="false">IF(B26="YES",((E40/B85)*(1+A108)*(C45/100)),"0")</f>
        <v>109.731176470588</v>
      </c>
      <c r="H94" s="37"/>
      <c r="J94" s="93" t="s">
        <v>127</v>
      </c>
      <c r="K94" s="94" t="n">
        <f aca="false">((E40/K85)*(1+J108))*1.2</f>
        <v>138.5748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109.731176470588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131.677411764706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2583.18412577976</v>
      </c>
      <c r="C95" s="97"/>
      <c r="D95" s="97"/>
      <c r="E95" s="117"/>
      <c r="F95" s="99" t="s">
        <v>128</v>
      </c>
      <c r="G95" s="100" t="n">
        <f aca="false">G92/(G85)</f>
        <v>2376.63813364602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1658.2943506889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1658.2943506889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2692.91530225035</v>
      </c>
      <c r="C96" s="97"/>
      <c r="D96" s="97"/>
      <c r="E96" s="117"/>
      <c r="F96" s="101" t="s">
        <v>129</v>
      </c>
      <c r="G96" s="102" t="n">
        <f aca="false">G94+G95</f>
        <v>2486.36931011661</v>
      </c>
      <c r="H96" s="37"/>
      <c r="J96" s="101" t="s">
        <v>129</v>
      </c>
      <c r="K96" s="102" t="n">
        <f aca="false">(K94+K95)</f>
        <v>1649.45808112579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1768.02552715949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1789.97176245361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398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401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2583.18412577976</v>
      </c>
      <c r="B167" s="181" t="n">
        <f aca="false">B94</f>
        <v>109.731176470588</v>
      </c>
      <c r="C167" s="178"/>
      <c r="D167" s="178"/>
      <c r="E167" s="181" t="n">
        <f aca="false">B96</f>
        <v>2692.91530225035</v>
      </c>
      <c r="F167" s="27"/>
      <c r="G167" s="27" t="n">
        <f aca="false">ROUND(G95,2)</f>
        <v>2376.64</v>
      </c>
      <c r="H167" s="37"/>
      <c r="J167" s="180" t="n">
        <f aca="false">K95</f>
        <v>1510.88328112579</v>
      </c>
      <c r="K167" s="181" t="n">
        <f aca="false">K94</f>
        <v>138.5748</v>
      </c>
      <c r="L167" s="178"/>
      <c r="M167" s="178"/>
      <c r="N167" s="181" t="n">
        <f aca="false">K96</f>
        <v>1649.45808112579</v>
      </c>
      <c r="O167" s="27"/>
      <c r="P167" s="27"/>
      <c r="Q167" s="37"/>
      <c r="S167" s="180" t="n">
        <f aca="false">T95</f>
        <v>1658.2943506889</v>
      </c>
      <c r="T167" s="181" t="n">
        <f aca="false">T94</f>
        <v>109.731176470588</v>
      </c>
      <c r="U167" s="178"/>
      <c r="V167" s="178"/>
      <c r="W167" s="181" t="n">
        <f aca="false">T96</f>
        <v>1768.02552715949</v>
      </c>
      <c r="X167" s="27"/>
      <c r="Y167" s="27"/>
      <c r="Z167" s="37"/>
      <c r="AB167" s="180" t="n">
        <f aca="false">AC95</f>
        <v>1658.2943506889</v>
      </c>
      <c r="AC167" s="181" t="n">
        <f aca="false">AC94</f>
        <v>131.677411764706</v>
      </c>
      <c r="AD167" s="178"/>
      <c r="AE167" s="178"/>
      <c r="AF167" s="181" t="n">
        <f aca="false">AC96</f>
        <v>1789.97176245361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9462.5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9462.5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9462.5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9462.5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16466.64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97540.608</v>
      </c>
      <c r="F182" s="27"/>
      <c r="G182" s="27"/>
      <c r="H182" s="109"/>
      <c r="J182" s="115" t="n">
        <f aca="false">(J167*K59)+N185-N179-J185</f>
        <v>23062.535558277</v>
      </c>
      <c r="K182" s="107" t="n">
        <f aca="false">K114</f>
        <v>239.99</v>
      </c>
      <c r="L182" s="107"/>
      <c r="M182" s="27"/>
      <c r="N182" s="107" t="n">
        <f aca="false">N179+J182+K182+J185</f>
        <v>61092.521558277</v>
      </c>
      <c r="O182" s="27"/>
      <c r="P182" s="27"/>
      <c r="Q182" s="109"/>
      <c r="S182" s="115" t="n">
        <f aca="false">(S167*T59)+W185-W179-S185</f>
        <v>12483.2689234226</v>
      </c>
      <c r="T182" s="107" t="n">
        <f aca="false">T114</f>
        <v>199.99</v>
      </c>
      <c r="U182" s="107"/>
      <c r="V182" s="27"/>
      <c r="W182" s="107" t="n">
        <f aca="false">W179+S182+T182+S185</f>
        <v>66054.4979234226</v>
      </c>
      <c r="X182" s="27"/>
      <c r="Y182" s="27"/>
      <c r="Z182" s="109"/>
      <c r="AB182" s="115" t="n">
        <f aca="false">(AB167*AC59)+AF185-AF179-AB185</f>
        <v>12483.2689234226</v>
      </c>
      <c r="AC182" s="107" t="n">
        <f aca="false">AC114</f>
        <v>239.99</v>
      </c>
      <c r="AD182" s="107"/>
      <c r="AE182" s="27"/>
      <c r="AF182" s="107" t="n">
        <f aca="false">AF179+AB182+AC182+AB185</f>
        <v>66094.4979234226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9472.5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9482.5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9472.5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9472.5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336.7666</v>
      </c>
      <c r="C188" s="97"/>
      <c r="D188" s="97"/>
      <c r="E188" s="107" t="n">
        <f aca="false">(E40*A108)*0.1*(C45/100)</f>
        <v>62.181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93.2715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435.412887673611</v>
      </c>
      <c r="U188" s="97"/>
      <c r="V188" s="97"/>
      <c r="W188" s="107" t="n">
        <f aca="false">(E40*S108)*0.1</f>
        <v>62.181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62.181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498.9376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3561.09979513889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1597.58388767361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1637.58388767361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2692.91530225035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1649.45808112579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1768.02552715949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1789.97176245361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9444.27599999998</v>
      </c>
      <c r="B201" s="190" t="n">
        <f aca="false">E179+A201+(B182*1.2)+A185</f>
        <v>90518.248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2583.18412577976</v>
      </c>
      <c r="B212" s="181" t="n">
        <f aca="false">B167</f>
        <v>109.731176470588</v>
      </c>
      <c r="C212" s="178"/>
      <c r="D212" s="178"/>
      <c r="E212" s="181" t="n">
        <f aca="false">E167</f>
        <v>2692.91530225035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16466.64</v>
      </c>
      <c r="B224" s="107" t="str">
        <f aca="false">B182</f>
        <v>199.99</v>
      </c>
      <c r="C224" s="107"/>
      <c r="D224" s="117"/>
      <c r="E224" s="107" t="n">
        <f aca="false">E182</f>
        <v>97540.608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2583.18412577976</v>
      </c>
      <c r="B230" s="107" t="n">
        <f aca="false">B167</f>
        <v>109.731176470588</v>
      </c>
      <c r="C230" s="190"/>
      <c r="D230" s="190"/>
      <c r="E230" s="107" t="n">
        <f aca="false">E167</f>
        <v>2692.91530225035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9462.5</v>
      </c>
      <c r="B233" s="107" t="n">
        <f aca="false">E185</f>
        <v>9472.5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62.181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12002.2676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7032.36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721.8</v>
      </c>
      <c r="C255" s="201"/>
      <c r="D255" s="202" t="s">
        <v>228</v>
      </c>
      <c r="E255" s="202"/>
      <c r="F255" s="204" t="n">
        <f aca="false">(B254-F254)+B255</f>
        <v>7350.04008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7032.36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621.81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7350.04008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403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31371.9813087869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76816.1561344762</v>
      </c>
      <c r="C88" s="97"/>
      <c r="D88" s="97"/>
      <c r="E88" s="117"/>
      <c r="F88" s="35" t="s">
        <v>122</v>
      </c>
      <c r="G88" s="37" t="n">
        <f aca="false">G81-G86</f>
        <v>76192.2212983383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2676.27252579318</v>
      </c>
      <c r="C89" s="97"/>
      <c r="D89" s="97"/>
      <c r="E89" s="117"/>
      <c r="F89" s="35" t="s">
        <v>123</v>
      </c>
      <c r="G89" s="37" t="n">
        <f aca="false">(G88/G87)</f>
        <v>2477.02449388395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90993.2658769682</v>
      </c>
      <c r="C90" s="97"/>
      <c r="D90" s="97"/>
      <c r="E90" s="117"/>
      <c r="F90" s="35" t="s">
        <v>124</v>
      </c>
      <c r="G90" s="37" t="n">
        <f aca="false">((G89*(G85))+G77)</f>
        <v>84218.8327920542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90993.2658769682</v>
      </c>
      <c r="C92" s="97"/>
      <c r="D92" s="97"/>
      <c r="E92" s="117"/>
      <c r="F92" s="60" t="s">
        <v>126</v>
      </c>
      <c r="G92" s="69" t="n">
        <f aca="false">(G90+G91)</f>
        <v>84218.8327920542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2676.27252579318</v>
      </c>
      <c r="C95" s="97"/>
      <c r="D95" s="97"/>
      <c r="E95" s="117"/>
      <c r="F95" s="99" t="s">
        <v>128</v>
      </c>
      <c r="G95" s="100" t="n">
        <f aca="false">G92/(G85)</f>
        <v>2477.02449388395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2676.27252579318</v>
      </c>
      <c r="C96" s="97"/>
      <c r="D96" s="97"/>
      <c r="E96" s="117"/>
      <c r="F96" s="101" t="s">
        <v>129</v>
      </c>
      <c r="G96" s="102" t="n">
        <f aca="false">G94+G95</f>
        <v>2477.02449388395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403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411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412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2676.27252579318</v>
      </c>
      <c r="B167" s="181" t="str">
        <f aca="false">B94</f>
        <v>0</v>
      </c>
      <c r="C167" s="178"/>
      <c r="D167" s="178"/>
      <c r="E167" s="181" t="n">
        <f aca="false">B96</f>
        <v>2676.27252579318</v>
      </c>
      <c r="F167" s="27"/>
      <c r="G167" s="27" t="n">
        <f aca="false">ROUND(G95,2)</f>
        <v>2477.02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15846.7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96920.67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336.7666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436.758266666667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2676.27252579318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9072.19599999998</v>
      </c>
      <c r="B201" s="190" t="n">
        <f aca="false">E179+A201+B182+A185</f>
        <v>90146.17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2676.27252579318</v>
      </c>
      <c r="B212" s="181" t="str">
        <f aca="false">B167</f>
        <v>0</v>
      </c>
      <c r="C212" s="178"/>
      <c r="D212" s="178"/>
      <c r="E212" s="181" t="n">
        <f aca="false">E167</f>
        <v>2676.27252579318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15846.7</v>
      </c>
      <c r="B224" s="107" t="str">
        <f aca="false">B182</f>
        <v>239.99</v>
      </c>
      <c r="C224" s="107"/>
      <c r="D224" s="117"/>
      <c r="E224" s="107" t="n">
        <f aca="false">E182</f>
        <v>96920.67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2676.27252579318</v>
      </c>
      <c r="B230" s="107" t="str">
        <f aca="false">B167</f>
        <v>0</v>
      </c>
      <c r="C230" s="190"/>
      <c r="D230" s="190"/>
      <c r="E230" s="107" t="n">
        <f aca="false">E167</f>
        <v>2676.27252579318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11940.0882666667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6784.5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6480.37174666667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6784.5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6480.37174666667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398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30721.4781386848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0.025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61925.7442972207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2090.97729051819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73184.2051681368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73184.2051681368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2090.97729051819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2171.20586194677</v>
      </c>
      <c r="C96" s="97"/>
      <c r="D96" s="97"/>
      <c r="E96" s="117"/>
      <c r="F96" s="101" t="s">
        <v>129</v>
      </c>
      <c r="G96" s="102" t="n">
        <f aca="false">G94+G95</f>
        <v>1913.50897299511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398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411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412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2090.97729051819</v>
      </c>
      <c r="B167" s="181" t="n">
        <f aca="false">B94</f>
        <v>80.2285714285714</v>
      </c>
      <c r="C167" s="178"/>
      <c r="D167" s="178"/>
      <c r="E167" s="181" t="n">
        <f aca="false">B96</f>
        <v>2171.20586194677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19410.32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101484.29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340.933266666667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494.924933333333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2171.20586194677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E179+A201+B182+A185</f>
        <v>92932.74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2090.97729051819</v>
      </c>
      <c r="B212" s="181" t="n">
        <f aca="false">B167</f>
        <v>80.2285714285714</v>
      </c>
      <c r="C212" s="178"/>
      <c r="D212" s="178"/>
      <c r="E212" s="181" t="n">
        <f aca="false">E167</f>
        <v>2171.20586194677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19410.32</v>
      </c>
      <c r="B224" s="107" t="str">
        <f aca="false">B182</f>
        <v>239.99</v>
      </c>
      <c r="C224" s="107"/>
      <c r="D224" s="117"/>
      <c r="E224" s="107" t="n">
        <f aca="false">E182</f>
        <v>101484.29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2090.97729051819</v>
      </c>
      <c r="B230" s="107" t="n">
        <f aca="false">B167</f>
        <v>80.2285714285714</v>
      </c>
      <c r="C230" s="190"/>
      <c r="D230" s="190"/>
      <c r="E230" s="107" t="n">
        <f aca="false">E167</f>
        <v>2171.20586194677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11998.2549333333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8561.54999999999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8792.42174666666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8561.54999999999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8792.42174666666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398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26253.2803366185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60325.6834371327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1963.31449617344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68716.0073660706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68716.0073660706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1963.31449617344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2025.02878188773</v>
      </c>
      <c r="C96" s="97"/>
      <c r="D96" s="97"/>
      <c r="E96" s="117"/>
      <c r="F96" s="101" t="s">
        <v>129</v>
      </c>
      <c r="G96" s="102" t="n">
        <f aca="false">G94+G95</f>
        <v>1908.36611585225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398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401</v>
      </c>
      <c r="C108" s="111"/>
      <c r="D108" s="111"/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1963.31449617344</v>
      </c>
      <c r="B167" s="181" t="n">
        <f aca="false">B94</f>
        <v>61.7142857142857</v>
      </c>
      <c r="C167" s="178"/>
      <c r="D167" s="178"/>
      <c r="E167" s="181" t="n">
        <f aca="false">B96</f>
        <v>2025.02878188773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14941.87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97015.838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1239.988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340.933266666667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476.923266666667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2025.02878188773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E179+A201+(B182*1.2)+A185</f>
        <v>92932.738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1963.31449617344</v>
      </c>
      <c r="B212" s="181" t="n">
        <f aca="false">B167</f>
        <v>61.7142857142857</v>
      </c>
      <c r="C212" s="178"/>
      <c r="D212" s="178"/>
      <c r="E212" s="181" t="n">
        <f aca="false">E167</f>
        <v>2025.02878188773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14941.87</v>
      </c>
      <c r="B224" s="107" t="str">
        <f aca="false">B182</f>
        <v>199.99</v>
      </c>
      <c r="C224" s="107"/>
      <c r="D224" s="117"/>
      <c r="E224" s="107" t="n">
        <f aca="false">E182</f>
        <v>97015.838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1963.31449617344</v>
      </c>
      <c r="B230" s="107" t="n">
        <f aca="false">B167</f>
        <v>61.7142857142857</v>
      </c>
      <c r="C230" s="190"/>
      <c r="D230" s="190"/>
      <c r="E230" s="107" t="n">
        <f aca="false">E167</f>
        <v>2025.02878188773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11980.2532666667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4093.09999999999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4143.97007999999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0.024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0.089</v>
      </c>
      <c r="C260" s="47"/>
      <c r="D260" s="170" t="s">
        <v>225</v>
      </c>
      <c r="E260" s="170"/>
      <c r="F260" s="150" t="n">
        <f aca="false">B254</f>
        <v>4093.09999999999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4143.97007999999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68839.988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398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399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242" t="n">
        <f aca="false">IF(C107="YES",H31,0)</f>
        <v>14725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22</v>
      </c>
      <c r="B33" s="233" t="n">
        <v>10000</v>
      </c>
      <c r="C33" s="234"/>
      <c r="D33" s="465" t="n">
        <f aca="false">H48</f>
        <v>2254.45123241227</v>
      </c>
      <c r="E33" s="220"/>
      <c r="F33" s="67"/>
      <c r="G33" s="223" t="s">
        <v>364</v>
      </c>
      <c r="H33" s="466" t="n">
        <f aca="false">E21-E11+((E16*20%)+(E19*20%)+(E20*20%))</f>
        <v>57474.99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22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2254.45123241227</v>
      </c>
      <c r="B36" s="107" t="str">
        <f aca="false">IF(B26="YES",H42,"")</f>
        <v/>
      </c>
      <c r="C36" s="225"/>
      <c r="D36" s="188" t="n">
        <f aca="false">I31</f>
        <v>14725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57474.99</v>
      </c>
      <c r="I39" s="242" t="n">
        <f aca="false">(I48*H46)+H44</f>
        <v>39798.9463231309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14725</v>
      </c>
      <c r="B40" s="111" t="str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12270.8333333333</v>
      </c>
      <c r="I40" s="242" t="n">
        <f aca="false">H39-I39</f>
        <v>17676.0436768692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10837.128247507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382</v>
      </c>
      <c r="H45" s="242" t="n">
        <f aca="false">(H39-H44)</f>
        <v>46637.861752493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20.6870129111599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2254.45123241227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2254.45123241227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22000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22</v>
      </c>
      <c r="B52" s="78" t="n">
        <f aca="false">H48</f>
        <v>2254.45123241227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21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21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21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0.0846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0.0845833333333333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0.0845833333333333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5784.1009848</v>
      </c>
      <c r="C64" s="219" t="n">
        <v>10000.0</v>
      </c>
      <c r="D64" s="294" t="n">
        <f aca="false">B64-A143</f>
        <v>5784.1009848</v>
      </c>
      <c r="E64" s="220"/>
      <c r="F64" s="67"/>
      <c r="G64" s="288" t="s">
        <v>100</v>
      </c>
      <c r="H64" s="137" t="n">
        <f aca="false">H61*H63</f>
        <v>5782.961485</v>
      </c>
      <c r="I64" s="219"/>
      <c r="J64" s="294" t="n">
        <f aca="false">H64-G145</f>
        <v>5782.961485</v>
      </c>
      <c r="K64" s="220"/>
      <c r="L64" s="67"/>
      <c r="M64" s="288" t="s">
        <v>100</v>
      </c>
      <c r="N64" s="137" t="n">
        <f aca="false">N61*N63</f>
        <v>5782.961485</v>
      </c>
      <c r="O64" s="219"/>
      <c r="P64" s="294" t="n">
        <f aca="false">N64-M145</f>
        <v>5782.961485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0.0141666666666667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0.0141666666666667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(H61*H66)/1.2</f>
        <v>807.145691666667</v>
      </c>
      <c r="I67" s="219"/>
      <c r="J67" s="294"/>
      <c r="K67" s="220"/>
      <c r="L67" s="67"/>
      <c r="M67" s="288" t="s">
        <v>103</v>
      </c>
      <c r="N67" s="137" t="n">
        <f aca="false">(N61*N66)/1.2</f>
        <v>807.145691666667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110</v>
      </c>
      <c r="C73" s="219"/>
      <c r="D73" s="294" t="n">
        <f aca="false">B73+B71</f>
        <v>310</v>
      </c>
      <c r="E73" s="220"/>
      <c r="F73" s="67"/>
      <c r="G73" s="288" t="s">
        <v>109</v>
      </c>
      <c r="H73" s="137" t="n">
        <f aca="false">H72*H29</f>
        <v>99</v>
      </c>
      <c r="I73" s="219"/>
      <c r="J73" s="294" t="n">
        <f aca="false">H73+H71</f>
        <v>259</v>
      </c>
      <c r="K73" s="220"/>
      <c r="L73" s="67"/>
      <c r="M73" s="288" t="s">
        <v>109</v>
      </c>
      <c r="N73" s="137" t="n">
        <f aca="false">N72*H29</f>
        <v>99</v>
      </c>
      <c r="O73" s="219"/>
      <c r="P73" s="294" t="n">
        <f aca="false">N73+N71</f>
        <v>259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287</v>
      </c>
      <c r="B74" s="438" t="n">
        <v>0.0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288</v>
      </c>
      <c r="B75" s="440" t="n">
        <v>0.0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289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151.25</v>
      </c>
      <c r="I76" s="219"/>
      <c r="J76" s="294" t="n">
        <f aca="false">H76</f>
        <v>151.25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7160.76765146667</v>
      </c>
      <c r="C81" s="219"/>
      <c r="D81" s="219"/>
      <c r="E81" s="220"/>
      <c r="F81" s="67"/>
      <c r="G81" s="307" t="s">
        <v>112</v>
      </c>
      <c r="H81" s="308" t="n">
        <f aca="false">SUM(J64:J80)</f>
        <v>6593.211485</v>
      </c>
      <c r="I81" s="219"/>
      <c r="J81" s="219"/>
      <c r="K81" s="220"/>
      <c r="L81" s="67"/>
      <c r="M81" s="307" t="s">
        <v>112</v>
      </c>
      <c r="N81" s="308" t="n">
        <f aca="false">SUM(P64:P80)</f>
        <v>6441.961485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325.48943870303</v>
      </c>
      <c r="C82" s="219"/>
      <c r="D82" s="219"/>
      <c r="E82" s="220"/>
      <c r="F82" s="67"/>
      <c r="G82" s="218" t="s">
        <v>113</v>
      </c>
      <c r="H82" s="304" t="n">
        <f aca="false">H81/H29</f>
        <v>299.691431136364</v>
      </c>
      <c r="I82" s="219"/>
      <c r="J82" s="219"/>
      <c r="K82" s="220"/>
      <c r="L82" s="67"/>
      <c r="M82" s="218" t="s">
        <v>113</v>
      </c>
      <c r="N82" s="304" t="n">
        <f aca="false">N81/H29</f>
        <v>292.816431136364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2254.45123241227</v>
      </c>
      <c r="C83" s="219"/>
      <c r="D83" s="219"/>
      <c r="E83" s="220"/>
      <c r="F83" s="67"/>
      <c r="G83" s="309" t="s">
        <v>114</v>
      </c>
      <c r="H83" s="310" t="n">
        <f aca="false">H47</f>
        <v>2254.45123241227</v>
      </c>
      <c r="I83" s="219"/>
      <c r="J83" s="219"/>
      <c r="K83" s="220"/>
      <c r="L83" s="67"/>
      <c r="M83" s="309" t="s">
        <v>114</v>
      </c>
      <c r="N83" s="310" t="n">
        <f aca="false">H47</f>
        <v>2254.45123241227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56758.6947645366</v>
      </c>
      <c r="C85" s="219"/>
      <c r="D85" s="219"/>
      <c r="E85" s="220"/>
      <c r="F85" s="67"/>
      <c r="G85" s="291" t="s">
        <v>124</v>
      </c>
      <c r="H85" s="135" t="n">
        <f aca="false">((H83*H29)+H81)*1.2</f>
        <v>67429.366317684</v>
      </c>
      <c r="I85" s="219"/>
      <c r="J85" s="219"/>
      <c r="K85" s="220"/>
      <c r="L85" s="67"/>
      <c r="M85" s="291" t="s">
        <v>124</v>
      </c>
      <c r="N85" s="135" t="n">
        <f aca="false">((N83*H29)+N81)</f>
        <v>56039.88859807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480.811855609225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476.003997805353</v>
      </c>
      <c r="I86" s="219"/>
      <c r="J86" s="219"/>
      <c r="K86" s="220"/>
      <c r="L86" s="67"/>
      <c r="M86" s="218" t="s">
        <v>125</v>
      </c>
      <c r="N86" s="304" t="n">
        <f aca="false">(N85/(1-N70))*N70</f>
        <v>474.722735199463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57239.5066201459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67905.3703154893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56514.6113332694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0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2601.79575546118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2515.01371538849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2093.13375308405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2601.79575546118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2515.01371538849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2093.13375308405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349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398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350</v>
      </c>
      <c r="C107" s="226" t="s">
        <v>398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403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22</v>
      </c>
      <c r="C125" s="329"/>
      <c r="D125" s="328" t="n">
        <f aca="false">B160</f>
        <v>22000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2515.01371538849</v>
      </c>
      <c r="H127" s="181" t="n">
        <f aca="false">IF(G105="YES",H89*H57,0)</f>
        <v>0</v>
      </c>
      <c r="I127" s="181"/>
      <c r="J127" s="338" t="n">
        <f aca="false">H91</f>
        <v>2515.01371538849</v>
      </c>
      <c r="K127" s="220"/>
      <c r="L127" s="67"/>
      <c r="M127" s="337" t="n">
        <f aca="false">N90</f>
        <v>2093.13375308405</v>
      </c>
      <c r="N127" s="181" t="n">
        <f aca="false">IF(M105="YES",N89*N57,0)</f>
        <v>0</v>
      </c>
      <c r="O127" s="181"/>
      <c r="P127" s="181" t="n">
        <f aca="false">N91</f>
        <v>2093.13375308405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2601.79575546118</v>
      </c>
      <c r="B128" s="325" t="n">
        <f aca="false">IF(A105="YES",B89,0)</f>
        <v>0</v>
      </c>
      <c r="C128" s="329"/>
      <c r="D128" s="325" t="n">
        <f aca="false">B91</f>
        <v>2601.79575546118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22</v>
      </c>
      <c r="H130" s="233" t="n">
        <f aca="false">B151</f>
        <v>0</v>
      </c>
      <c r="I130" s="234"/>
      <c r="J130" s="233" t="n">
        <f aca="false">B58</f>
        <v>21</v>
      </c>
      <c r="K130" s="220"/>
      <c r="L130" s="67"/>
      <c r="M130" s="232" t="n">
        <f aca="false">M155</f>
        <v>22</v>
      </c>
      <c r="N130" s="233" t="n">
        <f aca="false">B151</f>
        <v>0</v>
      </c>
      <c r="O130" s="234"/>
      <c r="P130" s="233" t="n">
        <f aca="false">B58</f>
        <v>21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2601.79575546118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15090.082292331</v>
      </c>
      <c r="H133" s="107" t="n">
        <f aca="false">IF(G105="YES",H89*H57,0)</f>
        <v>0</v>
      </c>
      <c r="I133" s="225"/>
      <c r="J133" s="188" t="n">
        <f aca="false">H91*H57</f>
        <v>15090.082292331</v>
      </c>
      <c r="K133" s="220"/>
      <c r="L133" s="67"/>
      <c r="M133" s="189" t="n">
        <f aca="false">N90*N57</f>
        <v>12558.8025185043</v>
      </c>
      <c r="N133" s="107" t="n">
        <f aca="false">IF(M105="YES",N89*N57,0)</f>
        <v>0</v>
      </c>
      <c r="O133" s="225"/>
      <c r="P133" s="188" t="n">
        <f aca="false">N91*N57</f>
        <v>12558.8025185043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2601.79575546118</v>
      </c>
      <c r="B134" s="42" t="n">
        <f aca="false">E114</f>
        <v>0</v>
      </c>
      <c r="C134" s="321"/>
      <c r="D134" s="341" t="n">
        <f aca="false">B58</f>
        <v>21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2601.79575546118</v>
      </c>
      <c r="B137" s="42" t="n">
        <f aca="false">IF(A105="YES",B89,0)</f>
        <v>0</v>
      </c>
      <c r="C137" s="321"/>
      <c r="D137" s="42" t="n">
        <f aca="false">B91</f>
        <v>2601.79575546118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807.145691666667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807.145691666667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0</v>
      </c>
      <c r="C140" s="348"/>
      <c r="D140" s="347" t="n">
        <f aca="false">A140+B140</f>
        <v>41.0219928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e">
        <f aca="false">IF(G105="YES",((B36*H105)*0.1)*(G130),0)</f>
        <v>#VALUE!</v>
      </c>
      <c r="H142" s="107" t="n">
        <f aca="false">G102-100</f>
        <v>99.99</v>
      </c>
      <c r="I142" s="107"/>
      <c r="J142" s="107" t="e">
        <f aca="false">(H139+J139+G142+H142)-H145</f>
        <v>#VALUE!</v>
      </c>
      <c r="K142" s="109"/>
      <c r="L142" s="67"/>
      <c r="M142" s="115" t="e">
        <f aca="false">IF(M105="YES",((B36*N105)*0.1)*(M130),0)</f>
        <v>#VALUE!</v>
      </c>
      <c r="N142" s="107" t="n">
        <f aca="false">M102-100</f>
        <v>99.99</v>
      </c>
      <c r="O142" s="107"/>
      <c r="P142" s="107" t="e">
        <f aca="false">(N139+P139+M142+N142)-N145</f>
        <v>#VALUE!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#VALUE!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#VALUE!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22000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22</v>
      </c>
      <c r="H152" s="78" t="n">
        <f aca="false">H91</f>
        <v>2515.01371538849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22000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22</v>
      </c>
      <c r="N155" s="78" t="n">
        <f aca="false">N91</f>
        <v>2093.13375308405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22000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22</v>
      </c>
      <c r="B161" s="78" t="n">
        <f aca="false">B91</f>
        <v>2601.79575546118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22</v>
      </c>
      <c r="C174" s="364"/>
      <c r="D174" s="328" t="n">
        <f aca="false">D125</f>
        <v>22000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2601.79575546118</v>
      </c>
      <c r="B177" s="362" t="n">
        <f aca="false">IF(A105="YES",B89,0)</f>
        <v>0</v>
      </c>
      <c r="C177" s="364"/>
      <c r="D177" s="362" t="n">
        <f aca="false">B91</f>
        <v>2601.79575546118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2601.79575546118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2601.79575546118</v>
      </c>
      <c r="B183" s="107" t="n">
        <f aca="false">E114</f>
        <v>0</v>
      </c>
      <c r="C183" s="360"/>
      <c r="D183" s="368" t="n">
        <f aca="false">B58</f>
        <v>21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2601.79575546118</v>
      </c>
      <c r="B186" s="107" t="n">
        <f aca="false">IF(A105="YES",B89,0)</f>
        <v>0</v>
      </c>
      <c r="C186" s="360"/>
      <c r="D186" s="107" t="n">
        <f aca="false">B91</f>
        <v>2601.79575546118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0</v>
      </c>
      <c r="C189" s="373"/>
      <c r="D189" s="372" t="n">
        <f aca="false">A189+B189</f>
        <v>41.0219928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5784.1009848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6124.0809848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5784.1009848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6124.0809848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310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480.811855609225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1" sqref="A76:B76 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398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399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364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516" t="n">
        <v>100.0</v>
      </c>
      <c r="D45" s="516"/>
      <c r="E45" s="220"/>
      <c r="F45" s="67"/>
      <c r="G45" s="67" t="s">
        <v>382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165.0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355.0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1000.0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398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403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753.991666666667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753.991666666667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7858.84040666667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7178.84874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7858.84040666667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1" sqref="A76:B76 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0.0</v>
      </c>
      <c r="D5" s="504" t="n">
        <v>0.0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68899.988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398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399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1505.55376260731</v>
      </c>
      <c r="E33" s="220"/>
      <c r="F33" s="67"/>
      <c r="G33" s="223" t="s">
        <v>364</v>
      </c>
      <c r="H33" s="466" t="n">
        <f aca="false">E21-E11+((E16*20%)+(E19*20%)+(E20*20%))</f>
        <v>57524.99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1416.72376260731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57524.99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3332.90074469636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50.0</v>
      </c>
      <c r="D45" s="469"/>
      <c r="E45" s="220"/>
      <c r="F45" s="67"/>
      <c r="G45" s="67" t="s">
        <v>382</v>
      </c>
      <c r="H45" s="242" t="n">
        <f aca="false">(H39-H44)</f>
        <v>44733.5989432154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1416.72376260731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1505.55376260731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1505.55376260731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396</v>
      </c>
      <c r="B65" s="298" t="n">
        <v>200.0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165.0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355.0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1416.72376260731</v>
      </c>
      <c r="C83" s="479"/>
      <c r="D83" s="219"/>
      <c r="E83" s="472" t="n">
        <f aca="false">B83+E80+E77+E64</f>
        <v>1766.99360387716</v>
      </c>
      <c r="F83" s="67"/>
      <c r="G83" s="309" t="s">
        <v>114</v>
      </c>
      <c r="H83" s="310" t="n">
        <f aca="false">H47</f>
        <v>1416.72376260731</v>
      </c>
      <c r="I83" s="219"/>
      <c r="J83" s="219"/>
      <c r="K83" s="220"/>
      <c r="L83" s="67"/>
      <c r="M83" s="309" t="s">
        <v>114</v>
      </c>
      <c r="N83" s="310" t="n">
        <f aca="false">H47</f>
        <v>1416.72376260731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62066.9983579227</v>
      </c>
      <c r="C85" s="479"/>
      <c r="D85" s="479"/>
      <c r="E85" s="472" t="n">
        <f aca="false">B85/(B58+B57)</f>
        <v>1773.34281022636</v>
      </c>
      <c r="F85" s="67"/>
      <c r="G85" s="291" t="s">
        <v>124</v>
      </c>
      <c r="H85" s="135" t="n">
        <f aca="false">((H83*H29)+H81)*1.2</f>
        <v>69254.3690385072</v>
      </c>
      <c r="I85" s="219"/>
      <c r="J85" s="219"/>
      <c r="K85" s="220"/>
      <c r="L85" s="67"/>
      <c r="M85" s="291" t="s">
        <v>124</v>
      </c>
      <c r="N85" s="135" t="n">
        <f aca="false">((N83*H29)+N81)</f>
        <v>57381.974198756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525.779332600394</v>
      </c>
      <c r="C86" s="479" t="s">
        <v>240</v>
      </c>
      <c r="D86" s="219"/>
      <c r="E86" s="472" t="n">
        <f aca="false">B86/(B58+B57)</f>
        <v>15.0222666457255</v>
      </c>
      <c r="F86" s="67"/>
      <c r="G86" s="218" t="s">
        <v>125</v>
      </c>
      <c r="H86" s="304" t="n">
        <f aca="false">((((H83*H29)+H81))/(1-H70))*H70</f>
        <v>488.88723605239</v>
      </c>
      <c r="I86" s="219"/>
      <c r="J86" s="219"/>
      <c r="K86" s="220"/>
      <c r="L86" s="67"/>
      <c r="M86" s="218" t="s">
        <v>125</v>
      </c>
      <c r="N86" s="304" t="n">
        <f aca="false">(N85/(1-N70))*N70</f>
        <v>486.091754003177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62592.7776905231</v>
      </c>
      <c r="C87" s="479"/>
      <c r="D87" s="481"/>
      <c r="E87" s="472" t="n">
        <f aca="false">E86+E85</f>
        <v>1788.36507687209</v>
      </c>
      <c r="F87" s="67"/>
      <c r="G87" s="288" t="s">
        <v>126</v>
      </c>
      <c r="H87" s="137" t="n">
        <f aca="false">IF(H110="YES",((H85+H86)-K114),(H85+H86))</f>
        <v>69743.2562745596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57868.0659527592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1788.36507687209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1743.58140686399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1446.70164881898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1903.84407687209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1967.43300686399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1633.24464881898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1000.0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398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403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1743.58140686399</v>
      </c>
      <c r="H127" s="181" t="n">
        <f aca="false">IF(G105="YES",H89*H57,0)</f>
        <v>1343.1096</v>
      </c>
      <c r="I127" s="181"/>
      <c r="J127" s="338" t="n">
        <f aca="false">H91</f>
        <v>1967.43300686399</v>
      </c>
      <c r="K127" s="220"/>
      <c r="L127" s="67"/>
      <c r="M127" s="337" t="n">
        <f aca="false">N90</f>
        <v>1446.70164881898</v>
      </c>
      <c r="N127" s="181" t="n">
        <f aca="false">IF(M105="YES",N89*N57,0)</f>
        <v>1119.258</v>
      </c>
      <c r="O127" s="181"/>
      <c r="P127" s="181" t="n">
        <f aca="false">N91</f>
        <v>1633.24464881898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1788.36507687209</v>
      </c>
      <c r="B128" s="325" t="n">
        <f aca="false">IF(A105="YES",B89,0)</f>
        <v>115.479</v>
      </c>
      <c r="C128" s="329"/>
      <c r="D128" s="325" t="n">
        <f aca="false">B91</f>
        <v>1903.84407687209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1788.36507687209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10461.4884411839</v>
      </c>
      <c r="H133" s="107" t="n">
        <f aca="false">IF(G105="YES",H89*H57,0)</f>
        <v>1343.1096</v>
      </c>
      <c r="I133" s="225"/>
      <c r="J133" s="188" t="n">
        <f aca="false">H91*H57</f>
        <v>11804.5980411839</v>
      </c>
      <c r="K133" s="220"/>
      <c r="L133" s="67"/>
      <c r="M133" s="189" t="n">
        <f aca="false">N90*N57</f>
        <v>8680.20989291388</v>
      </c>
      <c r="N133" s="107" t="n">
        <f aca="false">IF(M105="YES",N89*N57,0)</f>
        <v>1119.258</v>
      </c>
      <c r="O133" s="225"/>
      <c r="P133" s="188" t="n">
        <f aca="false">N91*N57</f>
        <v>9799.46789291388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1903.84407687209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1788.36507687209</v>
      </c>
      <c r="B137" s="42" t="n">
        <f aca="false">IF(A105="YES",B89,0)</f>
        <v>115.479</v>
      </c>
      <c r="C137" s="321"/>
      <c r="D137" s="42" t="n">
        <f aca="false">B91</f>
        <v>1903.84407687209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1967.43300686399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1633.24464881898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1903.84407687209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1788.36507687209</v>
      </c>
      <c r="B177" s="362" t="n">
        <f aca="false">IF(A105="YES",B89,0)</f>
        <v>115.479</v>
      </c>
      <c r="C177" s="364"/>
      <c r="D177" s="362" t="n">
        <f aca="false">B91</f>
        <v>1903.84407687209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1788.36507687209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1903.84407687209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1788.36507687209</v>
      </c>
      <c r="B186" s="107" t="n">
        <f aca="false">IF(A105="YES",B89,0)</f>
        <v>115.479</v>
      </c>
      <c r="C186" s="360"/>
      <c r="D186" s="107" t="n">
        <f aca="false">B91</f>
        <v>1903.84407687209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11072.705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11072.705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525.779332600394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1" sqref="A76:B76 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266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397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282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294</v>
      </c>
      <c r="B105" s="316" t="s">
        <v>276</v>
      </c>
      <c r="C105" s="316"/>
      <c r="D105" s="428" t="n">
        <v>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191</v>
      </c>
      <c r="B130" s="176" t="n">
        <v>1200</v>
      </c>
      <c r="C130" s="176"/>
      <c r="D130" s="219"/>
      <c r="E130" s="220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351</v>
      </c>
      <c r="B135" s="332" t="s">
        <v>261</v>
      </c>
      <c r="C135" s="332"/>
      <c r="D135" s="332" t="s">
        <v>129</v>
      </c>
      <c r="E135" s="220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352</v>
      </c>
      <c r="B138" s="219" t="s">
        <v>250</v>
      </c>
      <c r="C138" s="219"/>
      <c r="D138" s="219" t="s">
        <v>254</v>
      </c>
      <c r="E138" s="220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263</v>
      </c>
      <c r="B141" s="219" t="s">
        <v>264</v>
      </c>
      <c r="C141" s="219"/>
      <c r="D141" s="219" t="s">
        <v>268</v>
      </c>
      <c r="E141" s="220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318</v>
      </c>
      <c r="C144" s="219"/>
      <c r="D144" s="219" t="s">
        <v>319</v>
      </c>
      <c r="E144" s="220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321</v>
      </c>
      <c r="B147" s="219" t="s">
        <v>322</v>
      </c>
      <c r="C147" s="219"/>
      <c r="D147" s="219" t="s">
        <v>323</v>
      </c>
      <c r="E147" s="220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325</v>
      </c>
      <c r="B150" s="219" t="s">
        <v>326</v>
      </c>
      <c r="C150" s="219"/>
      <c r="D150" s="219"/>
      <c r="E150" s="220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331</v>
      </c>
      <c r="B154" s="219"/>
      <c r="C154" s="219"/>
      <c r="D154" s="285"/>
      <c r="E154" s="286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1" sqref="A76:B76 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17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403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10000.0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500.0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0.01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683.69988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0.0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0.0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403</v>
      </c>
      <c r="B105" s="316" t="n">
        <v>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403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683.69988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1183.68988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683.69988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1183.68988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683.69988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4442.18928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0.01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683.69988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4442.18928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1" sqref="A76:B76 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398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10000.0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500.0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0.0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0.0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398</v>
      </c>
      <c r="B105" s="316" t="n">
        <v>30.0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403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5245.87916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5245.87916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2024-07-09T13:24:25Z</dcterms:modified>
  <cp:revision>972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