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4"/>
  </bookViews>
  <sheets>
    <sheet name="Default Broker Margin Values" sheetId="1" state="visible" r:id="rId2"/>
    <sheet name="CP(F2)-PCP_Used_LCV" sheetId="2" state="visible" r:id="rId3"/>
    <sheet name="CP(F2)-CP_Used_LCV" sheetId="3" state="visible" r:id="rId4"/>
    <sheet name="HPNR(F3)-PCP_Used_LCV" sheetId="4" state="visible" r:id="rId5"/>
    <sheet name="HPNR(F3)-CP_Used_LCV" sheetId="5" state="visible" r:id="rId6"/>
    <sheet name="HPNR(F3)-HPR_Used_LCV" sheetId="6" state="visible" r:id="rId7"/>
    <sheet name="HPNR(F3)-HPNR_Used_LCV" sheetId="7" state="visible" r:id="rId8"/>
    <sheet name="BCH-F3-PCH_Used_LCV" sheetId="8" state="visible" r:id="rId9"/>
    <sheet name="BCH-F3-BCH_Used_LCV" sheetId="9" state="visible" r:id="rId10"/>
    <sheet name="CP(F3)-PCH_Used_LCV" sheetId="10" state="visible" r:id="rId11"/>
    <sheet name="CP(F3)-BCH_Used_LCV" sheetId="11" state="visible" r:id="rId12"/>
    <sheet name="FL(F3)-FL_Used_LCV" sheetId="12" state="visible" r:id="rId13"/>
    <sheet name="FL(F3)-PCH_Used_LCV" sheetId="13" state="visible" r:id="rId14"/>
    <sheet name="FL(F3)-BCH_Used_LCV" sheetId="14" state="visible" r:id="rId15"/>
    <sheet name="HPNR (F3)-FL_Used_LCV" sheetId="15" state="visible" r:id="rId16"/>
    <sheet name="HPNR (F3)-PCH_Used_LCV" sheetId="16" state="visible" r:id="rId17"/>
    <sheet name="HPNR (F3)-BCH_Used_LCV" sheetId="17" state="visible" r:id="rId18"/>
    <sheet name="PCP_used_LCV" sheetId="18" state="visible" r:id="rId19"/>
    <sheet name="CP_used_LCV" sheetId="19" state="visible" r:id="rId20"/>
    <sheet name="HPR_used_LCV" sheetId="20" state="visible" r:id="rId21"/>
    <sheet name="HPNR_used_LCV" sheetId="21" state="visible" r:id="rId22"/>
    <sheet name="Formula1-FL_Used_LCV" sheetId="22" state="visible" r:id="rId23"/>
    <sheet name="Formula1-PCH_Used_LCV" sheetId="23" state="visible" r:id="rId24"/>
    <sheet name="Formula1-BCH_Used_LCV" sheetId="24" state="visible" r:id="rId25"/>
    <sheet name="CP(F2)-PCP_Used_car" sheetId="25" state="visible" r:id="rId26"/>
    <sheet name="CP(F2)-CP_Used_car" sheetId="26" state="visible" r:id="rId27"/>
    <sheet name="HPNR(F3)-PCP_Used_car" sheetId="27" state="visible" r:id="rId28"/>
    <sheet name="HPNR(F3)-CP_Used_car" sheetId="28" state="visible" r:id="rId29"/>
    <sheet name="HPNR(F3)-HPR_Used_car" sheetId="29" state="visible" r:id="rId30"/>
    <sheet name="HPNR(F3)-HPNR_Used_car" sheetId="30" state="visible" r:id="rId31"/>
    <sheet name="CP(F3)-PCH_Used_car" sheetId="31" state="visible" r:id="rId32"/>
    <sheet name="CP(F3)-BCH_Used_car" sheetId="32" state="visible" r:id="rId33"/>
    <sheet name="FL(F3)-FL_Used_car" sheetId="33" state="visible" r:id="rId34"/>
    <sheet name="FL(F3)-PCH_Used_car" sheetId="34" state="visible" r:id="rId35"/>
    <sheet name="FL(F3)-BCH_Used_car" sheetId="35" state="visible" r:id="rId36"/>
    <sheet name="HPNR (F3)-FL_Used_car" sheetId="36" state="visible" r:id="rId37"/>
    <sheet name="HPNR (F3)-PCH_Used_car" sheetId="37" state="visible" r:id="rId38"/>
    <sheet name="HPNR (F3)-BCH_Used_car" sheetId="38" state="visible" r:id="rId39"/>
    <sheet name="PCP_used_car" sheetId="39" state="visible" r:id="rId40"/>
    <sheet name="CP_used_car" sheetId="40" state="visible" r:id="rId41"/>
    <sheet name="HPR_used_car" sheetId="41" state="visible" r:id="rId42"/>
    <sheet name="HPNR_used_car" sheetId="42" state="visible" r:id="rId43"/>
    <sheet name="BCH-F3-PCH_Used_car" sheetId="43" state="visible" r:id="rId44"/>
    <sheet name="BCH-F3-BCH_Used_car" sheetId="44" state="visible" r:id="rId45"/>
    <sheet name="Formula1-FL_Used_car" sheetId="45" state="visible" r:id="rId46"/>
    <sheet name="Formula1-PCH_Used_car" sheetId="46" state="visible" r:id="rId47"/>
    <sheet name="CP (Formula 3) - PCH" sheetId="47" state="visible" r:id="rId48"/>
    <sheet name="CP (Formula 3) - BCH" sheetId="48" state="visible" r:id="rId49"/>
    <sheet name="CP (Formula 2) - CP" sheetId="49" state="visible" r:id="rId50"/>
    <sheet name="CP (Formula 2) - PCP" sheetId="50" state="visible" r:id="rId51"/>
    <sheet name="Formula1-BCH_Used_car" sheetId="51" state="visible" r:id="rId52"/>
    <sheet name="HPNR (Formula 3) - PCP" sheetId="52" state="visible" r:id="rId53"/>
    <sheet name="HPNR (Formula 3) - CP" sheetId="53" state="visible" r:id="rId54"/>
    <sheet name="HPNR (Formula 3) - HPR" sheetId="54" state="visible" r:id="rId55"/>
    <sheet name="HPNR (Formula 3) - FL" sheetId="55" state="visible" r:id="rId56"/>
    <sheet name="HPNR (Formula 3) - PCH" sheetId="56" state="visible" r:id="rId57"/>
    <sheet name="HPNR (Formula 3) - BCH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PNR (Formula 3) - HPNR" sheetId="61" state="visible" r:id="rId62"/>
    <sheet name="HirePurchaseNonRegulated" sheetId="62" state="visible" r:id="rId63"/>
    <sheet name="HirePurchaseRegulated" sheetId="63" state="visible" r:id="rId64"/>
    <sheet name="PersonalContractPurchase" sheetId="64" state="visible" r:id="rId65"/>
    <sheet name="ContractPurchase" sheetId="65" state="visible" r:id="rId66"/>
    <sheet name="Formula1-FL" sheetId="66" state="visible" r:id="rId67"/>
    <sheet name="Formula1-PCH" sheetId="67" state="visible" r:id="rId68"/>
    <sheet name="Formula1-BCH" sheetId="68" state="visible" r:id="rId69"/>
    <sheet name="FL (Formula 3) - BCH, PCH, FL" sheetId="69" state="visible" r:id="rId70"/>
    <sheet name="BCH (Formula 3) - PCH" sheetId="70" state="visible" r:id="rId71"/>
    <sheet name="BCH (Formula 3) - BCH" sheetId="71" state="visible" r:id="rId7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<sst xmlns="http://schemas.openxmlformats.org/spreadsheetml/2006/main" count="33251" uniqueCount="426">
  <si>
    <t xml:space="preserve">Hire Default Broker Margin Values</t>
  </si>
  <si>
    <t xml:space="preserve">Min </t>
  </si>
  <si>
    <t xml:space="preserve">Max</t>
  </si>
  <si>
    <t xml:space="preserve">Values</t>
  </si>
  <si>
    <t xml:space="preserve">Purchase Default Broker Margin Percentage</t>
  </si>
  <si>
    <t xml:space="preserve">A1 Credit</t>
  </si>
  <si>
    <t xml:space="preserve"> </t>
  </si>
  <si>
    <t xml:space="preserve">Percentage Values</t>
  </si>
  <si>
    <t xml:space="preserve">Limited Credit</t>
  </si>
  <si>
    <t xml:space="preserve">Premium Credit</t>
  </si>
  <si>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</si>
  <si>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</si>
  <si>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</si>
  <si>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</si>
  <si>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</si>
  <si>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</si>
  <si>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</si>
  <si>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</si>
  <si>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</si>
  <si>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</si>
  <si>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</si>
  <si>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</si>
  <si>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</si>
  <si>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</si>
  <si>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</si>
  <si>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</si>
  <si>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</si>
  <si>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</si>
  <si>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</si>
  <si>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</si>
  <si>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</si>
  <si>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</si>
  <si>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</si>
  <si>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</si>
  <si>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</si>
  <si>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</si>
  <si>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</si>
  <si>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</si>
  <si>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</si>
  <si>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</si>
  <si>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</si>
  <si>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</si>
  <si>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</si>
  <si>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</si>
  <si>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</si>
  <si>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</si>
  <si>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</si>
  <si>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</si>
  <si>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</si>
  <si>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</si>
  <si>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</si>
  <si>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</si>
  <si>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</si>
  <si>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</si>
  <si>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</si>
  <si>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</si>
  <si>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</si>
  <si>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</si>
  <si>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</si>
  <si>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</si>
  <si>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</si>
  <si>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</si>
  <si>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</si>
  <si>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</si>
  <si>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</si>
  <si>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</si>
  <si>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</si>
  <si>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</si>
  <si>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</si>
  <si>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</si>
  <si>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</si>
  <si>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</si>
  <si>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</si>
  <si>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</si>
  <si>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</si>
  <si>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</si>
  <si>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</si>
  <si>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</si>
  <si>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</si>
  <si>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</si>
  <si>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</si>
  <si>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</si>
  <si>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</si>
  <si>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</si>
  <si>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</si>
  <si>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</si>
  <si>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</si>
  <si>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</si>
  <si>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</si>
  <si>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437.00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</si>
  <si>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</si>
  <si>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</si>
  <si>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</si>
  <si>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</si>
  <si>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</si>
  <si>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</si>
  <si>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</si>
  <si>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</si>
  <si>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</si>
  <si>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</si>
  <si>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</si>
  <si>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</si>
  <si>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</si>
  <si>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</si>
  <si>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</si>
  <si>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</si>
  <si>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</si>
  <si>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</si>
  <si>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</si>
  <si>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</si>
  <si>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</si>
  <si>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</si>
  <si>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</si>
  <si>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</si>
  <si>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</si>
  <si>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</si>
  <si>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</si>
  <si>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</si>
  <si>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</si>
  <si>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</si>
  <si>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</si>
  <si>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</si>
  <si>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</si>
  <si>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</si>
  <si>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</si>
  <si>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</si>
  <si>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</si>
  <si>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</si>
  <si>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</si>
  <si>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</si>
  <si>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</si>
  <si>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</si>
  <si>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</si>
  <si>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</si>
  <si>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</si>
  <si>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</si>
  <si>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</si>
  <si>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</si>
  <si>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</si>
  <si>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</si>
  <si>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</si>
  <si>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</si>
  <si>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</si>
  <si>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</si>
  <si>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</si>
  <si>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</si>
  <si>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</si>
  <si>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</si>
  <si>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</si>
  <si>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</si>
  <si>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</si>
  <si>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</si>
  <si>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</si>
  <si>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</si>
  <si>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</si>
  <si>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</si>
  <si>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</si>
  <si>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</si>
  <si>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</si>
  <si>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</si>
  <si>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</si>
  <si>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</si>
  <si>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</si>
  <si>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</si>
  <si>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</si>
  <si>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</si>
  <si>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</si>
  <si>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</si>
  <si>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</si>
  <si>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</si>
  <si>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</si>
  <si>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</si>
  <si>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</si>
  <si>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</si>
  <si>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</si>
  <si>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</si>
  <si>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</si>
  <si>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</si>
  <si>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</si>
  <si>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</si>
  <si>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</si>
  <si>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</si>
  <si>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</si>
  <si>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</si>
  <si>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</si>
  <si>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</si>
  <si>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</si>
  <si>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</si>
  <si>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Referrer Commission 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</si>
  <si>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</si>
  <si>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</si>
  <si>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</si>
  <si>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</si>
  <si>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</si>
  <si>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</si>
  <si>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</si>
  <si>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</si>
  <si>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</si>
  <si>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</si>
  <si>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</si>
  <si>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</si>
  <si>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</si>
  <si>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</si>
  <si>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</si>
  <si>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</si>
  <si>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</si>
  <si>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</si>
  <si>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</si>
  <si>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</si>
  <si>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</si>
  <si>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</si>
  <si>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</si>
  <si>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</si>
  <si>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</si>
  <si>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</si>
  <si>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</si>
  <si>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</si>
  <si>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</si>
  <si>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</si>
  <si>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</si>
  <si>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</si>
  <si>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</si>
  <si>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</si>
  <si>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</si>
  <si>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</si>
  <si>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</si>
  <si>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</si>
  <si>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</si>
  <si>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</si>
  <si>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</si>
  <si>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</si>
  <si>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</si>
  <si>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</si>
  <si>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</si>
  <si>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</si>
  <si>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</si>
  <si>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</si>
  <si>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</si>
  <si>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</si>
  <si>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</si>
  <si>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</si>
  <si>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</si>
  <si>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</si>
  <si>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</si>
  <si>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436.00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</si>
  <si>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</si>
  <si>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</si>
  <si>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</si>
  <si>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</si>
  <si>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</si>
  <si>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</si>
  <si>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</si>
  <si>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</si>
  <si>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</si>
  <si>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18850.00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</si>
  <si>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</si>
  <si>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</si>
  <si>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</si>
  <si>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</si>
  <si>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</si>
  <si>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</si>
  <si>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</si>
  <si>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</si>
  <si>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</si>
  <si>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</si>
  <si>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</si>
  <si>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</si>
  <si>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</si>
  <si>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</si>
  <si>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</si>
  <si>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</si>
  <si>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</si>
  <si>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</si>
  <si>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</si>
  <si>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</si>
  <si>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</si>
  <si>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</si>
  <si>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</si>
  <si>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</si>
  <si>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</si>
  <si>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</si>
  <si>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</si>
  <si>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</si>
  <si>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</si>
  <si>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</si>
  <si>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</si>
  <si>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</si>
  <si>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</si>
  <si>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</si>
  <si>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</si>
  <si>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</si>
  <si>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</si>
  <si>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</si>
  <si>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</si>
  <si>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</si>
  <si>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</si>
  <si>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</si>
  <si>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</si>
  <si>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</si>
  <si>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</si>
  <si>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</si>
  <si>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</si>
  <si>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</si>
  <si>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</si>
  <si>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</si>
  <si>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</si>
  <si>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</si>
  <si>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</si>
  <si>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</si>
  <si>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</si>
  <si>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</si>
  <si>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</si>
  <si>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</si>
  <si>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</si>
  <si>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</si>
  <si>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</si>
  <si>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</si>
  <si>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</si>
  <si>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</si>
  <si>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</si>
  <si>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</si>
  <si>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</si>
  <si>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</si>
  <si>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</si>
  <si>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</si>
  <si>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</si>
  <si>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</si>
  <si>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</si>
  <si>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</si>
  <si>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</si>
  <si>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</si>
  <si>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</si>
  <si>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</si>
  <si>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</si>
  <si>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</si>
  <si>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</si>
  <si>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</si>
  <si>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</si>
  <si>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</si>
  <si>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</si>
  <si>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</si>
  <si>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</si>
  <si>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</si>
  <si>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</si>
  <si>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</si>
  <si>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</si>
  <si>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</si>
  <si>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</si>
  <si>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</si>
  <si>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</si>
  <si>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</si>
  <si>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</si>
  <si>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</si>
  <si>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</si>
  <si>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</si>
  <si>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</si>
  <si>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</si>
  <si>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</si>
  <si>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</si>
  <si>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</si>
  <si>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</si>
  <si>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</si>
  <si>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36.33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</si>
  <si>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</si>
  <si>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</si>
  <si>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</si>
  <si>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</si>
  <si>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</si>
  <si>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</si>
  <si>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</si>
  <si>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</si>
  <si>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</si>
  <si>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</si>
  <si>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</si>
  <si>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</si>
  <si>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</si>
  <si>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</si>
  <si>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</si>
  <si>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</si>
  <si>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</si>
  <si>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</si>
  <si>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</si>
  <si>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</si>
  <si>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</si>
  <si>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</si>
  <si>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</si>
  <si>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</si>
  <si>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</si>
  <si>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</si>
  <si>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21600.00</t>
  </si>
  <si>
    <t xml:space="preserve">60</t>
  </si>
  <si>
    <t xml:space="preserve">2</t>
  </si>
  <si>
    <t xml:space="preserve">Minimum Margin </t>
  </si>
  <si>
    <t xml:space="preserve">Margin Required </t>
  </si>
  <si>
    <t xml:space="preserve">OTR Calculation</t>
  </si>
  <si>
    <t xml:space="preserve">609.18</t>
  </si>
  <si>
    <t xml:space="preserve">69019.99</t>
  </si>
  <si>
    <t xml:space="preserve">8.19</t>
  </si>
  <si>
    <t xml:space="preserve">Default Broker Margin </t>
  </si>
  <si>
    <t xml:space="preserve">RFL included?</t>
  </si>
  <si>
    <t>YES</t>
  </si>
  <si>
    <t>0</t>
  </si>
  <si>
    <t>A1 Credit</t>
  </si>
  <si>
    <t>199.99</t>
  </si>
  <si>
    <t>NO</t>
  </si>
  <si>
    <t>40</t>
  </si>
  <si>
    <t>60</t>
  </si>
  <si>
    <t>239.99</t>
  </si>
  <si>
    <t>30</t>
  </si>
  <si>
    <t>500</t>
  </si>
  <si>
    <t>6000</t>
  </si>
  <si>
    <t>12</t>
  </si>
  <si>
    <t>10</t>
  </si>
  <si>
    <t>2</t>
  </si>
  <si>
    <t>1</t>
  </si>
  <si>
    <t>5000</t>
  </si>
  <si>
    <t>1000</t>
  </si>
  <si>
    <t>50</t>
  </si>
  <si>
    <t>0.00</t>
  </si>
  <si>
    <t>Limited Credit</t>
  </si>
  <si>
    <t>20</t>
  </si>
  <si>
    <t>21750.00</t>
  </si>
  <si>
    <t>33</t>
  </si>
  <si>
    <t>100</t>
  </si>
  <si>
    <t>200</t>
  </si>
  <si>
    <t xml:space="preserve"> Terminal pause with 6 down 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</si>
</sst>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&quot;TRUE&quot;;&quot;TRUE&quot;;&quot;FALSE&quot;"/>
    <numFmt numFmtId="166" formatCode="\£#,##0.00"/>
    <numFmt numFmtId="167" formatCode="General"/>
    <numFmt numFmtId="168" formatCode="0%"/>
    <numFmt numFmtId="169" formatCode="0.00%"/>
    <numFmt numFmtId="170" formatCode="#,##0.00"/>
    <numFmt numFmtId="171" formatCode="[$-409]m/d/yyyy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Arial"/>
      <family val="0"/>
      <charset val="1"/>
    </font>
    <font>
      <sz val="14"/>
      <color rgb="FF000000"/>
      <name val="Calibri"/>
      <family val="0"/>
      <charset val="1"/>
    </font>
    <font>
      <b val="true"/>
      <sz val="32"/>
      <color rgb="FFFFFFFF"/>
      <name val="Calibri"/>
      <family val="0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0"/>
      <charset val="1"/>
    </font>
    <font>
      <sz val="11"/>
      <color rgb="FF000000"/>
      <name val="Calibri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0"/>
      <charset val="1"/>
    </font>
    <font>
      <b val="true"/>
      <sz val="18"/>
      <color rgb="FF000000"/>
      <name val="Calibri"/>
      <family val="0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0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0"/>
      <charset val="1"/>
    </font>
    <font>
      <b val="true"/>
      <sz val="16"/>
      <color rgb="FFFFFFFF"/>
      <name val="Calibri"/>
      <family val="0"/>
      <charset val="1"/>
    </font>
    <font>
      <b val="true"/>
      <sz val="14"/>
      <color rgb="FFC00000"/>
      <name val="Calibri"/>
      <family val="0"/>
      <charset val="1"/>
    </font>
    <font>
      <b val="true"/>
      <u val="single"/>
      <sz val="14"/>
      <color rgb="FF000000"/>
      <name val="Calibri"/>
      <family val="0"/>
      <charset val="1"/>
    </font>
    <font>
      <b val="true"/>
      <sz val="16"/>
      <color rgb="FF000000"/>
      <name val="Calibri"/>
      <family val="0"/>
      <charset val="1"/>
    </font>
    <font>
      <sz val="16"/>
      <color rgb="FF000000"/>
      <name val="Calibri"/>
      <family val="0"/>
      <charset val="1"/>
    </font>
    <font>
      <b val="true"/>
      <u val="single"/>
      <sz val="16"/>
      <color rgb="FF000000"/>
      <name val="Calibri"/>
      <family val="0"/>
      <charset val="1"/>
    </font>
    <font>
      <b val="true"/>
      <sz val="16"/>
      <color rgb="FFFF0000"/>
      <name val="Calibri"/>
      <family val="0"/>
      <charset val="1"/>
    </font>
    <font>
      <i val="true"/>
      <sz val="12"/>
      <color rgb="FFBFBFBF"/>
      <name val="Calibri"/>
      <family val="0"/>
      <charset val="1"/>
    </font>
    <font>
      <b val="true"/>
      <sz val="14"/>
      <color rgb="FFFF0000"/>
      <name val="Calibri"/>
      <family val="0"/>
      <charset val="1"/>
    </font>
    <font>
      <sz val="14"/>
      <color rgb="FFFF0000"/>
      <name val="Calibri"/>
      <family val="0"/>
      <charset val="1"/>
    </font>
    <font>
      <sz val="11"/>
      <color rgb="FFFF0000"/>
      <name val="Calibri"/>
      <family val="0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0"/>
      <charset val="1"/>
    </font>
    <font>
      <b val="true"/>
      <u val="single"/>
      <sz val="16"/>
      <color rgb="FFFFFFFF"/>
      <name val="Calibri"/>
      <family val="0"/>
      <charset val="1"/>
    </font>
    <font>
      <sz val="14"/>
      <color rgb="FFC9211E"/>
      <name val="Calibri"/>
      <family val="0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9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7" fontId="8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7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5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5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5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5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6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7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5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5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9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7" fontId="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0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8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6" fontId="5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5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7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5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9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9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5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5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7" fontId="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9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5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worksheets/sheet71.xml" Type="http://schemas.openxmlformats.org/officeDocument/2006/relationships/worksheet"/><Relationship Id="rId73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3" activeCellId="0" sqref="B13"/>
    </sheetView>
  </sheetViews>
  <sheetFormatPr defaultColWidth="10.328125" defaultRowHeight="12.8" zeroHeight="false" outlineLevelRow="0" outlineLevelCol="0"/>
  <cols>
    <col min="1" max="1" customWidth="true" hidden="false" style="0" width="15.33" collapsed="false" outlineLevel="0"/>
    <col min="2" max="2" customWidth="true" hidden="false" style="0" width="22.29" collapsed="false" outlineLevel="0"/>
    <col min="3" max="3" customWidth="true" hidden="false" style="0" width="24.32" collapsed="false" outlineLevel="0"/>
  </cols>
  <sheetData>
    <row r="1" customFormat="false" ht="13.8" hidden="false" customHeight="false" outlineLevel="0" collapsed="false">
      <c r="A1" s="1" t="s">
        <v>0</v>
      </c>
      <c r="B1" s="1"/>
      <c r="C1" s="1"/>
    </row>
    <row r="2" customFormat="false" ht="12.8" hidden="false" customHeight="false" outlineLevel="0" collapsed="false">
      <c r="A2" s="0" t="s">
        <v>1</v>
      </c>
      <c r="B2" s="0" t="s">
        <v>2</v>
      </c>
      <c r="C2" s="0" t="s">
        <v>3</v>
      </c>
    </row>
    <row r="3" customFormat="false" ht="12.8" hidden="false" customHeight="false" outlineLevel="0" collapsed="false">
      <c r="A3" s="0" t="n">
        <v>12</v>
      </c>
      <c r="B3" s="0" t="n">
        <v>24</v>
      </c>
      <c r="C3" s="0" t="n">
        <v>100</v>
      </c>
    </row>
    <row r="4" customFormat="false" ht="12.8" hidden="false" customHeight="false" outlineLevel="0" collapsed="false">
      <c r="A4" s="0" t="n">
        <v>26</v>
      </c>
      <c r="B4" s="0" t="n">
        <v>36</v>
      </c>
      <c r="C4" s="0" t="n">
        <v>300</v>
      </c>
    </row>
    <row r="5" customFormat="false" ht="12.8" hidden="false" customHeight="false" outlineLevel="0" collapsed="false">
      <c r="A5" s="0" t="n">
        <v>38</v>
      </c>
      <c r="B5" s="0" t="n">
        <v>48</v>
      </c>
      <c r="C5" s="0" t="n">
        <v>400</v>
      </c>
    </row>
    <row r="6" customFormat="false" ht="12.8" hidden="false" customHeight="false" outlineLevel="0" collapsed="false">
      <c r="A6" s="0" t="n">
        <v>50</v>
      </c>
      <c r="B6" s="0" t="n">
        <v>84</v>
      </c>
      <c r="C6" s="0" t="n">
        <v>500</v>
      </c>
    </row>
    <row r="10" customFormat="false" ht="14.15" hidden="false" customHeight="false" outlineLevel="0" collapsed="false">
      <c r="A10" s="1" t="s">
        <v>4</v>
      </c>
      <c r="B10" s="1"/>
      <c r="C10" s="1"/>
    </row>
    <row r="11" customFormat="false" ht="13.8" hidden="false" customHeight="false" outlineLevel="0" collapsed="false">
      <c r="A11" s="2" t="s">
        <v>5</v>
      </c>
      <c r="B11" s="3"/>
      <c r="C11" s="3"/>
      <c r="D11" s="4" t="s">
        <v>6</v>
      </c>
    </row>
    <row r="12" customFormat="false" ht="13.8" hidden="false" customHeight="false" outlineLevel="0" collapsed="false">
      <c r="A12" s="5" t="s">
        <v>1</v>
      </c>
      <c r="B12" s="5" t="s">
        <v>2</v>
      </c>
      <c r="C12" s="5" t="s">
        <v>7</v>
      </c>
    </row>
    <row r="13" customFormat="false" ht="12.8" hidden="false" customHeight="false" outlineLevel="0" collapsed="false">
      <c r="A13" s="0" t="n">
        <v>12</v>
      </c>
      <c r="B13" s="0" t="n">
        <v>36</v>
      </c>
      <c r="C13" s="0" t="n">
        <v>5</v>
      </c>
    </row>
    <row r="14" customFormat="false" ht="13.8" hidden="false" customHeight="false" outlineLevel="0" collapsed="false">
      <c r="A14" s="0" t="n">
        <v>37</v>
      </c>
      <c r="B14" s="0" t="n">
        <v>48</v>
      </c>
      <c r="C14" s="0" t="n">
        <v>2</v>
      </c>
    </row>
    <row r="15" customFormat="false" ht="13.8" hidden="false" customHeight="false" outlineLevel="0" collapsed="false">
      <c r="A15" s="0" t="n">
        <v>49</v>
      </c>
      <c r="B15" s="0" t="n">
        <v>55</v>
      </c>
      <c r="C15" s="0" t="n">
        <v>3</v>
      </c>
    </row>
    <row r="16" customFormat="false" ht="12.8" hidden="false" customHeight="false" outlineLevel="0" collapsed="false">
      <c r="A16" s="0" t="n">
        <v>0</v>
      </c>
      <c r="B16" s="0" t="n">
        <v>0</v>
      </c>
      <c r="C16" s="0" t="n">
        <v>0</v>
      </c>
    </row>
    <row r="17" customFormat="false" ht="12.8" hidden="false" customHeight="false" outlineLevel="0" collapsed="false">
      <c r="A17" s="0" t="n">
        <v>0</v>
      </c>
      <c r="B17" s="0" t="n">
        <v>0</v>
      </c>
      <c r="C17" s="0" t="n">
        <v>0</v>
      </c>
    </row>
    <row r="19" customFormat="false" ht="13.8" hidden="false" customHeight="false" outlineLevel="0" collapsed="false">
      <c r="A19" s="2" t="s">
        <v>8</v>
      </c>
      <c r="B19" s="3"/>
      <c r="C19" s="3"/>
    </row>
    <row r="20" customFormat="false" ht="13.8" hidden="false" customHeight="false" outlineLevel="0" collapsed="false">
      <c r="A20" s="5" t="s">
        <v>1</v>
      </c>
      <c r="B20" s="5" t="s">
        <v>2</v>
      </c>
      <c r="C20" s="5" t="s">
        <v>7</v>
      </c>
    </row>
    <row r="21" customFormat="false" ht="13.8" hidden="false" customHeight="false" outlineLevel="0" collapsed="false">
      <c r="A21" s="0" t="n">
        <v>6</v>
      </c>
      <c r="B21" s="0" t="n">
        <v>7</v>
      </c>
      <c r="C21" s="0" t="n">
        <v>0.5</v>
      </c>
    </row>
    <row r="22" customFormat="false" ht="13.8" hidden="false" customHeight="false" outlineLevel="0" collapsed="false">
      <c r="A22" s="0" t="n">
        <v>12</v>
      </c>
      <c r="B22" s="0" t="n">
        <v>23</v>
      </c>
      <c r="C22" s="0" t="n">
        <v>2</v>
      </c>
    </row>
    <row r="23" customFormat="false" ht="13.8" hidden="false" customHeight="false" outlineLevel="0" collapsed="false">
      <c r="A23" s="0" t="n">
        <v>24</v>
      </c>
      <c r="B23" s="0" t="n">
        <v>55</v>
      </c>
      <c r="C23" s="0" t="n">
        <v>3</v>
      </c>
    </row>
    <row r="24" customFormat="false" ht="12.8" hidden="false" customHeight="false" outlineLevel="0" collapsed="false">
      <c r="A24" s="0" t="n">
        <v>0</v>
      </c>
      <c r="B24" s="0" t="n">
        <v>0</v>
      </c>
      <c r="C24" s="0" t="n">
        <v>0</v>
      </c>
    </row>
    <row r="25" customFormat="false" ht="12.8" hidden="false" customHeight="false" outlineLevel="0" collapsed="false">
      <c r="A25" s="0" t="n">
        <v>0</v>
      </c>
      <c r="B25" s="0" t="n">
        <v>0</v>
      </c>
      <c r="C25" s="0" t="n">
        <v>0</v>
      </c>
    </row>
    <row r="27" customFormat="false" ht="13.8" hidden="false" customHeight="false" outlineLevel="0" collapsed="false">
      <c r="A27" s="2" t="s">
        <v>9</v>
      </c>
      <c r="B27" s="3"/>
      <c r="C27" s="3"/>
    </row>
    <row r="28" customFormat="false" ht="13.8" hidden="false" customHeight="false" outlineLevel="0" collapsed="false">
      <c r="A28" s="5" t="s">
        <v>1</v>
      </c>
      <c r="B28" s="5" t="s">
        <v>2</v>
      </c>
      <c r="C28" s="5" t="s">
        <v>7</v>
      </c>
    </row>
    <row r="29" customFormat="false" ht="13.8" hidden="false" customHeight="false" outlineLevel="0" collapsed="false">
      <c r="A29" s="0" t="n">
        <v>12</v>
      </c>
      <c r="B29" s="0" t="n">
        <v>23</v>
      </c>
      <c r="C29" s="0" t="n">
        <v>1</v>
      </c>
    </row>
    <row r="30" customFormat="false" ht="13.8" hidden="false" customHeight="false" outlineLevel="0" collapsed="false">
      <c r="A30" s="0" t="n">
        <v>24</v>
      </c>
      <c r="B30" s="0" t="n">
        <v>35</v>
      </c>
      <c r="C30" s="0" t="n">
        <v>2</v>
      </c>
    </row>
    <row r="31" customFormat="false" ht="13.8" hidden="false" customHeight="false" outlineLevel="0" collapsed="false">
      <c r="A31" s="0" t="n">
        <v>37</v>
      </c>
      <c r="B31" s="0" t="n">
        <v>47</v>
      </c>
      <c r="C31" s="0" t="n">
        <v>3</v>
      </c>
    </row>
    <row r="32" customFormat="false" ht="13.8" hidden="false" customHeight="false" outlineLevel="0" collapsed="false">
      <c r="A32" s="0" t="n">
        <v>48</v>
      </c>
      <c r="B32" s="0" t="n">
        <v>50</v>
      </c>
      <c r="C32" s="0" t="n">
        <v>4</v>
      </c>
    </row>
    <row r="33" customFormat="false" ht="13.8" hidden="false" customHeight="false" outlineLevel="0" collapsed="false">
      <c r="A33" s="0" t="n">
        <v>51</v>
      </c>
      <c r="B33" s="0" t="n">
        <v>84</v>
      </c>
      <c r="C33" s="0" t="n">
        <v>5</v>
      </c>
    </row>
  </sheetData>
  <mergeCells count="2">
    <mergeCell ref="A1:C1"/>
    <mergeCell ref="A10:C1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0" colorId="64" zoomScale="95" zoomScaleNormal="95" zoomScalePageLayoutView="100" workbookViewId="0">
      <selection pane="topLeft" activeCell="E188" activeCellId="0" sqref="E188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2" customWidth="true" hidden="false" style="6" width="18.88" collapsed="false" outlineLevel="0"/>
    <col min="13" max="13" customWidth="true" hidden="false" style="6" width="22.47" collapsed="false" outlineLevel="0"/>
    <col min="14" max="14" customWidth="true" hidden="false" style="6" width="20.93" collapsed="false" outlineLevel="0"/>
    <col min="15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15083.33</v>
      </c>
      <c r="C2" s="9" t="s">
        <v>12</v>
      </c>
      <c r="D2" s="10" t="n">
        <f aca="false">C9</f>
        <v>3016.666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18099.996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15083.33</v>
      </c>
      <c r="C9" s="14" t="n">
        <f aca="false">B9*0.2</f>
        <v>3016.666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15083.33</v>
      </c>
      <c r="C15" s="14" t="n">
        <f aca="false">SUM(C9:C13)</f>
        <v>3016.666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18099.996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15083.33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str">
        <f aca="false">A46</f>
        <v>50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51</v>
      </c>
      <c r="B34" s="36"/>
      <c r="C34" s="45" t="s">
        <v>52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s">
        <v>6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18099.996</v>
      </c>
      <c r="B37" s="36"/>
      <c r="C37" s="45" t="s">
        <v>54</v>
      </c>
      <c r="D37" s="45"/>
      <c r="E37" s="36"/>
      <c r="F37" s="47" t="n">
        <f aca="false">A37-C37</f>
        <v>17099.996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11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C15</f>
        <v>3016.666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str">
        <f aca="false">IF(F43="Yes",A46,0)</f>
        <v>50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168.0555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381.9445</v>
      </c>
      <c r="L45" s="7"/>
    </row>
    <row r="46" customFormat="false" ht="19.5" hidden="false" customHeight="false" outlineLevel="0" collapsed="false">
      <c r="A46" s="44" t="s">
        <v>79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384.611166666667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334.611166666667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89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600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384.611166666667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40526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40526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40526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40526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11418.9953372019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113.75002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2026.3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202.63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384.611166666667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384.611166666667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384.611166666667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17099.996</v>
      </c>
      <c r="C90" s="36"/>
      <c r="D90" s="36"/>
      <c r="E90" s="27"/>
      <c r="F90" s="29" t="s">
        <v>115</v>
      </c>
      <c r="G90" s="31" t="n">
        <f aca="false">F37</f>
        <v>17099.996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IF(A111="YES",A43,0)*1.2</f>
        <v>7200</v>
      </c>
      <c r="C91" s="36"/>
      <c r="D91" s="36"/>
      <c r="E91" s="27"/>
      <c r="F91" s="35" t="s">
        <v>116</v>
      </c>
      <c r="G91" s="37" t="n">
        <f aca="false">IF(A111="YES",A43,0)*1.2</f>
        <v>7200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6354.94179987962</v>
      </c>
      <c r="C95" s="36"/>
      <c r="D95" s="36"/>
      <c r="E95" s="27"/>
      <c r="F95" s="35" t="s">
        <v>120</v>
      </c>
      <c r="G95" s="37" t="n">
        <f aca="false">(G91/((1+G93)^(G94+1)))</f>
        <v>6748.06930144099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10745.0542001204</v>
      </c>
      <c r="C97" s="36"/>
      <c r="D97" s="36"/>
      <c r="E97" s="27"/>
      <c r="F97" s="35" t="s">
        <v>122</v>
      </c>
      <c r="G97" s="37" t="n">
        <f aca="false">G90-G95</f>
        <v>10351.926698559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1039.18139429109</v>
      </c>
      <c r="C98" s="36"/>
      <c r="D98" s="36"/>
      <c r="E98" s="27"/>
      <c r="F98" s="35" t="s">
        <v>123</v>
      </c>
      <c r="G98" s="37" t="n">
        <f aca="false">(G97/G96)</f>
        <v>971.944838563291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11430.9953372019</v>
      </c>
      <c r="C99" s="36"/>
      <c r="D99" s="36"/>
      <c r="E99" s="27"/>
      <c r="F99" s="35" t="s">
        <v>124</v>
      </c>
      <c r="G99" s="37" t="n">
        <f aca="false">((G98*(G94))+G86)</f>
        <v>10691.3932241962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11430.9953372019</v>
      </c>
      <c r="C101" s="36"/>
      <c r="D101" s="36"/>
      <c r="E101" s="27"/>
      <c r="F101" s="60" t="s">
        <v>126</v>
      </c>
      <c r="G101" s="69" t="n">
        <f aca="false">(G99+G100)</f>
        <v>10691.3932241962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((A46*A34)+((A46*A34)*A117))/(B68)*1.2</f>
        <v>85.0909090909091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1039.18139429109</v>
      </c>
      <c r="C104" s="36"/>
      <c r="D104" s="36"/>
      <c r="E104" s="27"/>
      <c r="F104" s="99" t="s">
        <v>128</v>
      </c>
      <c r="G104" s="100" t="n">
        <f aca="false">G101/(G94)</f>
        <v>971.944838563291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1124.272303382</v>
      </c>
      <c r="C105" s="36"/>
      <c r="D105" s="36"/>
      <c r="E105" s="27" t="s">
        <v>27</v>
      </c>
      <c r="F105" s="101" t="s">
        <v>129</v>
      </c>
      <c r="G105" s="102" t="n">
        <f aca="false">G103+G104</f>
        <v>971.944838563291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s">
        <v>8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138</v>
      </c>
      <c r="C114" s="107"/>
      <c r="D114" s="107"/>
      <c r="E114" s="108" t="s">
        <v>27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0.3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151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18099.996</v>
      </c>
      <c r="C130" s="125" t="n">
        <v>17291.67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18099.996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18099.996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18099.996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18099.996</v>
      </c>
      <c r="C134" s="137" t="n">
        <f aca="false">C130-C133</f>
        <v>17291.67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15083.33</v>
      </c>
      <c r="H144" s="157" t="n">
        <f aca="false">C134+E134+G134+H137</f>
        <v>17291.67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3016.666</v>
      </c>
      <c r="H146" s="37" t="n">
        <f aca="false">(H144+H145)*20%</f>
        <v>3458.334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18099.996</v>
      </c>
      <c r="H150" s="161" t="n">
        <f aca="false">(H144+H145+H148+H149+H146)-H147</f>
        <v>20750.004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37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18099.996</v>
      </c>
      <c r="H156" s="168" t="n">
        <f aca="false">H150-((H153*1.2)+(H154*1.2)+(H155*1.2)+(H151*1.2))</f>
        <v>20750.004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2208.34</v>
      </c>
      <c r="I157" s="6" t="n">
        <f aca="false">(H157-G90)/1.2</f>
        <v>-12409.7133333333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7.35" hidden="false" customHeight="false" outlineLevel="0" collapsed="false">
      <c r="A165" s="35" t="s">
        <v>188</v>
      </c>
      <c r="B165" s="36"/>
      <c r="C165" s="36"/>
      <c r="D165" s="27"/>
      <c r="E165" s="36"/>
      <c r="F165" s="27"/>
      <c r="G165" s="27"/>
      <c r="H165" s="44" t="n">
        <v>2000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189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189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189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189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19.7" hidden="false" customHeight="false" outlineLevel="0" collapsed="false">
      <c r="A167" s="173" t="s">
        <v>190</v>
      </c>
      <c r="B167" s="36"/>
      <c r="C167" s="36"/>
      <c r="D167" s="27"/>
      <c r="E167" s="36"/>
      <c r="F167" s="27"/>
      <c r="G167" s="174" t="n">
        <f aca="false">H156-G163-G166+H165</f>
        <v>22750.004</v>
      </c>
      <c r="H167" s="174"/>
      <c r="J167" s="173" t="s">
        <v>190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190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190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239.99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7200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191</v>
      </c>
      <c r="B171" s="32"/>
      <c r="C171" s="32"/>
      <c r="D171" s="32"/>
      <c r="E171" s="32"/>
      <c r="F171" s="32"/>
      <c r="G171" s="32"/>
      <c r="H171" s="32"/>
      <c r="J171" s="32" t="s">
        <v>191</v>
      </c>
      <c r="K171" s="32"/>
      <c r="L171" s="32"/>
      <c r="M171" s="32"/>
      <c r="N171" s="32"/>
      <c r="O171" s="32"/>
      <c r="P171" s="32"/>
      <c r="Q171" s="32"/>
      <c r="S171" s="32" t="s">
        <v>191</v>
      </c>
      <c r="T171" s="32"/>
      <c r="U171" s="32"/>
      <c r="V171" s="32"/>
      <c r="W171" s="32"/>
      <c r="X171" s="32"/>
      <c r="Y171" s="32"/>
      <c r="Z171" s="32"/>
      <c r="AB171" s="32" t="s">
        <v>191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192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192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192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192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193</v>
      </c>
      <c r="B175" s="178" t="s">
        <v>194</v>
      </c>
      <c r="C175" s="178"/>
      <c r="D175" s="178"/>
      <c r="E175" s="178" t="s">
        <v>195</v>
      </c>
      <c r="F175" s="27"/>
      <c r="G175" s="27" t="s">
        <v>196</v>
      </c>
      <c r="H175" s="37"/>
      <c r="J175" s="177" t="s">
        <v>193</v>
      </c>
      <c r="K175" s="179" t="s">
        <v>194</v>
      </c>
      <c r="L175" s="179"/>
      <c r="M175" s="179"/>
      <c r="N175" s="179" t="s">
        <v>195</v>
      </c>
      <c r="O175" s="27"/>
      <c r="P175" s="27"/>
      <c r="Q175" s="37"/>
      <c r="S175" s="177" t="s">
        <v>193</v>
      </c>
      <c r="T175" s="179" t="s">
        <v>194</v>
      </c>
      <c r="U175" s="179"/>
      <c r="V175" s="179"/>
      <c r="W175" s="179" t="s">
        <v>195</v>
      </c>
      <c r="X175" s="27"/>
      <c r="Y175" s="27"/>
      <c r="Z175" s="37"/>
      <c r="AB175" s="177" t="s">
        <v>193</v>
      </c>
      <c r="AC175" s="179" t="s">
        <v>194</v>
      </c>
      <c r="AD175" s="179"/>
      <c r="AE175" s="179"/>
      <c r="AF175" s="179" t="s">
        <v>195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1039.18139429109</v>
      </c>
      <c r="B176" s="181" t="n">
        <f aca="false">B103</f>
        <v>85.0909090909091</v>
      </c>
      <c r="C176" s="178"/>
      <c r="D176" s="178"/>
      <c r="E176" s="181" t="n">
        <f aca="false">B105</f>
        <v>1124.272303382</v>
      </c>
      <c r="F176" s="27"/>
      <c r="G176" s="27" t="n">
        <f aca="false">ROUND(G104,2)</f>
        <v>971.94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197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197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197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197</v>
      </c>
      <c r="AG178" s="27"/>
      <c r="AH178" s="27"/>
      <c r="AI178" s="37"/>
    </row>
    <row r="179" customFormat="false" ht="18.75" hidden="false" customHeight="false" outlineLevel="0" collapsed="false">
      <c r="A179" s="183" t="n">
        <f aca="false">B38</f>
        <v>0</v>
      </c>
      <c r="B179" s="184" t="n">
        <f aca="false">B39</f>
        <v>0</v>
      </c>
      <c r="C179" s="185"/>
      <c r="D179" s="27"/>
      <c r="E179" s="186" t="n">
        <f aca="false">B91</f>
        <v>7200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198</v>
      </c>
      <c r="B181" s="97" t="s">
        <v>199</v>
      </c>
      <c r="C181" s="97"/>
      <c r="D181" s="27"/>
      <c r="E181" s="97" t="s">
        <v>200</v>
      </c>
      <c r="F181" s="27"/>
      <c r="G181" s="27"/>
      <c r="H181" s="37"/>
      <c r="J181" s="35" t="s">
        <v>198</v>
      </c>
      <c r="K181" s="36" t="s">
        <v>199</v>
      </c>
      <c r="L181" s="36"/>
      <c r="M181" s="27"/>
      <c r="N181" s="36" t="s">
        <v>200</v>
      </c>
      <c r="O181" s="27"/>
      <c r="P181" s="27"/>
      <c r="Q181" s="37"/>
      <c r="S181" s="35" t="s">
        <v>198</v>
      </c>
      <c r="T181" s="36" t="s">
        <v>199</v>
      </c>
      <c r="U181" s="36"/>
      <c r="V181" s="27"/>
      <c r="W181" s="36" t="s">
        <v>200</v>
      </c>
      <c r="X181" s="27"/>
      <c r="Y181" s="27"/>
      <c r="Z181" s="37"/>
      <c r="AB181" s="35" t="s">
        <v>198</v>
      </c>
      <c r="AC181" s="36" t="s">
        <v>199</v>
      </c>
      <c r="AD181" s="36"/>
      <c r="AE181" s="27"/>
      <c r="AF181" s="36" t="s">
        <v>200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17291.67</v>
      </c>
      <c r="B182" s="107" t="n">
        <f aca="false">H146</f>
        <v>3458.334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201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201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201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201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20750.004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190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190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190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190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G167</f>
        <v>22750.004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202</v>
      </c>
      <c r="B190" s="97" t="s">
        <v>62</v>
      </c>
      <c r="C190" s="97"/>
      <c r="D190" s="27"/>
      <c r="E190" s="97" t="s">
        <v>203</v>
      </c>
      <c r="F190" s="27"/>
      <c r="G190" s="27"/>
      <c r="H190" s="37"/>
      <c r="J190" s="35" t="s">
        <v>202</v>
      </c>
      <c r="K190" s="36" t="s">
        <v>62</v>
      </c>
      <c r="L190" s="36"/>
      <c r="M190" s="27"/>
      <c r="N190" s="36" t="s">
        <v>203</v>
      </c>
      <c r="O190" s="27"/>
      <c r="P190" s="27"/>
      <c r="Q190" s="37"/>
      <c r="S190" s="35" t="s">
        <v>202</v>
      </c>
      <c r="T190" s="36" t="s">
        <v>62</v>
      </c>
      <c r="U190" s="36"/>
      <c r="V190" s="27"/>
      <c r="W190" s="36" t="s">
        <v>203</v>
      </c>
      <c r="X190" s="27"/>
      <c r="Y190" s="27"/>
      <c r="Z190" s="37"/>
      <c r="AB190" s="35" t="s">
        <v>202</v>
      </c>
      <c r="AC190" s="36" t="s">
        <v>62</v>
      </c>
      <c r="AD190" s="36"/>
      <c r="AE190" s="27"/>
      <c r="AF190" s="36" t="s">
        <v>203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-4119.00866279805</v>
      </c>
      <c r="B191" s="107" t="str">
        <f aca="false">B123</f>
        <v>239.99</v>
      </c>
      <c r="C191" s="107"/>
      <c r="D191" s="27"/>
      <c r="E191" s="107" t="n">
        <f aca="false">E188+A191+B191+A194</f>
        <v>18880.985337202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204</v>
      </c>
      <c r="B193" s="97" t="s">
        <v>205</v>
      </c>
      <c r="C193" s="97"/>
      <c r="D193" s="27"/>
      <c r="E193" s="97" t="s">
        <v>206</v>
      </c>
      <c r="F193" s="27"/>
      <c r="G193" s="27"/>
      <c r="H193" s="37"/>
      <c r="J193" s="35" t="s">
        <v>204</v>
      </c>
      <c r="K193" s="36" t="s">
        <v>205</v>
      </c>
      <c r="L193" s="36"/>
      <c r="M193" s="27"/>
      <c r="N193" s="36" t="s">
        <v>206</v>
      </c>
      <c r="O193" s="27"/>
      <c r="P193" s="27"/>
      <c r="Q193" s="37"/>
      <c r="S193" s="35" t="s">
        <v>204</v>
      </c>
      <c r="T193" s="36" t="s">
        <v>205</v>
      </c>
      <c r="U193" s="36"/>
      <c r="V193" s="27"/>
      <c r="W193" s="36" t="s">
        <v>206</v>
      </c>
      <c r="X193" s="27"/>
      <c r="Y193" s="27"/>
      <c r="Z193" s="37"/>
      <c r="AB193" s="35" t="s">
        <v>204</v>
      </c>
      <c r="AC193" s="36" t="s">
        <v>205</v>
      </c>
      <c r="AD193" s="36"/>
      <c r="AE193" s="27"/>
      <c r="AF193" s="36" t="s">
        <v>206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</f>
        <v>239.99</v>
      </c>
      <c r="C194" s="107"/>
      <c r="D194" s="27"/>
      <c r="E194" s="107" t="n">
        <f aca="false">IF( E179=0 , A194+E176, E179+A194)</f>
        <v>7210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207</v>
      </c>
      <c r="B196" s="97" t="s">
        <v>208</v>
      </c>
      <c r="C196" s="97"/>
      <c r="D196" s="97"/>
      <c r="E196" s="170" t="s">
        <v>209</v>
      </c>
      <c r="F196" s="27"/>
      <c r="G196" s="27"/>
      <c r="H196" s="37"/>
      <c r="J196" s="35" t="s">
        <v>207</v>
      </c>
      <c r="K196" s="36" t="s">
        <v>208</v>
      </c>
      <c r="L196" s="36"/>
      <c r="M196" s="36"/>
      <c r="N196" s="43" t="s">
        <v>209</v>
      </c>
      <c r="O196" s="27"/>
      <c r="P196" s="27"/>
      <c r="Q196" s="37"/>
      <c r="S196" s="35" t="s">
        <v>207</v>
      </c>
      <c r="T196" s="36" t="s">
        <v>208</v>
      </c>
      <c r="U196" s="36"/>
      <c r="V196" s="36"/>
      <c r="W196" s="43" t="s">
        <v>209</v>
      </c>
      <c r="X196" s="36"/>
      <c r="Y196" s="36"/>
      <c r="Z196" s="37"/>
      <c r="AB196" s="35" t="s">
        <v>207</v>
      </c>
      <c r="AC196" s="36" t="s">
        <v>208</v>
      </c>
      <c r="AD196" s="36"/>
      <c r="AE196" s="36"/>
      <c r="AF196" s="43" t="s">
        <v>209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J18*0.000002*100*1.2</f>
        <v>9.72624</v>
      </c>
      <c r="B197" s="107" t="n">
        <f aca="false">(G167*B76)/1.2</f>
        <v>94.7916833333333</v>
      </c>
      <c r="C197" s="97"/>
      <c r="D197" s="97"/>
      <c r="E197" s="107" t="n">
        <f aca="false">IF(E114="YES",(K55*A117*0.1),0)</f>
        <v>18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210</v>
      </c>
      <c r="B199" s="170" t="s">
        <v>211</v>
      </c>
      <c r="C199" s="97"/>
      <c r="D199" s="97"/>
      <c r="E199" s="170" t="s">
        <v>212</v>
      </c>
      <c r="F199" s="27"/>
      <c r="G199" s="27"/>
      <c r="H199" s="37"/>
      <c r="J199" s="64" t="s">
        <v>210</v>
      </c>
      <c r="K199" s="43" t="s">
        <v>211</v>
      </c>
      <c r="L199" s="36"/>
      <c r="M199" s="36"/>
      <c r="N199" s="43" t="s">
        <v>212</v>
      </c>
      <c r="O199" s="27"/>
      <c r="P199" s="27"/>
      <c r="Q199" s="37"/>
      <c r="S199" s="64" t="s">
        <v>210</v>
      </c>
      <c r="T199" s="43" t="s">
        <v>211</v>
      </c>
      <c r="U199" s="36"/>
      <c r="V199" s="36"/>
      <c r="W199" s="43" t="s">
        <v>212</v>
      </c>
      <c r="X199" s="36"/>
      <c r="Y199" s="36"/>
      <c r="Z199" s="37"/>
      <c r="AB199" s="64" t="s">
        <v>210</v>
      </c>
      <c r="AC199" s="43" t="s">
        <v>211</v>
      </c>
      <c r="AD199" s="36"/>
      <c r="AE199" s="36"/>
      <c r="AF199" s="43" t="s">
        <v>212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(B191/1.2)-100</f>
        <v>99.9916666666667</v>
      </c>
      <c r="B200" s="107" t="n">
        <f aca="false">B197+E197+A200</f>
        <v>212.78335</v>
      </c>
      <c r="C200" s="97"/>
      <c r="D200" s="97"/>
      <c r="E200" s="107" t="n">
        <f aca="false">H157</f>
        <v>2208.34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213</v>
      </c>
      <c r="B202" s="97"/>
      <c r="C202" s="97"/>
      <c r="D202" s="71"/>
      <c r="E202" s="71"/>
      <c r="F202" s="71"/>
      <c r="G202" s="71"/>
      <c r="H202" s="72"/>
      <c r="J202" s="70" t="s">
        <v>213</v>
      </c>
      <c r="K202" s="36"/>
      <c r="L202" s="36"/>
      <c r="M202" s="71"/>
      <c r="N202" s="71"/>
      <c r="O202" s="71"/>
      <c r="P202" s="71"/>
      <c r="Q202" s="72"/>
      <c r="S202" s="70" t="s">
        <v>213</v>
      </c>
      <c r="T202" s="36"/>
      <c r="U202" s="36"/>
      <c r="V202" s="71"/>
      <c r="W202" s="71"/>
      <c r="X202" s="71"/>
      <c r="Y202" s="71"/>
      <c r="Z202" s="72"/>
      <c r="AB202" s="70" t="s">
        <v>213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1124.272303382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214</v>
      </c>
      <c r="B209" s="97" t="s">
        <v>215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-4858.664</v>
      </c>
      <c r="B210" s="190" t="n">
        <f aca="false">E188+A210+B191+A194</f>
        <v>18141.33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191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216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193</v>
      </c>
      <c r="B220" s="196" t="s">
        <v>194</v>
      </c>
      <c r="C220" s="196"/>
      <c r="D220" s="196"/>
      <c r="E220" s="196" t="s">
        <v>195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1039.18139429109</v>
      </c>
      <c r="B221" s="181" t="n">
        <f aca="false">B176</f>
        <v>85.0909090909091</v>
      </c>
      <c r="C221" s="178"/>
      <c r="D221" s="178"/>
      <c r="E221" s="181" t="n">
        <f aca="false">E176</f>
        <v>1124.272303382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198</v>
      </c>
      <c r="B223" s="97" t="s">
        <v>199</v>
      </c>
      <c r="C223" s="97"/>
      <c r="D223" s="117"/>
      <c r="E223" s="97" t="s">
        <v>200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17291.67</v>
      </c>
      <c r="B224" s="107" t="n">
        <f aca="false">B182</f>
        <v>3458.334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201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20750.004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190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22750.004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202</v>
      </c>
      <c r="B232" s="97" t="s">
        <v>62</v>
      </c>
      <c r="C232" s="97"/>
      <c r="D232" s="117"/>
      <c r="E232" s="97" t="s">
        <v>203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-4119.00866279805</v>
      </c>
      <c r="B233" s="107" t="str">
        <f aca="false">B191</f>
        <v>239.99</v>
      </c>
      <c r="C233" s="107"/>
      <c r="D233" s="117"/>
      <c r="E233" s="107" t="n">
        <f aca="false">E191</f>
        <v>18880.985337202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204</v>
      </c>
      <c r="B235" s="97" t="s">
        <v>205</v>
      </c>
      <c r="C235" s="97"/>
      <c r="D235" s="117"/>
      <c r="E235" s="97" t="s">
        <v>217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239.99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193</v>
      </c>
      <c r="B238" s="97" t="s">
        <v>194</v>
      </c>
      <c r="C238" s="97"/>
      <c r="D238" s="97"/>
      <c r="E238" s="97" t="s">
        <v>195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1039.18139429109</v>
      </c>
      <c r="B239" s="107" t="n">
        <f aca="false">B176</f>
        <v>85.0909090909091</v>
      </c>
      <c r="C239" s="190"/>
      <c r="D239" s="190"/>
      <c r="E239" s="107" t="n">
        <f aca="false">E176</f>
        <v>1124.272303382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218</v>
      </c>
      <c r="B241" s="97" t="s">
        <v>219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7200</v>
      </c>
      <c r="B242" s="107" t="n">
        <f aca="false">E194</f>
        <v>7210</v>
      </c>
      <c r="C242" s="97"/>
      <c r="D242" s="97"/>
      <c r="E242" s="107" t="n">
        <f aca="false">J18*0.000006*100*1.2</f>
        <v>29.17872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220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9.72624</v>
      </c>
      <c r="B245" s="107" t="n">
        <f aca="false">E242+A245</f>
        <v>38.90496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221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222</v>
      </c>
      <c r="B248" s="97" t="s">
        <v>208</v>
      </c>
      <c r="C248" s="97"/>
      <c r="D248" s="97"/>
      <c r="E248" s="170" t="s">
        <v>209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2208.34</v>
      </c>
      <c r="B249" s="107" t="n">
        <f aca="false">B197</f>
        <v>94.7916833333333</v>
      </c>
      <c r="C249" s="97"/>
      <c r="D249" s="97"/>
      <c r="E249" s="107" t="n">
        <f aca="false">E197</f>
        <v>18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210</v>
      </c>
      <c r="B251" s="170" t="s">
        <v>211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99.9916666666667</v>
      </c>
      <c r="B252" s="107" t="n">
        <f aca="false">B249+E249+A252+A249</f>
        <v>2421.12335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223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224</v>
      </c>
      <c r="B262" s="200" t="n">
        <f aca="false">B72</f>
        <v>0.065</v>
      </c>
      <c r="C262" s="201"/>
      <c r="D262" s="202" t="s">
        <v>225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226</v>
      </c>
      <c r="B263" s="203" t="n">
        <f aca="false">(E191-B191)-(B210-B191-A194)</f>
        <v>749.655337201948</v>
      </c>
      <c r="C263" s="201"/>
      <c r="D263" s="202" t="s">
        <v>227</v>
      </c>
      <c r="E263" s="202"/>
      <c r="F263" s="204" t="n">
        <f aca="false">F270+F276+F278+B279+B280</f>
        <v>113.75002</v>
      </c>
      <c r="G263" s="27"/>
      <c r="H263" s="37"/>
    </row>
    <row r="264" customFormat="false" ht="18.75" hidden="false" customHeight="false" outlineLevel="0" collapsed="false">
      <c r="A264" s="195" t="s">
        <v>228</v>
      </c>
      <c r="B264" s="204" t="n">
        <f aca="false">F271+B272</f>
        <v>279.991666666667</v>
      </c>
      <c r="C264" s="201"/>
      <c r="D264" s="202" t="s">
        <v>229</v>
      </c>
      <c r="E264" s="202"/>
      <c r="F264" s="204" t="n">
        <f aca="false">(B263-F263)+B264</f>
        <v>915.896983868615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224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230</v>
      </c>
      <c r="B268" s="209" t="n">
        <f aca="false">B73</f>
        <v>0.05</v>
      </c>
      <c r="C268" s="36"/>
      <c r="D268" s="170" t="s">
        <v>231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225</v>
      </c>
      <c r="B269" s="213" t="n">
        <f aca="false">B92</f>
        <v>0.1255</v>
      </c>
      <c r="C269" s="47"/>
      <c r="D269" s="170" t="s">
        <v>226</v>
      </c>
      <c r="E269" s="170"/>
      <c r="F269" s="150" t="n">
        <f aca="false">(B98*B68)-(C98*B68)</f>
        <v>11430.9953372019</v>
      </c>
      <c r="G269" s="27"/>
      <c r="H269" s="37"/>
    </row>
    <row r="270" customFormat="false" ht="19.5" hidden="false" customHeight="false" outlineLevel="0" collapsed="false">
      <c r="A270" s="35" t="s">
        <v>232</v>
      </c>
      <c r="B270" s="213" t="n">
        <f aca="false">B76</f>
        <v>0.005</v>
      </c>
      <c r="C270" s="36"/>
      <c r="D270" s="170" t="s">
        <v>232</v>
      </c>
      <c r="E270" s="170"/>
      <c r="F270" s="155" t="n">
        <f aca="false">B77</f>
        <v>113.75002</v>
      </c>
      <c r="G270" s="27"/>
      <c r="H270" s="37"/>
    </row>
    <row r="271" customFormat="false" ht="19.5" hidden="false" customHeight="false" outlineLevel="0" collapsed="false">
      <c r="A271" s="35" t="s">
        <v>233</v>
      </c>
      <c r="B271" s="209" t="n">
        <f aca="false">A117</f>
        <v>0.3</v>
      </c>
      <c r="C271" s="36"/>
      <c r="D271" s="170" t="s">
        <v>233</v>
      </c>
      <c r="E271" s="170"/>
      <c r="F271" s="150" t="n">
        <f aca="false">E249*10</f>
        <v>180</v>
      </c>
      <c r="G271" s="27"/>
      <c r="H271" s="37"/>
    </row>
    <row r="272" customFormat="false" ht="18.75" hidden="false" customHeight="false" outlineLevel="0" collapsed="false">
      <c r="A272" s="35" t="s">
        <v>234</v>
      </c>
      <c r="B272" s="150" t="n">
        <f aca="false">A252</f>
        <v>99.9916666666667</v>
      </c>
      <c r="C272" s="36"/>
      <c r="D272" s="43" t="s">
        <v>229</v>
      </c>
      <c r="E272" s="43"/>
      <c r="F272" s="150" t="n">
        <f aca="false">(B263-F263)+B264</f>
        <v>915.896983868615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235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236</v>
      </c>
      <c r="B275" s="155" t="n">
        <v>0</v>
      </c>
      <c r="C275" s="36"/>
      <c r="D275" s="214" t="s">
        <v>237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238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239</v>
      </c>
      <c r="B277" s="215" t="s">
        <v>6</v>
      </c>
      <c r="C277" s="36"/>
      <c r="D277" s="170" t="s">
        <v>240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241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242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243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3" colorId="64" zoomScale="95" zoomScaleNormal="95" zoomScalePageLayoutView="100" workbookViewId="0">
      <selection pane="topLeft" activeCell="E188" activeCellId="0" sqref="E188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2" customWidth="true" hidden="false" style="6" width="18.88" collapsed="false" outlineLevel="0"/>
    <col min="13" max="13" customWidth="true" hidden="false" style="6" width="24.24" collapsed="false" outlineLevel="0"/>
    <col min="14" max="14" customWidth="true" hidden="false" style="6" width="16.72" collapsed="false" outlineLevel="0"/>
    <col min="15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n">
        <f aca="false">A46</f>
        <v>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51</v>
      </c>
      <c r="B34" s="36"/>
      <c r="C34" s="45" t="s">
        <v>52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18849.996</v>
      </c>
      <c r="B37" s="36"/>
      <c r="C37" s="45" t="s">
        <v>54</v>
      </c>
      <c r="D37" s="45"/>
      <c r="E37" s="36"/>
      <c r="F37" s="47" t="n">
        <f aca="false">A37-C37</f>
        <v>17849.996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11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C15</f>
        <v>3141.666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n">
        <f aca="false">IF(F43="Yes",A46,0)</f>
        <v>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178.472166666667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321.527833333333</v>
      </c>
      <c r="L45" s="7"/>
    </row>
    <row r="46" customFormat="false" ht="19.5" hidden="false" customHeight="false" outlineLevel="0" collapsed="false">
      <c r="A46" s="44" t="n">
        <v>0</v>
      </c>
      <c r="B46" s="36"/>
      <c r="C46" s="45" t="n">
        <v>1</v>
      </c>
      <c r="D46" s="45"/>
      <c r="E46" s="36"/>
      <c r="F46" s="45" t="n">
        <v>1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2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324.1945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324.1945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244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324.1945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 t="s">
        <v>6</v>
      </c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 t="s">
        <v>6</v>
      </c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 t="s">
        <v>6</v>
      </c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 t="s">
        <v>6</v>
      </c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40526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40526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40526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40526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12216.8737232231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116.24998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2026.3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202.63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324.1945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324.1945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324.1945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17849.996</v>
      </c>
      <c r="C90" s="36"/>
      <c r="D90" s="36"/>
      <c r="E90" s="27"/>
      <c r="F90" s="29" t="s">
        <v>115</v>
      </c>
      <c r="G90" s="31" t="n">
        <f aca="false">F37</f>
        <v>17849.996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IF(A111="YES",A43,0)*1.2</f>
        <v>7200</v>
      </c>
      <c r="C91" s="36"/>
      <c r="D91" s="36"/>
      <c r="E91" s="27"/>
      <c r="F91" s="35" t="s">
        <v>116</v>
      </c>
      <c r="G91" s="37" t="n">
        <f aca="false">IF(A111="YES",A43,0)*1.2</f>
        <v>7200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6354.94179987962</v>
      </c>
      <c r="C95" s="36"/>
      <c r="D95" s="36"/>
      <c r="E95" s="27"/>
      <c r="F95" s="35" t="s">
        <v>120</v>
      </c>
      <c r="G95" s="37" t="n">
        <f aca="false">(G91/((1+G93)^(G94+1)))</f>
        <v>6748.06930144099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11495.0542001204</v>
      </c>
      <c r="C97" s="36"/>
      <c r="D97" s="36"/>
      <c r="E97" s="27"/>
      <c r="F97" s="35" t="s">
        <v>122</v>
      </c>
      <c r="G97" s="37" t="n">
        <f aca="false">G90-G95</f>
        <v>11101.926698559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1111.71579302028</v>
      </c>
      <c r="C98" s="36"/>
      <c r="D98" s="36"/>
      <c r="E98" s="27"/>
      <c r="F98" s="35" t="s">
        <v>123</v>
      </c>
      <c r="G98" s="37" t="n">
        <f aca="false">(G97/G96)</f>
        <v>1042.36251540252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12228.8737232231</v>
      </c>
      <c r="C99" s="36"/>
      <c r="D99" s="36"/>
      <c r="E99" s="27"/>
      <c r="F99" s="35" t="s">
        <v>124</v>
      </c>
      <c r="G99" s="37" t="n">
        <f aca="false">((G98*(G94))+G86)</f>
        <v>11465.9876694277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12228.8737232231</v>
      </c>
      <c r="C101" s="36"/>
      <c r="D101" s="36"/>
      <c r="E101" s="27"/>
      <c r="F101" s="60" t="s">
        <v>126</v>
      </c>
      <c r="G101" s="69" t="n">
        <f aca="false">(G99+G100)</f>
        <v>11465.9876694277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</f>
        <v>0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1111.71579302028</v>
      </c>
      <c r="C104" s="36"/>
      <c r="D104" s="36"/>
      <c r="E104" s="27"/>
      <c r="F104" s="99" t="s">
        <v>128</v>
      </c>
      <c r="G104" s="100" t="n">
        <f aca="false">G101/(G94)</f>
        <v>1042.36251540252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1111.71579302028</v>
      </c>
      <c r="C105" s="36"/>
      <c r="D105" s="36"/>
      <c r="E105" s="27" t="s">
        <v>27</v>
      </c>
      <c r="F105" s="101" t="s">
        <v>129</v>
      </c>
      <c r="G105" s="102" t="n">
        <f aca="false">G103+G104</f>
        <v>1042.36251540252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n">
        <v>0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245</v>
      </c>
      <c r="C114" s="107"/>
      <c r="D114" s="107"/>
      <c r="E114" s="108" t="s">
        <v>28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 t="s">
        <v>6</v>
      </c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245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18849.996</v>
      </c>
      <c r="C130" s="125" t="n">
        <v>17708.33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18849.996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18849.996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18849.996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18849.996</v>
      </c>
      <c r="C134" s="137" t="n">
        <f aca="false">C130-C133</f>
        <v>17708.33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15708.33</v>
      </c>
      <c r="H144" s="157" t="n">
        <f aca="false">C134+E134+G134+H137</f>
        <v>17708.33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3141.666</v>
      </c>
      <c r="H146" s="37" t="n">
        <f aca="false">(H144+H145)*20%</f>
        <v>3541.666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18849.996</v>
      </c>
      <c r="H150" s="161" t="n">
        <f aca="false">(H144+H145+H148+H149+H146)-H147</f>
        <v>21249.996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37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18849.996</v>
      </c>
      <c r="H156" s="168" t="n">
        <f aca="false">H150-((H153*1.2)+(H154*1.2)+(H155*1.2)+(H151*1.2))</f>
        <v>21249.996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2000</v>
      </c>
      <c r="I157" s="6" t="n">
        <f aca="false">(H157-G90)/1.2</f>
        <v>-13208.33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7.35" hidden="false" customHeight="false" outlineLevel="0" collapsed="false">
      <c r="A165" s="35" t="s">
        <v>188</v>
      </c>
      <c r="B165" s="36"/>
      <c r="C165" s="36"/>
      <c r="D165" s="27"/>
      <c r="E165" s="36"/>
      <c r="F165" s="27"/>
      <c r="G165" s="27"/>
      <c r="H165" s="44" t="n">
        <v>2000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189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189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189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189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19.7" hidden="false" customHeight="false" outlineLevel="0" collapsed="false">
      <c r="A167" s="173" t="s">
        <v>190</v>
      </c>
      <c r="B167" s="36"/>
      <c r="C167" s="36"/>
      <c r="D167" s="27"/>
      <c r="E167" s="36"/>
      <c r="F167" s="27"/>
      <c r="G167" s="174" t="n">
        <f aca="false">H156-G163-G166+H165</f>
        <v>23249.996</v>
      </c>
      <c r="H167" s="174"/>
      <c r="J167" s="173" t="s">
        <v>190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190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190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199.99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7200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191</v>
      </c>
      <c r="B171" s="32"/>
      <c r="C171" s="32"/>
      <c r="D171" s="32"/>
      <c r="E171" s="32"/>
      <c r="F171" s="32"/>
      <c r="G171" s="32"/>
      <c r="H171" s="32"/>
      <c r="J171" s="32" t="s">
        <v>191</v>
      </c>
      <c r="K171" s="32"/>
      <c r="L171" s="32"/>
      <c r="M171" s="32"/>
      <c r="N171" s="32"/>
      <c r="O171" s="32"/>
      <c r="P171" s="32"/>
      <c r="Q171" s="32"/>
      <c r="S171" s="32" t="s">
        <v>191</v>
      </c>
      <c r="T171" s="32"/>
      <c r="U171" s="32"/>
      <c r="V171" s="32"/>
      <c r="W171" s="32"/>
      <c r="X171" s="32"/>
      <c r="Y171" s="32"/>
      <c r="Z171" s="32"/>
      <c r="AB171" s="32" t="s">
        <v>191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192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192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192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192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193</v>
      </c>
      <c r="B175" s="178" t="s">
        <v>194</v>
      </c>
      <c r="C175" s="178"/>
      <c r="D175" s="178"/>
      <c r="E175" s="178" t="s">
        <v>195</v>
      </c>
      <c r="F175" s="27"/>
      <c r="G175" s="27" t="s">
        <v>196</v>
      </c>
      <c r="H175" s="37"/>
      <c r="J175" s="177" t="s">
        <v>193</v>
      </c>
      <c r="K175" s="179" t="s">
        <v>194</v>
      </c>
      <c r="L175" s="179"/>
      <c r="M175" s="179"/>
      <c r="N175" s="179" t="s">
        <v>195</v>
      </c>
      <c r="O175" s="27"/>
      <c r="P175" s="27"/>
      <c r="Q175" s="37"/>
      <c r="S175" s="177" t="s">
        <v>193</v>
      </c>
      <c r="T175" s="179" t="s">
        <v>194</v>
      </c>
      <c r="U175" s="179"/>
      <c r="V175" s="179"/>
      <c r="W175" s="179" t="s">
        <v>195</v>
      </c>
      <c r="X175" s="27"/>
      <c r="Y175" s="27"/>
      <c r="Z175" s="37"/>
      <c r="AB175" s="177" t="s">
        <v>193</v>
      </c>
      <c r="AC175" s="179" t="s">
        <v>194</v>
      </c>
      <c r="AD175" s="179"/>
      <c r="AE175" s="179"/>
      <c r="AF175" s="179" t="s">
        <v>195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1111.71579302028</v>
      </c>
      <c r="B176" s="181" t="n">
        <f aca="false">B103</f>
        <v>0</v>
      </c>
      <c r="C176" s="178"/>
      <c r="D176" s="178"/>
      <c r="E176" s="181" t="n">
        <f aca="false">B105</f>
        <v>1111.71579302028</v>
      </c>
      <c r="F176" s="27"/>
      <c r="G176" s="27" t="n">
        <f aca="false">ROUND(G104,2)</f>
        <v>1042.36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197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197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197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197</v>
      </c>
      <c r="AG178" s="27"/>
      <c r="AH178" s="27"/>
      <c r="AI178" s="37"/>
    </row>
    <row r="179" customFormat="false" ht="18.75" hidden="false" customHeight="false" outlineLevel="0" collapsed="false">
      <c r="A179" s="183" t="str">
        <f aca="false">K29</f>
        <v>12</v>
      </c>
      <c r="B179" s="184" t="str">
        <f aca="false">K30</f>
        <v>5000</v>
      </c>
      <c r="C179" s="185"/>
      <c r="D179" s="27"/>
      <c r="E179" s="186" t="n">
        <f aca="false">B91</f>
        <v>7200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198</v>
      </c>
      <c r="B181" s="97" t="s">
        <v>199</v>
      </c>
      <c r="C181" s="97"/>
      <c r="D181" s="27"/>
      <c r="E181" s="97" t="s">
        <v>200</v>
      </c>
      <c r="F181" s="27"/>
      <c r="G181" s="27"/>
      <c r="H181" s="37"/>
      <c r="J181" s="35" t="s">
        <v>198</v>
      </c>
      <c r="K181" s="36" t="s">
        <v>199</v>
      </c>
      <c r="L181" s="36"/>
      <c r="M181" s="27"/>
      <c r="N181" s="36" t="s">
        <v>200</v>
      </c>
      <c r="O181" s="27"/>
      <c r="P181" s="27"/>
      <c r="Q181" s="37"/>
      <c r="S181" s="35" t="s">
        <v>198</v>
      </c>
      <c r="T181" s="36" t="s">
        <v>199</v>
      </c>
      <c r="U181" s="36"/>
      <c r="V181" s="27"/>
      <c r="W181" s="36" t="s">
        <v>200</v>
      </c>
      <c r="X181" s="27"/>
      <c r="Y181" s="27"/>
      <c r="Z181" s="37"/>
      <c r="AB181" s="35" t="s">
        <v>198</v>
      </c>
      <c r="AC181" s="36" t="s">
        <v>199</v>
      </c>
      <c r="AD181" s="36"/>
      <c r="AE181" s="27"/>
      <c r="AF181" s="36" t="s">
        <v>200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17708.33</v>
      </c>
      <c r="B182" s="107" t="n">
        <f aca="false">H146</f>
        <v>3541.666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201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201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201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201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21249.996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190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190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190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190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G167</f>
        <v>23249.996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202</v>
      </c>
      <c r="B190" s="97" t="s">
        <v>62</v>
      </c>
      <c r="C190" s="97"/>
      <c r="D190" s="27"/>
      <c r="E190" s="97" t="s">
        <v>203</v>
      </c>
      <c r="F190" s="27"/>
      <c r="G190" s="27"/>
      <c r="H190" s="37"/>
      <c r="J190" s="35" t="s">
        <v>202</v>
      </c>
      <c r="K190" s="36" t="s">
        <v>62</v>
      </c>
      <c r="L190" s="36"/>
      <c r="M190" s="27"/>
      <c r="N190" s="36" t="s">
        <v>203</v>
      </c>
      <c r="O190" s="27"/>
      <c r="P190" s="27"/>
      <c r="Q190" s="37"/>
      <c r="S190" s="35" t="s">
        <v>202</v>
      </c>
      <c r="T190" s="36" t="s">
        <v>62</v>
      </c>
      <c r="U190" s="36"/>
      <c r="V190" s="27"/>
      <c r="W190" s="36" t="s">
        <v>203</v>
      </c>
      <c r="X190" s="27"/>
      <c r="Y190" s="27"/>
      <c r="Z190" s="37"/>
      <c r="AB190" s="35" t="s">
        <v>202</v>
      </c>
      <c r="AC190" s="36" t="s">
        <v>62</v>
      </c>
      <c r="AD190" s="36"/>
      <c r="AE190" s="27"/>
      <c r="AF190" s="36" t="s">
        <v>203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-3821.12227677694</v>
      </c>
      <c r="B191" s="107" t="str">
        <f aca="false">B123</f>
        <v>199.99</v>
      </c>
      <c r="C191" s="107"/>
      <c r="D191" s="27"/>
      <c r="E191" s="107" t="n">
        <f aca="false">E188+A191+(B191*1.2)+A194</f>
        <v>19678.8617232231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204</v>
      </c>
      <c r="B193" s="97" t="s">
        <v>205</v>
      </c>
      <c r="C193" s="97"/>
      <c r="D193" s="27"/>
      <c r="E193" s="97" t="s">
        <v>206</v>
      </c>
      <c r="F193" s="27"/>
      <c r="G193" s="27"/>
      <c r="H193" s="37"/>
      <c r="J193" s="35" t="s">
        <v>204</v>
      </c>
      <c r="K193" s="36" t="s">
        <v>205</v>
      </c>
      <c r="L193" s="36"/>
      <c r="M193" s="27"/>
      <c r="N193" s="36" t="s">
        <v>206</v>
      </c>
      <c r="O193" s="27"/>
      <c r="P193" s="27"/>
      <c r="Q193" s="37"/>
      <c r="S193" s="35" t="s">
        <v>204</v>
      </c>
      <c r="T193" s="36" t="s">
        <v>205</v>
      </c>
      <c r="U193" s="36"/>
      <c r="V193" s="27"/>
      <c r="W193" s="36" t="s">
        <v>206</v>
      </c>
      <c r="X193" s="27"/>
      <c r="Y193" s="27"/>
      <c r="Z193" s="37"/>
      <c r="AB193" s="35" t="s">
        <v>204</v>
      </c>
      <c r="AC193" s="36" t="s">
        <v>205</v>
      </c>
      <c r="AD193" s="36"/>
      <c r="AE193" s="27"/>
      <c r="AF193" s="36" t="s">
        <v>206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A188+B191*1.2</f>
        <v>239.988</v>
      </c>
      <c r="C194" s="107"/>
      <c r="D194" s="27"/>
      <c r="E194" s="107" t="n">
        <f aca="false">IF( E179=0 , A194+E176, E179+A194)</f>
        <v>7210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207</v>
      </c>
      <c r="B196" s="97" t="s">
        <v>208</v>
      </c>
      <c r="C196" s="97"/>
      <c r="D196" s="97"/>
      <c r="E196" s="170" t="s">
        <v>209</v>
      </c>
      <c r="F196" s="27"/>
      <c r="G196" s="27"/>
      <c r="H196" s="37"/>
      <c r="J196" s="35" t="s">
        <v>207</v>
      </c>
      <c r="K196" s="36" t="s">
        <v>208</v>
      </c>
      <c r="L196" s="36"/>
      <c r="M196" s="36"/>
      <c r="N196" s="43" t="s">
        <v>209</v>
      </c>
      <c r="O196" s="27"/>
      <c r="P196" s="27"/>
      <c r="Q196" s="37"/>
      <c r="S196" s="35" t="s">
        <v>207</v>
      </c>
      <c r="T196" s="36" t="s">
        <v>208</v>
      </c>
      <c r="U196" s="36"/>
      <c r="V196" s="36"/>
      <c r="W196" s="43" t="s">
        <v>209</v>
      </c>
      <c r="X196" s="36"/>
      <c r="Y196" s="36"/>
      <c r="Z196" s="37"/>
      <c r="AB196" s="35" t="s">
        <v>207</v>
      </c>
      <c r="AC196" s="36" t="s">
        <v>208</v>
      </c>
      <c r="AD196" s="36"/>
      <c r="AE196" s="36"/>
      <c r="AF196" s="43" t="s">
        <v>209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</f>
        <v>8.1052</v>
      </c>
      <c r="B197" s="107" t="n">
        <f aca="false">(G167*B76)/1.2</f>
        <v>96.8749833333334</v>
      </c>
      <c r="C197" s="97"/>
      <c r="D197" s="97"/>
      <c r="E197" s="107" t="n">
        <f aca="false">IF(E114="YES",(K55*A117*0.1),0)</f>
        <v>0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210</v>
      </c>
      <c r="B199" s="170" t="s">
        <v>211</v>
      </c>
      <c r="C199" s="97"/>
      <c r="D199" s="97"/>
      <c r="E199" s="170" t="s">
        <v>212</v>
      </c>
      <c r="F199" s="27"/>
      <c r="G199" s="27"/>
      <c r="H199" s="37"/>
      <c r="J199" s="64" t="s">
        <v>210</v>
      </c>
      <c r="K199" s="43" t="s">
        <v>211</v>
      </c>
      <c r="L199" s="36"/>
      <c r="M199" s="36"/>
      <c r="N199" s="43" t="s">
        <v>212</v>
      </c>
      <c r="O199" s="27"/>
      <c r="P199" s="27"/>
      <c r="Q199" s="37"/>
      <c r="S199" s="64" t="s">
        <v>210</v>
      </c>
      <c r="T199" s="43" t="s">
        <v>211</v>
      </c>
      <c r="U199" s="36"/>
      <c r="V199" s="36"/>
      <c r="W199" s="43" t="s">
        <v>212</v>
      </c>
      <c r="X199" s="36"/>
      <c r="Y199" s="36"/>
      <c r="Z199" s="37"/>
      <c r="AB199" s="64" t="s">
        <v>210</v>
      </c>
      <c r="AC199" s="43" t="s">
        <v>211</v>
      </c>
      <c r="AD199" s="36"/>
      <c r="AE199" s="36"/>
      <c r="AF199" s="43" t="s">
        <v>212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B191-100</f>
        <v>99.99</v>
      </c>
      <c r="B200" s="107" t="n">
        <f aca="false">B197+E197+A200</f>
        <v>196.864983333333</v>
      </c>
      <c r="C200" s="97"/>
      <c r="D200" s="97"/>
      <c r="E200" s="107" t="n">
        <f aca="false">H157</f>
        <v>2000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213</v>
      </c>
      <c r="B202" s="97"/>
      <c r="C202" s="97"/>
      <c r="D202" s="71"/>
      <c r="E202" s="71"/>
      <c r="F202" s="71"/>
      <c r="G202" s="71"/>
      <c r="H202" s="72"/>
      <c r="J202" s="70" t="s">
        <v>213</v>
      </c>
      <c r="K202" s="36"/>
      <c r="L202" s="36"/>
      <c r="M202" s="71"/>
      <c r="N202" s="71"/>
      <c r="O202" s="71"/>
      <c r="P202" s="71"/>
      <c r="Q202" s="72"/>
      <c r="S202" s="70" t="s">
        <v>213</v>
      </c>
      <c r="T202" s="36"/>
      <c r="U202" s="36"/>
      <c r="V202" s="71"/>
      <c r="W202" s="71"/>
      <c r="X202" s="71"/>
      <c r="Y202" s="71"/>
      <c r="Z202" s="72"/>
      <c r="AB202" s="70" t="s">
        <v>213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1111.71579302028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214</v>
      </c>
      <c r="B209" s="97" t="s">
        <v>215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-4584.036</v>
      </c>
      <c r="B210" s="190" t="n">
        <f aca="false">E188+A210+(B191*1.2)+A194</f>
        <v>18915.948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191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216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193</v>
      </c>
      <c r="B220" s="196" t="s">
        <v>194</v>
      </c>
      <c r="C220" s="196"/>
      <c r="D220" s="196"/>
      <c r="E220" s="196" t="s">
        <v>195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1111.71579302028</v>
      </c>
      <c r="B221" s="181" t="n">
        <f aca="false">B176</f>
        <v>0</v>
      </c>
      <c r="C221" s="178"/>
      <c r="D221" s="178"/>
      <c r="E221" s="181" t="n">
        <f aca="false">E176</f>
        <v>1111.71579302028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198</v>
      </c>
      <c r="B223" s="97" t="s">
        <v>199</v>
      </c>
      <c r="C223" s="97"/>
      <c r="D223" s="117"/>
      <c r="E223" s="97" t="s">
        <v>200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17708.33</v>
      </c>
      <c r="B224" s="107" t="n">
        <f aca="false">B182</f>
        <v>3541.666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201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21249.996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190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23249.996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202</v>
      </c>
      <c r="B232" s="97" t="s">
        <v>62</v>
      </c>
      <c r="C232" s="97"/>
      <c r="D232" s="117"/>
      <c r="E232" s="97" t="s">
        <v>203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-3821.12227677694</v>
      </c>
      <c r="B233" s="107" t="str">
        <f aca="false">B191</f>
        <v>199.99</v>
      </c>
      <c r="C233" s="107"/>
      <c r="D233" s="117"/>
      <c r="E233" s="107" t="n">
        <f aca="false">E191</f>
        <v>19678.8617232231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204</v>
      </c>
      <c r="B235" s="97" t="s">
        <v>205</v>
      </c>
      <c r="C235" s="97"/>
      <c r="D235" s="117"/>
      <c r="E235" s="97" t="s">
        <v>217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239.988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193</v>
      </c>
      <c r="B238" s="97" t="s">
        <v>194</v>
      </c>
      <c r="C238" s="97"/>
      <c r="D238" s="97"/>
      <c r="E238" s="97" t="s">
        <v>195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1111.71579302028</v>
      </c>
      <c r="B239" s="107" t="n">
        <f aca="false">B176</f>
        <v>0</v>
      </c>
      <c r="C239" s="190"/>
      <c r="D239" s="190"/>
      <c r="E239" s="107" t="n">
        <f aca="false">E176</f>
        <v>1111.71579302028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218</v>
      </c>
      <c r="B241" s="97" t="s">
        <v>219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7200</v>
      </c>
      <c r="B242" s="107" t="n">
        <f aca="false">E194</f>
        <v>7210</v>
      </c>
      <c r="C242" s="97"/>
      <c r="D242" s="97"/>
      <c r="E242" s="107" t="n">
        <f aca="false">J18*0.000006*100</f>
        <v>24.3156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220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8.1052</v>
      </c>
      <c r="B245" s="107" t="n">
        <f aca="false">E242+A245</f>
        <v>32.4208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221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222</v>
      </c>
      <c r="B248" s="97" t="s">
        <v>208</v>
      </c>
      <c r="C248" s="97"/>
      <c r="D248" s="97"/>
      <c r="E248" s="170" t="s">
        <v>209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2000</v>
      </c>
      <c r="B249" s="107" t="n">
        <f aca="false">B197</f>
        <v>96.8749833333334</v>
      </c>
      <c r="C249" s="97"/>
      <c r="D249" s="97"/>
      <c r="E249" s="107" t="n">
        <f aca="false">E197</f>
        <v>0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210</v>
      </c>
      <c r="B251" s="170" t="s">
        <v>211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</v>
      </c>
      <c r="B252" s="107" t="n">
        <f aca="false">B249+E249+A252+A249</f>
        <v>2196.86498333334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223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224</v>
      </c>
      <c r="B262" s="200" t="n">
        <f aca="false">B72</f>
        <v>0.065</v>
      </c>
      <c r="C262" s="201"/>
      <c r="D262" s="202" t="s">
        <v>225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226</v>
      </c>
      <c r="B263" s="204" t="n">
        <f aca="false">(E191-B191)-(B210-B191-A194)</f>
        <v>772.913723223064</v>
      </c>
      <c r="C263" s="201"/>
      <c r="D263" s="202" t="s">
        <v>227</v>
      </c>
      <c r="E263" s="202"/>
      <c r="F263" s="204" t="n">
        <f aca="false">F270+F276+F278+B279+B280</f>
        <v>116.24998</v>
      </c>
      <c r="G263" s="27"/>
      <c r="H263" s="37"/>
    </row>
    <row r="264" customFormat="false" ht="18.75" hidden="false" customHeight="false" outlineLevel="0" collapsed="false">
      <c r="A264" s="195" t="s">
        <v>228</v>
      </c>
      <c r="B264" s="204" t="n">
        <f aca="false">F271+B272</f>
        <v>99.99</v>
      </c>
      <c r="C264" s="201"/>
      <c r="D264" s="202" t="s">
        <v>229</v>
      </c>
      <c r="E264" s="202"/>
      <c r="F264" s="204" t="n">
        <f aca="false">(B263-F263)+B264</f>
        <v>756.653743223064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224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230</v>
      </c>
      <c r="B268" s="209" t="n">
        <f aca="false">B73</f>
        <v>0.05</v>
      </c>
      <c r="C268" s="36"/>
      <c r="D268" s="170" t="s">
        <v>231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225</v>
      </c>
      <c r="B269" s="213" t="n">
        <f aca="false">B92</f>
        <v>0.1255</v>
      </c>
      <c r="C269" s="47"/>
      <c r="D269" s="170" t="s">
        <v>226</v>
      </c>
      <c r="E269" s="170"/>
      <c r="F269" s="150" t="n">
        <f aca="false">(B98*B68)-(C98*B68)</f>
        <v>12228.8737232231</v>
      </c>
      <c r="G269" s="27"/>
      <c r="H269" s="37"/>
    </row>
    <row r="270" customFormat="false" ht="19.5" hidden="false" customHeight="false" outlineLevel="0" collapsed="false">
      <c r="A270" s="35" t="s">
        <v>232</v>
      </c>
      <c r="B270" s="213" t="n">
        <f aca="false">B76</f>
        <v>0.005</v>
      </c>
      <c r="C270" s="36"/>
      <c r="D270" s="170" t="s">
        <v>232</v>
      </c>
      <c r="E270" s="170"/>
      <c r="F270" s="155" t="n">
        <f aca="false">B77</f>
        <v>116.24998</v>
      </c>
      <c r="G270" s="27"/>
      <c r="H270" s="37"/>
    </row>
    <row r="271" customFormat="false" ht="19.5" hidden="false" customHeight="false" outlineLevel="0" collapsed="false">
      <c r="A271" s="35" t="s">
        <v>233</v>
      </c>
      <c r="B271" s="209" t="n">
        <f aca="false">A117</f>
        <v>0.2</v>
      </c>
      <c r="C271" s="36"/>
      <c r="D271" s="170" t="s">
        <v>233</v>
      </c>
      <c r="E271" s="170"/>
      <c r="F271" s="150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234</v>
      </c>
      <c r="B272" s="150" t="n">
        <f aca="false">A252</f>
        <v>99.99</v>
      </c>
      <c r="C272" s="36"/>
      <c r="D272" s="43" t="s">
        <v>229</v>
      </c>
      <c r="E272" s="43"/>
      <c r="F272" s="150" t="n">
        <f aca="false">(B263-F263)+B264</f>
        <v>756.653743223064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235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236</v>
      </c>
      <c r="B275" s="155" t="n">
        <v>0</v>
      </c>
      <c r="C275" s="36"/>
      <c r="D275" s="214" t="s">
        <v>237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238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239</v>
      </c>
      <c r="B277" s="215" t="s">
        <v>6</v>
      </c>
      <c r="C277" s="36"/>
      <c r="D277" s="170" t="s">
        <v>240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241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242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243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254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258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s">
        <v>259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n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57" t="s">
        <v>6</v>
      </c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14183.2495320336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5255.82391109543</v>
      </c>
      <c r="C86" s="97" t="n">
        <f aca="false">(B82/((1+B84)^(B85+1)))</f>
        <v>5255.82391109543</v>
      </c>
      <c r="D86" s="97"/>
      <c r="E86" s="117"/>
      <c r="F86" s="35" t="s">
        <v>120</v>
      </c>
      <c r="G86" s="37" t="n">
        <f aca="false">(G82/((1+G84)^(G85+1)))</f>
        <v>6024.37295128565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12594.1760889046</v>
      </c>
      <c r="C88" s="97" t="n">
        <f aca="false">B81-B86</f>
        <v>12594.1760889046</v>
      </c>
      <c r="D88" s="97"/>
      <c r="E88" s="117"/>
      <c r="F88" s="35" t="s">
        <v>122</v>
      </c>
      <c r="G88" s="37" t="n">
        <f aca="false">G81-G86</f>
        <v>11825.6270487144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458.862911512413</v>
      </c>
      <c r="C89" s="97" t="n">
        <f aca="false">(B88/B87)</f>
        <v>458.862911512413</v>
      </c>
      <c r="D89" s="97"/>
      <c r="E89" s="117"/>
      <c r="F89" s="35" t="s">
        <v>123</v>
      </c>
      <c r="G89" s="37" t="n">
        <f aca="false">(G88/G87)</f>
        <v>403.500840664439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14683.6131683972</v>
      </c>
      <c r="C90" s="97"/>
      <c r="D90" s="97"/>
      <c r="E90" s="117"/>
      <c r="F90" s="35" t="s">
        <v>124</v>
      </c>
      <c r="G90" s="37" t="n">
        <f aca="false">((G89*(G85))+G77)</f>
        <v>12912.026901262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14683.6131683972</v>
      </c>
      <c r="C92" s="97"/>
      <c r="D92" s="97"/>
      <c r="E92" s="117"/>
      <c r="F92" s="60" t="s">
        <v>126</v>
      </c>
      <c r="G92" s="69" t="n">
        <f aca="false">(G90+G91)</f>
        <v>12912.026901262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n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458.862911512413</v>
      </c>
      <c r="C95" s="97"/>
      <c r="D95" s="97"/>
      <c r="E95" s="117"/>
      <c r="F95" s="99" t="s">
        <v>128</v>
      </c>
      <c r="G95" s="100" t="n">
        <f aca="false">G92/(G85)</f>
        <v>403.500840664439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458.862911512413</v>
      </c>
      <c r="C96" s="97"/>
      <c r="D96" s="97"/>
      <c r="E96" s="117"/>
      <c r="F96" s="101" t="s">
        <v>129</v>
      </c>
      <c r="G96" s="102" t="n">
        <f aca="false">G94+G95</f>
        <v>403.500840664439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27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23249.996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180" t="n">
        <f aca="false">B95</f>
        <v>458.862911512413</v>
      </c>
      <c r="B167" s="181" t="n">
        <f aca="false">B94</f>
        <v>0</v>
      </c>
      <c r="C167" s="178"/>
      <c r="D167" s="178"/>
      <c r="E167" s="181" t="n">
        <f aca="false">B96</f>
        <v>458.862911512413</v>
      </c>
      <c r="F167" s="27"/>
      <c r="G167" s="27" t="n">
        <f aca="false">ROUND(G95,2)</f>
        <v>403.5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n">
        <f aca="false">B29</f>
        <v>12345</v>
      </c>
      <c r="B170" s="184" t="n">
        <f aca="false">B30</f>
        <v>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23249.996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-1366.38283160278</v>
      </c>
      <c r="B182" s="107" t="str">
        <f aca="false">B114</f>
        <v>239.99</v>
      </c>
      <c r="C182" s="107"/>
      <c r="D182" s="27"/>
      <c r="E182" s="107" t="n">
        <f aca="false">E179+A182+B182+A185</f>
        <v>22133.6031683972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9.72624</v>
      </c>
      <c r="B188" s="107" t="n">
        <f aca="false">(G158*B67)/1.2</f>
        <v>96.8749833333334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196.86665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458.862911512413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-3137.996</v>
      </c>
      <c r="B201" s="190" t="n">
        <f aca="false">E179+A201+B182+A185</f>
        <v>20361.99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458.862911512413</v>
      </c>
      <c r="B212" s="181" t="n">
        <f aca="false">B167</f>
        <v>0</v>
      </c>
      <c r="C212" s="178"/>
      <c r="D212" s="178"/>
      <c r="E212" s="181" t="n">
        <f aca="false">E167</f>
        <v>458.862911512413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-1366.38283160278</v>
      </c>
      <c r="B224" s="107" t="str">
        <f aca="false">B182</f>
        <v>239.99</v>
      </c>
      <c r="C224" s="107"/>
      <c r="D224" s="117"/>
      <c r="E224" s="107" t="n">
        <f aca="false">E182</f>
        <v>22133.6031683972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458.862911512413</v>
      </c>
      <c r="B230" s="107" t="n">
        <f aca="false">B167</f>
        <v>0</v>
      </c>
      <c r="C230" s="190"/>
      <c r="D230" s="190"/>
      <c r="E230" s="107" t="n">
        <f aca="false">E167</f>
        <v>458.862911512413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J18*0.000006*100*1.2</f>
        <v>29.17872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9.72624</v>
      </c>
      <c r="B236" s="107" t="n">
        <f aca="false">E233+A236</f>
        <v>38.90496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96.8749833333334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2196.86665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1781.61316839722</v>
      </c>
      <c r="C254" s="201"/>
      <c r="D254" s="202" t="s">
        <v>227</v>
      </c>
      <c r="E254" s="202"/>
      <c r="F254" s="204" t="n">
        <f aca="false">F261+F267+F269+B270+B271</f>
        <v>116.24998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1765.35485506389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116.24998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1765.35485506389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254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11727.8779785745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6354.94179987962</v>
      </c>
      <c r="C86" s="97" t="n">
        <f aca="false">(B82/((1+B84)^(B85+1)))</f>
        <v>6354.94179987962</v>
      </c>
      <c r="D86" s="97"/>
      <c r="E86" s="117"/>
      <c r="F86" s="35" t="s">
        <v>120</v>
      </c>
      <c r="G86" s="37" t="n">
        <f aca="false">(G82/((1+G84)^(G85+1)))</f>
        <v>6748.06930144099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11495.0582001204</v>
      </c>
      <c r="C88" s="97" t="n">
        <f aca="false">B81-B86</f>
        <v>11495.0582001204</v>
      </c>
      <c r="D88" s="97"/>
      <c r="E88" s="117"/>
      <c r="F88" s="35" t="s">
        <v>122</v>
      </c>
      <c r="G88" s="37" t="n">
        <f aca="false">G81-G86</f>
        <v>11101.930698559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1111.71617987041</v>
      </c>
      <c r="C89" s="97" t="n">
        <f aca="false">(B88/B87)</f>
        <v>1111.71617987041</v>
      </c>
      <c r="D89" s="97"/>
      <c r="E89" s="117"/>
      <c r="F89" s="35" t="s">
        <v>123</v>
      </c>
      <c r="G89" s="37" t="n">
        <f aca="false">(G88/G87)</f>
        <v>1042.36289096346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12228.8779785745</v>
      </c>
      <c r="C90" s="97"/>
      <c r="D90" s="97"/>
      <c r="E90" s="117"/>
      <c r="F90" s="35" t="s">
        <v>124</v>
      </c>
      <c r="G90" s="37" t="n">
        <f aca="false">((G89*(G85))+G77)</f>
        <v>11465.9918005981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12228.8779785745</v>
      </c>
      <c r="C92" s="97"/>
      <c r="D92" s="97"/>
      <c r="E92" s="117"/>
      <c r="F92" s="60" t="s">
        <v>126</v>
      </c>
      <c r="G92" s="69" t="n">
        <f aca="false">(G90+G91)</f>
        <v>11465.9918005981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1111.71617987041</v>
      </c>
      <c r="C95" s="97"/>
      <c r="D95" s="97"/>
      <c r="E95" s="117"/>
      <c r="F95" s="99" t="s">
        <v>128</v>
      </c>
      <c r="G95" s="100" t="n">
        <f aca="false">G92/(G85)</f>
        <v>1042.36289096346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1111.71617987041</v>
      </c>
      <c r="C96" s="97"/>
      <c r="D96" s="97"/>
      <c r="E96" s="117"/>
      <c r="F96" s="101" t="s">
        <v>129</v>
      </c>
      <c r="G96" s="102" t="n">
        <f aca="false">G94+G95</f>
        <v>1042.36289096346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245</v>
      </c>
      <c r="C114" s="111"/>
      <c r="D114" s="111"/>
      <c r="E114" s="111" t="s">
        <v>27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23249.996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 t="n">
        <v>0</v>
      </c>
      <c r="F161" s="27"/>
      <c r="G161" s="27" t="n">
        <v>0</v>
      </c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 t="n">
        <v>0</v>
      </c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180" t="n">
        <f aca="false">B95</f>
        <v>1111.71617987041</v>
      </c>
      <c r="B167" s="181" t="str">
        <f aca="false">B94</f>
        <v>0</v>
      </c>
      <c r="C167" s="178"/>
      <c r="D167" s="178"/>
      <c r="E167" s="181" t="n">
        <f aca="false">B96</f>
        <v>1111.71617987041</v>
      </c>
      <c r="F167" s="27"/>
      <c r="G167" s="27" t="n">
        <f aca="false">ROUND(G95,2)</f>
        <v>1042.36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184" t="str">
        <f aca="false">H30</f>
        <v>5000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23249.996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-3821.11802142555</v>
      </c>
      <c r="B182" s="107" t="str">
        <f aca="false">B114</f>
        <v>199.99</v>
      </c>
      <c r="C182" s="107"/>
      <c r="D182" s="27"/>
      <c r="E182" s="107" t="n">
        <f aca="false">E179+A182+(B182*1.2)+A185</f>
        <v>19678.8659785745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239.988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8.1052</v>
      </c>
      <c r="B188" s="107" t="n">
        <f aca="false">(G158*B67)/1.2</f>
        <v>96.8749833333334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196.864983333333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1111.71617987041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-4584.036</v>
      </c>
      <c r="B201" s="190" t="n">
        <f aca="false">E179+A201+(B182*1.2)+A185</f>
        <v>18915.948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1111.71617987041</v>
      </c>
      <c r="B212" s="181" t="str">
        <f aca="false">B167</f>
        <v>0</v>
      </c>
      <c r="C212" s="178"/>
      <c r="D212" s="178"/>
      <c r="E212" s="181" t="n">
        <f aca="false">E167</f>
        <v>1111.71617987041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-3821.11802142555</v>
      </c>
      <c r="B224" s="107" t="str">
        <f aca="false">B182</f>
        <v>199.99</v>
      </c>
      <c r="C224" s="107"/>
      <c r="D224" s="117"/>
      <c r="E224" s="107" t="n">
        <f aca="false">E182</f>
        <v>19678.8659785745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1111.71617987041</v>
      </c>
      <c r="B230" s="107" t="str">
        <f aca="false">B167</f>
        <v>0</v>
      </c>
      <c r="C230" s="190"/>
      <c r="D230" s="190"/>
      <c r="E230" s="107" t="n">
        <f aca="false">E167</f>
        <v>1111.71617987041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J18*0.000006*100</f>
        <v>24.3156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8.1052</v>
      </c>
      <c r="B236" s="107" t="n">
        <f aca="false">E233+A236</f>
        <v>32.4208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96.8749833333334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2196.86498333334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772.917978574456</v>
      </c>
      <c r="C254" s="201"/>
      <c r="D254" s="202" t="s">
        <v>227</v>
      </c>
      <c r="E254" s="202"/>
      <c r="F254" s="204" t="n">
        <f aca="false">F261+F267+F269+B270+B271</f>
        <v>116.24998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756.657998574456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0.1255</v>
      </c>
      <c r="C260" s="47"/>
      <c r="D260" s="170" t="s">
        <v>226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116.24998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756.657998574456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254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11727.8779785745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6354.94179987962</v>
      </c>
      <c r="C86" s="97" t="n">
        <f aca="false">(B82/((1+B84)^(B85+1)))</f>
        <v>6354.94179987962</v>
      </c>
      <c r="D86" s="97"/>
      <c r="E86" s="117"/>
      <c r="F86" s="35" t="s">
        <v>120</v>
      </c>
      <c r="G86" s="37" t="n">
        <f aca="false">(G82/((1+G84)^(G85+1)))</f>
        <v>6748.06930144099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11495.0582001204</v>
      </c>
      <c r="C88" s="97" t="n">
        <f aca="false">B81-B86</f>
        <v>11495.0582001204</v>
      </c>
      <c r="D88" s="97"/>
      <c r="E88" s="117"/>
      <c r="F88" s="35" t="s">
        <v>122</v>
      </c>
      <c r="G88" s="37" t="n">
        <f aca="false">G81-G86</f>
        <v>11101.930698559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1111.71617987041</v>
      </c>
      <c r="C89" s="97" t="n">
        <f aca="false">(B88/B87)</f>
        <v>1111.71617987041</v>
      </c>
      <c r="D89" s="97"/>
      <c r="E89" s="117"/>
      <c r="F89" s="35" t="s">
        <v>123</v>
      </c>
      <c r="G89" s="37" t="n">
        <f aca="false">(G88/G87)</f>
        <v>1042.36289096346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12228.8779785745</v>
      </c>
      <c r="C90" s="97"/>
      <c r="D90" s="97"/>
      <c r="E90" s="117"/>
      <c r="F90" s="35" t="s">
        <v>124</v>
      </c>
      <c r="G90" s="37" t="n">
        <f aca="false">((G89*(G85))+G77)</f>
        <v>11465.9918005981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12228.8779785745</v>
      </c>
      <c r="C92" s="97"/>
      <c r="D92" s="97"/>
      <c r="E92" s="117"/>
      <c r="F92" s="60" t="s">
        <v>126</v>
      </c>
      <c r="G92" s="69" t="n">
        <f aca="false">(G90+G91)</f>
        <v>11465.9918005981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1111.71617987041</v>
      </c>
      <c r="C95" s="97"/>
      <c r="D95" s="97"/>
      <c r="E95" s="117"/>
      <c r="F95" s="99" t="s">
        <v>128</v>
      </c>
      <c r="G95" s="100" t="n">
        <f aca="false">G92/(G85)</f>
        <v>1042.36289096346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1111.71617987041</v>
      </c>
      <c r="C96" s="97"/>
      <c r="D96" s="97"/>
      <c r="E96" s="117"/>
      <c r="F96" s="101" t="s">
        <v>129</v>
      </c>
      <c r="G96" s="102" t="n">
        <f aca="false">G94+G95</f>
        <v>1042.36289096346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281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5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23249.996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266" t="n">
        <f aca="false">B95</f>
        <v>1111.71617987041</v>
      </c>
      <c r="B167" s="181" t="str">
        <f aca="false">B94</f>
        <v>0</v>
      </c>
      <c r="C167" s="178"/>
      <c r="D167" s="178"/>
      <c r="E167" s="181" t="n">
        <f aca="false">B96</f>
        <v>1111.71617987041</v>
      </c>
      <c r="F167" s="27"/>
      <c r="G167" s="27" t="n">
        <f aca="false">ROUND(G95,2)</f>
        <v>1042.36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23249.996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-3821.11802142555</v>
      </c>
      <c r="B182" s="107" t="str">
        <f aca="false">B114</f>
        <v>239.99</v>
      </c>
      <c r="C182" s="107"/>
      <c r="D182" s="27"/>
      <c r="E182" s="107" t="n">
        <f aca="false">E179+A182+B182+A185</f>
        <v>19678.8679785745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9.72624</v>
      </c>
      <c r="B188" s="107" t="n">
        <f aca="false">(G158*B67)/1.2</f>
        <v>96.8749833333334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196.86665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1111.71617987041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-4584.036</v>
      </c>
      <c r="B201" s="190" t="n">
        <f aca="false">E179+A201+B182+A185</f>
        <v>18915.95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1111.71617987041</v>
      </c>
      <c r="B212" s="181" t="str">
        <f aca="false">B167</f>
        <v>0</v>
      </c>
      <c r="C212" s="178"/>
      <c r="D212" s="178"/>
      <c r="E212" s="181" t="n">
        <f aca="false">E167</f>
        <v>1111.71617987041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-3821.11802142555</v>
      </c>
      <c r="B224" s="107" t="str">
        <f aca="false">B182</f>
        <v>239.99</v>
      </c>
      <c r="C224" s="107"/>
      <c r="D224" s="117"/>
      <c r="E224" s="107" t="n">
        <f aca="false">E182</f>
        <v>19678.8679785745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1111.71617987041</v>
      </c>
      <c r="B230" s="107" t="str">
        <f aca="false">B167</f>
        <v>0</v>
      </c>
      <c r="C230" s="190"/>
      <c r="D230" s="190"/>
      <c r="E230" s="107" t="n">
        <f aca="false">E167</f>
        <v>1111.71617987041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A188</f>
        <v>9.72624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96.8749833333334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2196.86665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772.917978574456</v>
      </c>
      <c r="C254" s="201"/>
      <c r="D254" s="202" t="s">
        <v>227</v>
      </c>
      <c r="E254" s="202"/>
      <c r="F254" s="204" t="n">
        <f aca="false">F261+F267+F269+B270+B271</f>
        <v>116.24998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756.659665241123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0.1255</v>
      </c>
      <c r="C260" s="47"/>
      <c r="D260" s="170" t="s">
        <v>226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116.24998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756.659665241123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9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267" t="s">
        <v>254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A54" s="4" t="s">
        <v>6</v>
      </c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11727.8779785745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6354.94179987962</v>
      </c>
      <c r="C86" s="97" t="n">
        <f aca="false">(B82/((1+B84)^(B85+1)))</f>
        <v>6354.94179987962</v>
      </c>
      <c r="D86" s="97"/>
      <c r="E86" s="117"/>
      <c r="F86" s="35" t="s">
        <v>120</v>
      </c>
      <c r="G86" s="37" t="n">
        <f aca="false">(G82/((1+G84)^(G85+1)))</f>
        <v>6748.06930144099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11495.0582001204</v>
      </c>
      <c r="C88" s="97" t="n">
        <f aca="false">B81-B86</f>
        <v>11495.0582001204</v>
      </c>
      <c r="D88" s="97"/>
      <c r="E88" s="117"/>
      <c r="F88" s="35" t="s">
        <v>122</v>
      </c>
      <c r="G88" s="37" t="n">
        <f aca="false">G81-G86</f>
        <v>11101.930698559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1111.71617987041</v>
      </c>
      <c r="C89" s="97" t="n">
        <f aca="false">(B88/B87)</f>
        <v>1111.71617987041</v>
      </c>
      <c r="D89" s="97"/>
      <c r="E89" s="117"/>
      <c r="F89" s="35" t="s">
        <v>123</v>
      </c>
      <c r="G89" s="37" t="n">
        <f aca="false">(G88/G87)</f>
        <v>1042.36289096346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12228.8779785745</v>
      </c>
      <c r="C90" s="97"/>
      <c r="D90" s="97"/>
      <c r="E90" s="117"/>
      <c r="F90" s="35" t="s">
        <v>124</v>
      </c>
      <c r="G90" s="37" t="n">
        <f aca="false">((G89*(G85))+G77)</f>
        <v>11465.9918005981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12228.8779785745</v>
      </c>
      <c r="C92" s="97"/>
      <c r="D92" s="97"/>
      <c r="E92" s="117"/>
      <c r="F92" s="60" t="s">
        <v>126</v>
      </c>
      <c r="G92" s="69" t="n">
        <f aca="false">(G90+G91)</f>
        <v>11465.9918005981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1111.71617987041</v>
      </c>
      <c r="C95" s="97"/>
      <c r="D95" s="97"/>
      <c r="E95" s="117"/>
      <c r="F95" s="99" t="s">
        <v>128</v>
      </c>
      <c r="G95" s="100" t="n">
        <f aca="false">G92/(G85)</f>
        <v>1042.36289096346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1111.71617987041</v>
      </c>
      <c r="C96" s="97"/>
      <c r="D96" s="97"/>
      <c r="E96" s="117"/>
      <c r="F96" s="101" t="s">
        <v>129</v>
      </c>
      <c r="G96" s="102" t="n">
        <f aca="false">G94+G95</f>
        <v>1042.36289096346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245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23249.996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266" t="n">
        <f aca="false">B95</f>
        <v>1111.71617987041</v>
      </c>
      <c r="B167" s="181" t="str">
        <f aca="false">B94</f>
        <v>0</v>
      </c>
      <c r="C167" s="178"/>
      <c r="D167" s="178"/>
      <c r="E167" s="181" t="n">
        <f aca="false">B96</f>
        <v>1111.71617987041</v>
      </c>
      <c r="F167" s="27"/>
      <c r="G167" s="27" t="n">
        <f aca="false">ROUND(G95,2)</f>
        <v>1042.36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23249.996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-3821.11802142555</v>
      </c>
      <c r="B182" s="107" t="str">
        <f aca="false">B114</f>
        <v>199.99</v>
      </c>
      <c r="C182" s="107"/>
      <c r="D182" s="27"/>
      <c r="E182" s="107" t="n">
        <f aca="false">E179+A182+(B182*1.2)+A185</f>
        <v>19678.8659785745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239.988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8.1052</v>
      </c>
      <c r="B188" s="107" t="n">
        <f aca="false">(G158*B67)/1.2</f>
        <v>96.8749833333334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196.864983333333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1111.71617987041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-4584.036</v>
      </c>
      <c r="B201" s="190" t="n">
        <f aca="false">E179+A201+(B182*1.2)+A185</f>
        <v>18915.948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1111.71617987041</v>
      </c>
      <c r="B212" s="181" t="str">
        <f aca="false">B167</f>
        <v>0</v>
      </c>
      <c r="C212" s="178"/>
      <c r="D212" s="178"/>
      <c r="E212" s="181" t="n">
        <f aca="false">E167</f>
        <v>1111.71617987041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-3821.11802142555</v>
      </c>
      <c r="B224" s="107" t="str">
        <f aca="false">B182</f>
        <v>199.99</v>
      </c>
      <c r="C224" s="107"/>
      <c r="D224" s="117"/>
      <c r="E224" s="107" t="n">
        <f aca="false">E182</f>
        <v>19678.8659785745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1111.71617987041</v>
      </c>
      <c r="B230" s="107" t="str">
        <f aca="false">B167</f>
        <v>0</v>
      </c>
      <c r="C230" s="190"/>
      <c r="D230" s="190"/>
      <c r="E230" s="107" t="n">
        <f aca="false">E167</f>
        <v>1111.71617987041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A188</f>
        <v>8.1052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96.8749833333334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2196.86498333334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772.917978574456</v>
      </c>
      <c r="C254" s="201"/>
      <c r="D254" s="202" t="s">
        <v>227</v>
      </c>
      <c r="E254" s="202"/>
      <c r="F254" s="204" t="n">
        <f aca="false">F261+F267+F269+B270+B271</f>
        <v>116.24998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756.657998574456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0.1255</v>
      </c>
      <c r="C260" s="47"/>
      <c r="D260" s="170" t="s">
        <v>226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116.24998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756.657998574456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253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149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264</v>
      </c>
      <c r="B43" s="244" t="s">
        <v>265</v>
      </c>
      <c r="C43" s="234"/>
      <c r="D43" s="244" t="s">
        <v>269</v>
      </c>
      <c r="E43" s="247"/>
      <c r="F43" s="67"/>
      <c r="G43" s="67" t="s">
        <v>266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1</v>
      </c>
      <c r="C44" s="108"/>
      <c r="D44" s="282" t="n">
        <f aca="false">A44+B44</f>
        <v>2</v>
      </c>
      <c r="E44" s="282"/>
      <c r="F44" s="67"/>
      <c r="G44" s="67" t="s">
        <v>267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283</v>
      </c>
      <c r="B46" s="234"/>
      <c r="C46" s="234"/>
      <c r="D46" s="234"/>
      <c r="E46" s="247"/>
      <c r="F46" s="67"/>
      <c r="G46" s="67" t="s">
        <v>272</v>
      </c>
      <c r="H46" s="242" t="n">
        <f aca="false">H43</f>
        <v>501</v>
      </c>
      <c r="I46" s="242" t="s">
        <v>6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284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285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40526</v>
      </c>
      <c r="C61" s="219"/>
      <c r="D61" s="219"/>
      <c r="E61" s="220"/>
      <c r="F61" s="67"/>
      <c r="G61" s="218" t="s">
        <v>23</v>
      </c>
      <c r="H61" s="294" t="n">
        <f aca="false">G18</f>
        <v>40526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1319.49972</v>
      </c>
      <c r="C64" s="219" t="n">
        <v>10000</v>
      </c>
      <c r="D64" s="294" t="n">
        <f aca="false">B64</f>
        <v>1319.49972</v>
      </c>
      <c r="E64" s="220"/>
      <c r="F64" s="67"/>
      <c r="G64" s="288" t="s">
        <v>100</v>
      </c>
      <c r="H64" s="137" t="n">
        <f aca="false">H61*H63</f>
        <v>2836.82</v>
      </c>
      <c r="I64" s="219"/>
      <c r="J64" s="294" t="n">
        <f aca="false">H64</f>
        <v>2836.82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202.63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</v>
      </c>
      <c r="C74" s="219"/>
      <c r="D74" s="219"/>
      <c r="E74" s="220"/>
      <c r="F74" s="67"/>
      <c r="G74" s="295" t="s">
        <v>288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 t="n">
        <f aca="false">IF(G18&gt;40000,325,0)</f>
        <v>325</v>
      </c>
      <c r="D75" s="219"/>
      <c r="E75" s="220"/>
      <c r="F75" s="67"/>
      <c r="G75" s="299" t="s">
        <v>289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2646.16638666667</v>
      </c>
      <c r="C81" s="219"/>
      <c r="D81" s="219"/>
      <c r="E81" s="220"/>
      <c r="F81" s="67"/>
      <c r="G81" s="307" t="s">
        <v>112</v>
      </c>
      <c r="H81" s="308" t="n">
        <f aca="false">SUM(J64:J80)</f>
        <v>4490.40333333333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220.513865555556</v>
      </c>
      <c r="C82" s="219"/>
      <c r="D82" s="219"/>
      <c r="E82" s="220"/>
      <c r="F82" s="67"/>
      <c r="G82" s="218" t="s">
        <v>113</v>
      </c>
      <c r="H82" s="304" t="n">
        <f aca="false">H81/H29</f>
        <v>374.200277777778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((B83*(H29)+B81))*1.2</f>
        <v>10389.799664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12602.884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(((B83*(H29))+B81)/(1-B70))*B70</f>
        <v>73.3446930697862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88.9675151270674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10463.1443570698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12591.8615151271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IF(B99=Z102,(((H44*B35)+(H44*B35)*(B105/100))/(B58))*1.2,(((H44*B35)+(H44*B35)*(B105/100))/(B57+B58))*1.2)</f>
        <v>78</v>
      </c>
      <c r="C89" s="219"/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871.928696422482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1049.32179292726</v>
      </c>
      <c r="I90" s="219"/>
      <c r="J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949.928696422482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1121.32179292726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293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f aca="false">199.99*1.2</f>
        <v>239.988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273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274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275</v>
      </c>
      <c r="AA104" s="67"/>
    </row>
    <row r="105" customFormat="false" ht="18.75" hidden="false" customHeight="true" outlineLevel="0" collapsed="false">
      <c r="A105" s="226" t="s">
        <v>27</v>
      </c>
      <c r="B105" s="316" t="n">
        <v>30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276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277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278</v>
      </c>
      <c r="AA107" s="67"/>
    </row>
    <row r="108" customFormat="false" ht="18.75" hidden="false" customHeight="true" outlineLevel="0" collapsed="false">
      <c r="A108" s="221" t="s">
        <v>299</v>
      </c>
      <c r="B108" s="221" t="n">
        <v>0</v>
      </c>
      <c r="C108" s="221"/>
      <c r="D108" s="221" t="n">
        <v>0</v>
      </c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279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280</v>
      </c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239.988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(E118+E117)-D115</f>
        <v>1239.988</v>
      </c>
      <c r="F119" s="67"/>
      <c r="G119" s="319" t="s">
        <v>301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871.928696422482</v>
      </c>
      <c r="B128" s="325" t="n">
        <f aca="false">IF(A105="YES",B89,0)</f>
        <v>78</v>
      </c>
      <c r="C128" s="330"/>
      <c r="D128" s="325" t="n">
        <f aca="false">B91</f>
        <v>949.928696422482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305</v>
      </c>
      <c r="H129" s="332" t="s">
        <v>306</v>
      </c>
      <c r="I129" s="332"/>
      <c r="J129" s="332" t="s">
        <v>307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337" t="n">
        <f aca="false">H90</f>
        <v>1049.32179292726</v>
      </c>
      <c r="H130" s="181" t="n">
        <f aca="false">IF(G105="YES",H89*H57,0)</f>
        <v>72</v>
      </c>
      <c r="I130" s="181"/>
      <c r="J130" s="338" t="n">
        <f aca="false">H91</f>
        <v>1121.32179292726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871.928696422482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1049.32179292726</v>
      </c>
      <c r="H133" s="107" t="n">
        <f aca="false">IF(G105="YES",H89*H57,0)</f>
        <v>72</v>
      </c>
      <c r="I133" s="225"/>
      <c r="J133" s="188" t="n">
        <f aca="false">H91*H57</f>
        <v>1121.32179292726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949.928696422482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871.928696422482</v>
      </c>
      <c r="B137" s="42" t="n">
        <f aca="false">IF(A105="YES",B89,0)</f>
        <v>78</v>
      </c>
      <c r="C137" s="321"/>
      <c r="D137" s="42" t="n">
        <f aca="false">B91</f>
        <v>949.928696422482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202.63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29.17872</v>
      </c>
      <c r="B140" s="347" t="n">
        <f aca="false">G18*0.000002*1.2*100</f>
        <v>9.72624</v>
      </c>
      <c r="C140" s="348"/>
      <c r="D140" s="347" t="n">
        <f aca="false">A140+B140</f>
        <v>38.90496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1429.818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239.988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18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518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1121.32179292726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949.928696422482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302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295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303</v>
      </c>
      <c r="C170" s="362"/>
      <c r="D170" s="361" t="s">
        <v>304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871.928696422482</v>
      </c>
      <c r="B171" s="362" t="n">
        <f aca="false">IF(A105="YES",B89,0)</f>
        <v>78</v>
      </c>
      <c r="C171" s="365"/>
      <c r="D171" s="362" t="n">
        <f aca="false">B91</f>
        <v>949.928696422482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308</v>
      </c>
      <c r="C173" s="234"/>
      <c r="D173" s="366" t="s">
        <v>309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 Monthly in advance </v>
      </c>
      <c r="B174" s="107" t="n">
        <f aca="false">B90*B57</f>
        <v>871.928696422482</v>
      </c>
      <c r="C174" s="360"/>
      <c r="D174" s="107" t="n">
        <f aca="false">IF(A105="YES",B89*B57,0)</f>
        <v>78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313</v>
      </c>
      <c r="B176" s="170" t="s">
        <v>314</v>
      </c>
      <c r="C176" s="367"/>
      <c r="D176" s="245" t="s">
        <v>217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949.928696422482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303</v>
      </c>
      <c r="C179" s="360"/>
      <c r="D179" s="360" t="s">
        <v>304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871.928696422482</v>
      </c>
      <c r="B180" s="107" t="n">
        <f aca="false">IF(A105="YES",B89,0)</f>
        <v>78</v>
      </c>
      <c r="C180" s="360"/>
      <c r="D180" s="107" t="n">
        <f aca="false">B91</f>
        <v>949.928696422482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321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(G18*0.000006)*1.2*100</f>
        <v>29.17872</v>
      </c>
      <c r="B183" s="372" t="n">
        <f aca="false">G18*0.000002*1.2*100</f>
        <v>9.72624</v>
      </c>
      <c r="C183" s="373"/>
      <c r="D183" s="372" t="n">
        <f aca="false">A183+B183</f>
        <v>38.90496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325</v>
      </c>
      <c r="B185" s="371" t="s">
        <v>62</v>
      </c>
      <c r="C185" s="107"/>
      <c r="D185" s="371" t="s">
        <v>291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239.988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328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329</v>
      </c>
      <c r="B190" s="360" t="s">
        <v>330</v>
      </c>
      <c r="C190" s="360"/>
      <c r="D190" s="360" t="s">
        <v>331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18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333</v>
      </c>
      <c r="B193" s="360" t="s">
        <v>327</v>
      </c>
      <c r="C193" s="360"/>
      <c r="D193" s="360" t="s">
        <v>324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(E118/1.2)-100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518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334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223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224</v>
      </c>
      <c r="B203" s="378" t="n">
        <f aca="false">B209</f>
        <v>0.065</v>
      </c>
      <c r="C203" s="325" t="s">
        <v>226</v>
      </c>
      <c r="D203" s="379" t="n">
        <f aca="false">D64</f>
        <v>1319.49972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227</v>
      </c>
      <c r="B205" s="325" t="n">
        <f aca="false">B213</f>
        <v>0.01</v>
      </c>
      <c r="C205" s="324" t="s">
        <v>228</v>
      </c>
      <c r="D205" s="379" t="n">
        <f aca="false">B219+E215+B215+B217</f>
        <v>519.99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229</v>
      </c>
      <c r="B207" s="325" t="n">
        <f aca="false">E217</f>
        <v>1839.47972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224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226</v>
      </c>
      <c r="B211" s="108" t="n">
        <f aca="false">D64</f>
        <v>1319.49972</v>
      </c>
      <c r="C211" s="383" t="s">
        <v>232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232</v>
      </c>
      <c r="B213" s="108" t="n">
        <f aca="false">B67</f>
        <v>0.01</v>
      </c>
      <c r="C213" s="340" t="s">
        <v>335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335</v>
      </c>
      <c r="B215" s="245" t="n">
        <f aca="false">B191*E213*100</f>
        <v>40</v>
      </c>
      <c r="C215" s="340" t="s">
        <v>234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336</v>
      </c>
      <c r="B217" s="245" t="n">
        <f aca="false">B78-(B78*(E213*100))</f>
        <v>200</v>
      </c>
      <c r="C217" s="340" t="s">
        <v>229</v>
      </c>
      <c r="D217" s="321"/>
      <c r="E217" s="37" t="n">
        <f aca="false">(B211-B205+D205)</f>
        <v>1839.47972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337</v>
      </c>
      <c r="B219" s="345" t="n">
        <f aca="false">D191/0.1</f>
        <v>180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338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236</v>
      </c>
      <c r="B223" s="108" t="n">
        <f aca="false">B71</f>
        <v>200</v>
      </c>
      <c r="C223" s="340" t="s">
        <v>237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238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239</v>
      </c>
      <c r="B225" s="388" t="n">
        <f aca="false">B68</f>
        <v>0.0075</v>
      </c>
      <c r="C225" s="340" t="s">
        <v>240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241</v>
      </c>
      <c r="D226" s="350"/>
      <c r="E226" s="37" t="n">
        <f aca="false">B86</f>
        <v>73.3446930697862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242</v>
      </c>
      <c r="B227" s="108" t="n">
        <f aca="false">B79</f>
        <v>200</v>
      </c>
      <c r="C227" s="389" t="s">
        <v>339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243</v>
      </c>
      <c r="B229" s="108" t="n">
        <f aca="false">B80</f>
        <v>200</v>
      </c>
      <c r="C229" s="393" t="s">
        <v>340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7.8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253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149</v>
      </c>
      <c r="E40" s="220"/>
      <c r="F40" s="67"/>
      <c r="G40" s="394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264</v>
      </c>
      <c r="B43" s="244" t="s">
        <v>265</v>
      </c>
      <c r="C43" s="234"/>
      <c r="D43" s="244" t="s">
        <v>269</v>
      </c>
      <c r="E43" s="247"/>
      <c r="F43" s="67"/>
      <c r="G43" s="67" t="s">
        <v>266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1</v>
      </c>
      <c r="C44" s="108"/>
      <c r="D44" s="282" t="n">
        <f aca="false">A44+B44</f>
        <v>2</v>
      </c>
      <c r="E44" s="282"/>
      <c r="F44" s="67"/>
      <c r="G44" s="67" t="s">
        <v>267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283</v>
      </c>
      <c r="B46" s="234"/>
      <c r="C46" s="234"/>
      <c r="D46" s="234"/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 t="n">
        <f aca="false">(A41*(B58+B57))</f>
        <v>600</v>
      </c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284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285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40526</v>
      </c>
      <c r="C61" s="219"/>
      <c r="D61" s="219"/>
      <c r="E61" s="220"/>
      <c r="F61" s="67"/>
      <c r="G61" s="218" t="s">
        <v>23</v>
      </c>
      <c r="H61" s="294" t="n">
        <f aca="false">G18</f>
        <v>40526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1319.49972</v>
      </c>
      <c r="C64" s="219" t="n">
        <v>10000</v>
      </c>
      <c r="D64" s="294" t="n">
        <f aca="false">B64</f>
        <v>1319.49972</v>
      </c>
      <c r="E64" s="220"/>
      <c r="F64" s="67"/>
      <c r="G64" s="288" t="s">
        <v>100</v>
      </c>
      <c r="H64" s="137" t="n">
        <f aca="false">H61*H63</f>
        <v>2836.82</v>
      </c>
      <c r="I64" s="219"/>
      <c r="J64" s="294" t="n">
        <f aca="false">H64</f>
        <v>2836.82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202.63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</v>
      </c>
      <c r="C74" s="219"/>
      <c r="D74" s="219"/>
      <c r="E74" s="220"/>
      <c r="F74" s="67"/>
      <c r="G74" s="295" t="s">
        <v>288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/>
      <c r="D75" s="219"/>
      <c r="E75" s="220"/>
      <c r="F75" s="67"/>
      <c r="G75" s="299" t="s">
        <v>289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2646.16638666667</v>
      </c>
      <c r="C81" s="219"/>
      <c r="D81" s="219"/>
      <c r="E81" s="220"/>
      <c r="F81" s="67"/>
      <c r="G81" s="307" t="s">
        <v>112</v>
      </c>
      <c r="H81" s="308" t="n">
        <f aca="false">SUM(J64:J80)</f>
        <v>4490.40333333333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220.513865555556</v>
      </c>
      <c r="C82" s="219"/>
      <c r="D82" s="219"/>
      <c r="E82" s="220"/>
      <c r="F82" s="67"/>
      <c r="G82" s="218" t="s">
        <v>113</v>
      </c>
      <c r="H82" s="304" t="n">
        <f aca="false">H81/H29</f>
        <v>374.200277777778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</f>
        <v>8658.16638666667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12602.884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73.3446930697862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88.9675151270674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8731.51107973645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12591.8615151271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IF(B99=Z102,(((H44*B35)+(H44*B35)*(B105/100))/(B58)),(((H44*B35)+(H44*B35)*(B105/100))/(B57+B58)))</f>
        <v>60</v>
      </c>
      <c r="C89" s="219" t="s">
        <v>6</v>
      </c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727.625923311371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1049.32179292726</v>
      </c>
      <c r="I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787.625923311371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1121.32179292726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273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274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275</v>
      </c>
      <c r="AA104" s="67"/>
    </row>
    <row r="105" customFormat="false" ht="18.75" hidden="false" customHeight="true" outlineLevel="0" collapsed="false">
      <c r="A105" s="226" t="s">
        <v>27</v>
      </c>
      <c r="B105" s="316" t="n">
        <v>20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276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277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278</v>
      </c>
      <c r="AA107" s="67"/>
    </row>
    <row r="108" customFormat="false" ht="18.75" hidden="false" customHeight="true" outlineLevel="0" collapsed="false">
      <c r="A108" s="221" t="s">
        <v>299</v>
      </c>
      <c r="B108" s="221" t="n">
        <v>0</v>
      </c>
      <c r="C108" s="221"/>
      <c r="D108" s="221" t="n">
        <v>0</v>
      </c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279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280</v>
      </c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((E118*1.2)+E117)-D115</f>
        <v>1239.988</v>
      </c>
      <c r="F119" s="67"/>
      <c r="G119" s="319" t="s">
        <v>301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727.625923311371</v>
      </c>
      <c r="B128" s="325" t="n">
        <f aca="false">IF(A105="YES",B89,0)</f>
        <v>60</v>
      </c>
      <c r="C128" s="330"/>
      <c r="D128" s="325" t="n">
        <f aca="false">B91</f>
        <v>787.625923311371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305</v>
      </c>
      <c r="H129" s="332" t="s">
        <v>306</v>
      </c>
      <c r="I129" s="332"/>
      <c r="J129" s="332" t="s">
        <v>307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337" t="n">
        <f aca="false">H90</f>
        <v>1049.32179292726</v>
      </c>
      <c r="H130" s="181" t="n">
        <f aca="false">IF(G105="YES",H89*H57,0)</f>
        <v>72</v>
      </c>
      <c r="I130" s="181"/>
      <c r="J130" s="338" t="n">
        <f aca="false">H91</f>
        <v>1121.32179292726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727.625923311371</v>
      </c>
      <c r="C131" s="321"/>
      <c r="D131" s="42" t="n">
        <f aca="false">IF(A105="YES",B89*B57,0)</f>
        <v>60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1049.32179292726</v>
      </c>
      <c r="H133" s="107" t="n">
        <f aca="false">IF(G105="YES",H89*H57,0)</f>
        <v>72</v>
      </c>
      <c r="I133" s="225"/>
      <c r="J133" s="188" t="n">
        <f aca="false">H91*H57</f>
        <v>1121.32179292726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787.625923311371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727.625923311371</v>
      </c>
      <c r="B137" s="42" t="n">
        <f aca="false">IF(A105="YES",B89,0)</f>
        <v>60</v>
      </c>
      <c r="C137" s="321"/>
      <c r="D137" s="42" t="n">
        <f aca="false">B91</f>
        <v>787.625923311371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202.63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24.3156</v>
      </c>
      <c r="B140" s="347" t="n">
        <f aca="false">G18*0.000002*100</f>
        <v>8.1052</v>
      </c>
      <c r="C140" s="348"/>
      <c r="D140" s="347" t="n">
        <f aca="false">A140+B140</f>
        <v>32.4208</v>
      </c>
      <c r="E140" s="395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1429.818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12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512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1121.32179292726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787.625923311371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302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295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303</v>
      </c>
      <c r="C170" s="362"/>
      <c r="D170" s="361" t="s">
        <v>304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727.625923311371</v>
      </c>
      <c r="B171" s="362" t="n">
        <f aca="false">IF(A105="YES",B89,0)</f>
        <v>60</v>
      </c>
      <c r="C171" s="365"/>
      <c r="D171" s="362" t="n">
        <f aca="false">B91</f>
        <v>787.625923311371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308</v>
      </c>
      <c r="C173" s="234"/>
      <c r="D173" s="366" t="s">
        <v>309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 Monthly in advance </v>
      </c>
      <c r="B174" s="107" t="n">
        <f aca="false">B90*B57</f>
        <v>727.625923311371</v>
      </c>
      <c r="C174" s="360"/>
      <c r="D174" s="107" t="n">
        <f aca="false">IF(A105="YES",B89*B57,0)</f>
        <v>60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313</v>
      </c>
      <c r="B176" s="170" t="s">
        <v>314</v>
      </c>
      <c r="C176" s="367"/>
      <c r="D176" s="245" t="s">
        <v>217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787.625923311371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303</v>
      </c>
      <c r="C179" s="360"/>
      <c r="D179" s="360" t="s">
        <v>304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727.625923311371</v>
      </c>
      <c r="B180" s="107" t="n">
        <f aca="false">IF(A105="YES",B89,0)</f>
        <v>60</v>
      </c>
      <c r="C180" s="360"/>
      <c r="D180" s="107" t="n">
        <f aca="false">B91</f>
        <v>787.625923311371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321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(G18*0.000006)*100</f>
        <v>24.3156</v>
      </c>
      <c r="B183" s="372" t="n">
        <f aca="false">G18*0.000002*100</f>
        <v>8.1052</v>
      </c>
      <c r="C183" s="373"/>
      <c r="D183" s="372" t="n">
        <f aca="false">A183+B183</f>
        <v>32.4208</v>
      </c>
      <c r="E183" s="395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325</v>
      </c>
      <c r="B185" s="371" t="s">
        <v>62</v>
      </c>
      <c r="C185" s="107"/>
      <c r="D185" s="371" t="s">
        <v>291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199.99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328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329</v>
      </c>
      <c r="B190" s="360" t="s">
        <v>330</v>
      </c>
      <c r="C190" s="360"/>
      <c r="D190" s="360" t="s">
        <v>331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12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333</v>
      </c>
      <c r="B193" s="360" t="s">
        <v>327</v>
      </c>
      <c r="C193" s="360"/>
      <c r="D193" s="360" t="s">
        <v>324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E118-100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512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334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223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224</v>
      </c>
      <c r="B203" s="378" t="n">
        <f aca="false">H29</f>
        <v>12</v>
      </c>
      <c r="C203" s="325" t="s">
        <v>226</v>
      </c>
      <c r="D203" s="379" t="n">
        <f aca="false">D64</f>
        <v>1319.49972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227</v>
      </c>
      <c r="B205" s="325" t="n">
        <f aca="false">B213</f>
        <v>0.01</v>
      </c>
      <c r="C205" s="324" t="s">
        <v>228</v>
      </c>
      <c r="D205" s="379" t="n">
        <f aca="false">B219+E215+B215+B217</f>
        <v>459.99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229</v>
      </c>
      <c r="B207" s="325" t="n">
        <f aca="false">E217</f>
        <v>1779.47972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224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226</v>
      </c>
      <c r="B211" s="108" t="n">
        <f aca="false">D64</f>
        <v>1319.49972</v>
      </c>
      <c r="C211" s="383" t="s">
        <v>232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232</v>
      </c>
      <c r="B213" s="108" t="n">
        <f aca="false">B67</f>
        <v>0.01</v>
      </c>
      <c r="C213" s="340" t="s">
        <v>335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335</v>
      </c>
      <c r="B215" s="245" t="n">
        <f aca="false">B191*E213*100</f>
        <v>40</v>
      </c>
      <c r="C215" s="340" t="s">
        <v>234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336</v>
      </c>
      <c r="B217" s="245" t="n">
        <f aca="false">B78-(B78*(E213*100))</f>
        <v>200</v>
      </c>
      <c r="C217" s="340" t="s">
        <v>229</v>
      </c>
      <c r="D217" s="321"/>
      <c r="E217" s="37" t="n">
        <f aca="false">(B211-B205+D205)</f>
        <v>1779.47972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337</v>
      </c>
      <c r="B219" s="345" t="n">
        <f aca="false">D191/0.1</f>
        <v>120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338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236</v>
      </c>
      <c r="B223" s="108" t="n">
        <f aca="false">B71</f>
        <v>200</v>
      </c>
      <c r="C223" s="340" t="s">
        <v>237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238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239</v>
      </c>
      <c r="B225" s="388" t="n">
        <f aca="false">B68</f>
        <v>0.0075</v>
      </c>
      <c r="C225" s="340" t="s">
        <v>240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241</v>
      </c>
      <c r="D226" s="350"/>
      <c r="E226" s="37" t="n">
        <f aca="false">B86</f>
        <v>73.3446930697862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242</v>
      </c>
      <c r="B227" s="108" t="n">
        <f aca="false">B79</f>
        <v>200</v>
      </c>
      <c r="C227" s="389" t="s">
        <v>339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243</v>
      </c>
      <c r="B229" s="108" t="n">
        <f aca="false">B80</f>
        <v>200</v>
      </c>
      <c r="C229" s="393" t="s">
        <v>340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246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248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249</v>
      </c>
      <c r="B29" s="227" t="n">
        <v>12345</v>
      </c>
      <c r="C29" s="227"/>
      <c r="D29" s="398" t="n">
        <f aca="true">TODAY()+1</f>
        <v>45490</v>
      </c>
      <c r="E29" s="398"/>
      <c r="F29" s="396"/>
      <c r="G29" s="33" t="s">
        <v>37</v>
      </c>
      <c r="H29" s="41" t="n">
        <f aca="false">A32</f>
        <v>12</v>
      </c>
      <c r="I29" s="396"/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342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18849.996</v>
      </c>
      <c r="B35" s="227" t="s">
        <v>54</v>
      </c>
      <c r="C35" s="227"/>
      <c r="D35" s="282" t="n">
        <f aca="false">A35-B35</f>
        <v>17849.996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54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66</v>
      </c>
      <c r="G40" s="7" t="s">
        <v>67</v>
      </c>
      <c r="H40" s="7" t="n">
        <f aca="false">C15</f>
        <v>3141.666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343</v>
      </c>
      <c r="B41" s="108" t="s">
        <v>344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/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344</v>
      </c>
      <c r="D43" s="244" t="s">
        <v>220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n">
        <v>0</v>
      </c>
      <c r="B44" s="108" t="s">
        <v>345</v>
      </c>
      <c r="C44" s="108"/>
      <c r="D44" s="108" t="n">
        <v>0</v>
      </c>
      <c r="E44" s="108"/>
      <c r="F44" s="396"/>
      <c r="G44" s="7" t="s">
        <v>74</v>
      </c>
      <c r="H44" s="7" t="n">
        <f aca="false">((H40-(((H42/(1.2))*0.2)))/(H43))</f>
        <v>178.472166666667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321.527833333333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346</v>
      </c>
      <c r="B46" s="234" t="s">
        <v>347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346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324.1945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34"/>
      <c r="E50" s="247"/>
      <c r="F50" s="396"/>
      <c r="G50" s="7" t="s">
        <v>348</v>
      </c>
      <c r="H50" s="7" t="n">
        <f aca="false">H49-H41</f>
        <v>324.1945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H49</f>
        <v>324.1945</v>
      </c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346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324.1945</v>
      </c>
      <c r="C58" s="78"/>
      <c r="D58" s="360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1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11</v>
      </c>
      <c r="C64" s="321"/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321"/>
      <c r="D67" s="321"/>
      <c r="E67" s="322"/>
      <c r="F67" s="396"/>
      <c r="G67" s="320" t="s">
        <v>23</v>
      </c>
      <c r="H67" s="36" t="n">
        <f aca="false">G18</f>
        <v>40526</v>
      </c>
      <c r="I67" s="321"/>
      <c r="J67" s="321"/>
      <c r="K67" s="322"/>
      <c r="L67" s="396"/>
      <c r="M67" s="320" t="s">
        <v>23</v>
      </c>
      <c r="N67" s="36" t="n">
        <f aca="false">G18</f>
        <v>40526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286</v>
      </c>
      <c r="B68" s="296" t="n">
        <v>0.07</v>
      </c>
      <c r="C68" s="321"/>
      <c r="D68" s="321"/>
      <c r="E68" s="322"/>
      <c r="F68" s="396"/>
      <c r="G68" s="407" t="s">
        <v>286</v>
      </c>
      <c r="H68" s="408" t="n">
        <v>0.07</v>
      </c>
      <c r="I68" s="321"/>
      <c r="J68" s="321"/>
      <c r="K68" s="322"/>
      <c r="L68" s="396"/>
      <c r="M68" s="407" t="s">
        <v>286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287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287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321" t="n">
        <v>10000</v>
      </c>
      <c r="D70" s="36" t="n">
        <f aca="false">B70-A149</f>
        <v>1319.49972</v>
      </c>
      <c r="E70" s="322" t="n">
        <f aca="false">D70/12</f>
        <v>109.95831</v>
      </c>
      <c r="F70" s="396"/>
      <c r="G70" s="375" t="s">
        <v>100</v>
      </c>
      <c r="H70" s="69" t="n">
        <f aca="false">H67*H69</f>
        <v>2836.82</v>
      </c>
      <c r="I70" s="321"/>
      <c r="J70" s="36" t="n">
        <f aca="false">H70-G151</f>
        <v>2836.82</v>
      </c>
      <c r="K70" s="322"/>
      <c r="L70" s="396"/>
      <c r="M70" s="375" t="s">
        <v>100</v>
      </c>
      <c r="N70" s="69" t="n">
        <f aca="false">N67*N69</f>
        <v>2836.82</v>
      </c>
      <c r="O70" s="321"/>
      <c r="P70" s="36" t="n">
        <f aca="false">N70-M151</f>
        <v>2836.82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0.01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202.63</v>
      </c>
      <c r="I73" s="321"/>
      <c r="J73" s="36"/>
      <c r="K73" s="322"/>
      <c r="L73" s="396"/>
      <c r="M73" s="375" t="s">
        <v>103</v>
      </c>
      <c r="N73" s="69" t="n">
        <f aca="false">N67*N72</f>
        <v>202.63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288</v>
      </c>
      <c r="B80" s="91" t="n">
        <v>275</v>
      </c>
      <c r="C80" s="321"/>
      <c r="D80" s="321"/>
      <c r="E80" s="395" t="n">
        <f aca="false">E79+D82</f>
        <v>957.916666666667</v>
      </c>
      <c r="F80" s="396"/>
      <c r="G80" s="407" t="s">
        <v>288</v>
      </c>
      <c r="H80" s="91" t="n">
        <v>150</v>
      </c>
      <c r="I80" s="321"/>
      <c r="J80" s="321"/>
      <c r="K80" s="322"/>
      <c r="L80" s="396"/>
      <c r="M80" s="412" t="s">
        <v>288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289</v>
      </c>
      <c r="B81" s="81" t="n">
        <v>0</v>
      </c>
      <c r="C81" s="321"/>
      <c r="D81" s="321"/>
      <c r="E81" s="322" t="n">
        <f aca="false">E80/12</f>
        <v>79.8263888888889</v>
      </c>
      <c r="F81" s="396"/>
      <c r="G81" s="409" t="s">
        <v>289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289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290</v>
      </c>
      <c r="B82" s="69" t="n">
        <f aca="false">((B80+B81)/12)*(H29+1)</f>
        <v>297.916666666667</v>
      </c>
      <c r="C82" s="321"/>
      <c r="D82" s="36" t="n">
        <f aca="false">IF(A50="YES",0,B82)</f>
        <v>297.916666666667</v>
      </c>
      <c r="E82" s="322"/>
      <c r="F82" s="396"/>
      <c r="G82" s="375" t="s">
        <v>290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290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291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291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291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349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292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292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2944.08305333333</v>
      </c>
      <c r="C87" s="321"/>
      <c r="D87" s="321"/>
      <c r="E87" s="322"/>
      <c r="F87" s="396"/>
      <c r="G87" s="419" t="s">
        <v>112</v>
      </c>
      <c r="H87" s="420" t="n">
        <f aca="false">SUM(J70:J86)</f>
        <v>5990.40333333333</v>
      </c>
      <c r="I87" s="321"/>
      <c r="J87" s="321"/>
      <c r="K87" s="322"/>
      <c r="L87" s="396"/>
      <c r="M87" s="419" t="s">
        <v>112</v>
      </c>
      <c r="N87" s="420" t="n">
        <f aca="false">SUM(P70:P86)</f>
        <v>5950.82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245.340254444444</v>
      </c>
      <c r="C88" s="321"/>
      <c r="D88" s="321"/>
      <c r="E88" s="322"/>
      <c r="F88" s="396"/>
      <c r="G88" s="320" t="s">
        <v>113</v>
      </c>
      <c r="H88" s="37" t="n">
        <f aca="false">H87/H29</f>
        <v>499.200277777778</v>
      </c>
      <c r="I88" s="321"/>
      <c r="J88" s="321"/>
      <c r="K88" s="322"/>
      <c r="L88" s="396"/>
      <c r="M88" s="320" t="s">
        <v>113</v>
      </c>
      <c r="N88" s="37" t="n">
        <f aca="false">N87/H29</f>
        <v>495.901666666667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324.1945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((B89*H29)+B87)*1.2</f>
        <v>8201.300464</v>
      </c>
      <c r="C91" s="321"/>
      <c r="D91" s="321"/>
      <c r="E91" s="322"/>
      <c r="F91" s="396"/>
      <c r="G91" s="404" t="s">
        <v>124</v>
      </c>
      <c r="H91" s="31" t="n">
        <f aca="false">((H89*H29)+H87)*1.2</f>
        <v>7188.484</v>
      </c>
      <c r="I91" s="321"/>
      <c r="J91" s="321"/>
      <c r="K91" s="322"/>
      <c r="L91" s="396"/>
      <c r="M91" s="404" t="s">
        <v>124</v>
      </c>
      <c r="N91" s="31" t="n">
        <f aca="false">((N89*H29)+N87)</f>
        <v>5950.82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57.8954248164583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50.7456514723679</v>
      </c>
      <c r="I92" s="321"/>
      <c r="J92" s="321"/>
      <c r="K92" s="322"/>
      <c r="L92" s="396"/>
      <c r="M92" s="320" t="s">
        <v>125</v>
      </c>
      <c r="N92" s="37" t="n">
        <f aca="false">(N91/(1-N76))*N76</f>
        <v>50.4103348124244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8259.19588881646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9239.22965147237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8001.23033481242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IF(B105=Z104,(((H41*A32)+(H41*A32)*(B111/100))/(B64)),(((H41*A32)+(H41*A32)*(B111/100))/(B63+B64)))*1.2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688.266324068038</v>
      </c>
      <c r="C96" s="321"/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688.266324068038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396"/>
      <c r="G100" s="217" t="s">
        <v>293</v>
      </c>
      <c r="H100" s="217"/>
      <c r="I100" s="217"/>
      <c r="J100" s="217"/>
      <c r="K100" s="217"/>
      <c r="L100" s="396"/>
      <c r="M100" s="217" t="s">
        <v>350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294</v>
      </c>
      <c r="E104" s="322"/>
      <c r="F104" s="396"/>
      <c r="G104" s="320" t="s">
        <v>135</v>
      </c>
      <c r="H104" s="321" t="s">
        <v>32</v>
      </c>
      <c r="I104" s="321"/>
      <c r="J104" s="321" t="s">
        <v>294</v>
      </c>
      <c r="K104" s="322"/>
      <c r="L104" s="396"/>
      <c r="M104" s="320" t="s">
        <v>135</v>
      </c>
      <c r="N104" s="321" t="s">
        <v>32</v>
      </c>
      <c r="O104" s="321"/>
      <c r="P104" s="321" t="s">
        <v>294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273</v>
      </c>
    </row>
    <row r="105" customFormat="false" ht="18.75" hidden="false" customHeight="true" outlineLevel="0" collapsed="false">
      <c r="A105" s="382"/>
      <c r="B105" s="316" t="s">
        <v>138</v>
      </c>
      <c r="C105" s="316"/>
      <c r="D105" s="428" t="n">
        <v>1000</v>
      </c>
      <c r="E105" s="428"/>
      <c r="F105" s="396"/>
      <c r="G105" s="382" t="s">
        <v>295</v>
      </c>
      <c r="H105" s="316" t="s">
        <v>278</v>
      </c>
      <c r="I105" s="316"/>
      <c r="J105" s="428" t="n">
        <v>5000</v>
      </c>
      <c r="K105" s="428"/>
      <c r="L105" s="396"/>
      <c r="M105" s="382" t="s">
        <v>295</v>
      </c>
      <c r="N105" s="316" t="s">
        <v>277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274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275</v>
      </c>
    </row>
    <row r="107" customFormat="false" ht="18.75" hidden="false" customHeight="true" outlineLevel="0" collapsed="false">
      <c r="A107" s="320" t="s">
        <v>296</v>
      </c>
      <c r="B107" s="321" t="s">
        <v>297</v>
      </c>
      <c r="C107" s="321"/>
      <c r="D107" s="321" t="s">
        <v>298</v>
      </c>
      <c r="E107" s="322"/>
      <c r="F107" s="396"/>
      <c r="G107" s="320" t="s">
        <v>296</v>
      </c>
      <c r="H107" s="321" t="s">
        <v>297</v>
      </c>
      <c r="I107" s="321"/>
      <c r="J107" s="321" t="s">
        <v>298</v>
      </c>
      <c r="K107" s="322"/>
      <c r="L107" s="396"/>
      <c r="M107" s="320" t="s">
        <v>296</v>
      </c>
      <c r="N107" s="321" t="s">
        <v>297</v>
      </c>
      <c r="O107" s="321"/>
      <c r="P107" s="321" t="s">
        <v>298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277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278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279</v>
      </c>
    </row>
    <row r="111" customFormat="false" ht="18.75" hidden="false" customHeight="true" outlineLevel="0" collapsed="false">
      <c r="A111" s="397" t="s">
        <v>28</v>
      </c>
      <c r="B111" s="316" t="n">
        <v>0</v>
      </c>
      <c r="C111" s="316"/>
      <c r="D111" s="111" t="n">
        <v>200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280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351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396"/>
      <c r="G114" s="221" t="s">
        <v>299</v>
      </c>
      <c r="H114" s="221"/>
      <c r="I114" s="221"/>
      <c r="J114" s="221"/>
      <c r="K114" s="221"/>
      <c r="L114" s="396"/>
      <c r="M114" s="221" t="s">
        <v>299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300</v>
      </c>
      <c r="B116" s="397" t="s">
        <v>28</v>
      </c>
      <c r="C116" s="321"/>
      <c r="D116" s="321"/>
      <c r="E116" s="322"/>
      <c r="F116" s="396"/>
      <c r="G116" s="320" t="s">
        <v>300</v>
      </c>
      <c r="H116" s="397" t="s">
        <v>27</v>
      </c>
      <c r="I116" s="321"/>
      <c r="J116" s="321"/>
      <c r="K116" s="322"/>
      <c r="L116" s="396"/>
      <c r="M116" s="320" t="s">
        <v>300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239.99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301</v>
      </c>
      <c r="B125" s="376"/>
      <c r="C125" s="376"/>
      <c r="D125" s="376"/>
      <c r="E125" s="69" t="n">
        <f aca="false">(E124+E123)-E120</f>
        <v>1239.99</v>
      </c>
      <c r="F125" s="396"/>
      <c r="G125" s="429" t="s">
        <v>301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301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396"/>
      <c r="G128" s="221" t="s">
        <v>302</v>
      </c>
      <c r="H128" s="221"/>
      <c r="I128" s="221"/>
      <c r="J128" s="221"/>
      <c r="K128" s="221"/>
      <c r="L128" s="396"/>
      <c r="M128" s="221" t="s">
        <v>302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192</v>
      </c>
      <c r="H130" s="176" t="n">
        <v>0</v>
      </c>
      <c r="I130" s="176"/>
      <c r="J130" s="321"/>
      <c r="K130" s="322"/>
      <c r="L130" s="396"/>
      <c r="M130" s="320" t="s">
        <v>192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11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11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688.266324068038</v>
      </c>
      <c r="B134" s="325" t="n">
        <f aca="false">IF(A111="YES",B95,0)</f>
        <v>0</v>
      </c>
      <c r="C134" s="329"/>
      <c r="D134" s="325" t="n">
        <f aca="false">B97</f>
        <v>688.266324068038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305</v>
      </c>
      <c r="H135" s="431" t="s">
        <v>306</v>
      </c>
      <c r="I135" s="431"/>
      <c r="J135" s="431" t="s">
        <v>307</v>
      </c>
      <c r="K135" s="322"/>
      <c r="L135" s="396"/>
      <c r="M135" s="430" t="s">
        <v>352</v>
      </c>
      <c r="N135" s="431" t="s">
        <v>262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688.266324068038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310</v>
      </c>
      <c r="H138" s="321" t="s">
        <v>311</v>
      </c>
      <c r="I138" s="321"/>
      <c r="J138" s="321" t="s">
        <v>312</v>
      </c>
      <c r="K138" s="322"/>
      <c r="L138" s="396"/>
      <c r="M138" s="320" t="s">
        <v>353</v>
      </c>
      <c r="N138" s="321" t="s">
        <v>251</v>
      </c>
      <c r="O138" s="321"/>
      <c r="P138" s="321" t="s">
        <v>255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688.266324068038</v>
      </c>
      <c r="B140" s="42" t="n">
        <f aca="false">E120</f>
        <v>0</v>
      </c>
      <c r="C140" s="321"/>
      <c r="D140" s="341" t="n">
        <f aca="false">B64</f>
        <v>11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315</v>
      </c>
      <c r="H141" s="321" t="s">
        <v>316</v>
      </c>
      <c r="I141" s="321"/>
      <c r="J141" s="321" t="s">
        <v>317</v>
      </c>
      <c r="K141" s="322"/>
      <c r="L141" s="396"/>
      <c r="M141" s="320" t="s">
        <v>264</v>
      </c>
      <c r="N141" s="321" t="s">
        <v>265</v>
      </c>
      <c r="O141" s="321"/>
      <c r="P141" s="321" t="s">
        <v>269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688.266324068038</v>
      </c>
      <c r="B143" s="42" t="n">
        <f aca="false">IF(A111="YES",B95,0)</f>
        <v>0</v>
      </c>
      <c r="C143" s="321"/>
      <c r="D143" s="42" t="n">
        <f aca="false">B97</f>
        <v>688.266324068038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318</v>
      </c>
      <c r="H144" s="321" t="s">
        <v>319</v>
      </c>
      <c r="I144" s="321"/>
      <c r="J144" s="321" t="s">
        <v>320</v>
      </c>
      <c r="K144" s="322"/>
      <c r="L144" s="396"/>
      <c r="M144" s="320" t="s">
        <v>149</v>
      </c>
      <c r="N144" s="321" t="s">
        <v>319</v>
      </c>
      <c r="O144" s="321"/>
      <c r="P144" s="321" t="s">
        <v>320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(G18*0.000006)*1.2*100</f>
        <v>29.17872</v>
      </c>
      <c r="B146" s="347" t="n">
        <f aca="false">G18*0.000002*1.2*100</f>
        <v>9.72624</v>
      </c>
      <c r="C146" s="348"/>
      <c r="D146" s="347" t="n">
        <f aca="false">A146+B146</f>
        <v>38.90496</v>
      </c>
      <c r="E146" s="395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322</v>
      </c>
      <c r="H147" s="321" t="s">
        <v>323</v>
      </c>
      <c r="I147" s="321"/>
      <c r="J147" s="321" t="s">
        <v>324</v>
      </c>
      <c r="K147" s="322"/>
      <c r="L147" s="396"/>
      <c r="M147" s="320" t="s">
        <v>322</v>
      </c>
      <c r="N147" s="321" t="s">
        <v>323</v>
      </c>
      <c r="O147" s="321"/>
      <c r="P147" s="321" t="s">
        <v>324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2828.84633333333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2788.84833333333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326</v>
      </c>
      <c r="H150" s="321" t="s">
        <v>327</v>
      </c>
      <c r="I150" s="321"/>
      <c r="J150" s="321"/>
      <c r="K150" s="322"/>
      <c r="L150" s="396"/>
      <c r="M150" s="320" t="s">
        <v>326</v>
      </c>
      <c r="N150" s="321" t="s">
        <v>327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354</v>
      </c>
      <c r="N153" s="43" t="s">
        <v>355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332</v>
      </c>
      <c r="H154" s="321"/>
      <c r="I154" s="321"/>
      <c r="J154" s="356"/>
      <c r="K154" s="357"/>
      <c r="L154" s="396"/>
      <c r="M154" s="432" t="n">
        <f aca="false">H40</f>
        <v>3141.666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332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688.266324068038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/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688.266324068038</v>
      </c>
      <c r="B177" s="362" t="n">
        <f aca="false">IF(A111="YES",B95,0)</f>
        <v>0</v>
      </c>
      <c r="C177" s="364"/>
      <c r="D177" s="362" t="n">
        <f aca="false">A177+B177</f>
        <v>688.266324068038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688.266324068038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688.266324068038</v>
      </c>
      <c r="B183" s="107" t="n">
        <f aca="false">E120</f>
        <v>0</v>
      </c>
      <c r="C183" s="360"/>
      <c r="D183" s="368" t="n">
        <f aca="false">B64</f>
        <v>11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688.266324068038</v>
      </c>
      <c r="B186" s="107" t="n">
        <f aca="false">IF(A111="YES",B95,0)</f>
        <v>0</v>
      </c>
      <c r="C186" s="360"/>
      <c r="D186" s="107" t="n">
        <f aca="false">B97</f>
        <v>688.266324068038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73"/>
      <c r="D189" s="372" t="n">
        <f aca="false">A189+B189</f>
        <v>38.90496</v>
      </c>
      <c r="E189" s="395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G201" s="396"/>
      <c r="H201" s="396"/>
      <c r="I201" s="396"/>
      <c r="J201" s="396"/>
      <c r="K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396"/>
      <c r="G202" s="396"/>
      <c r="H202" s="396"/>
      <c r="I202" s="396"/>
      <c r="J202" s="396"/>
      <c r="K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G203" s="396"/>
      <c r="H203" s="396"/>
      <c r="I203" s="396"/>
      <c r="J203" s="396"/>
      <c r="K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G204" s="396"/>
      <c r="H204" s="396"/>
      <c r="I204" s="396"/>
      <c r="J204" s="396"/>
      <c r="K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G205" s="396"/>
      <c r="H205" s="396"/>
      <c r="I205" s="396"/>
      <c r="J205" s="396"/>
      <c r="K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G206" s="396"/>
      <c r="H206" s="396"/>
      <c r="I206" s="396"/>
      <c r="J206" s="396"/>
      <c r="K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396"/>
      <c r="G207" s="396"/>
      <c r="H207" s="396"/>
      <c r="I207" s="396"/>
      <c r="J207" s="396"/>
      <c r="K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G208" s="396"/>
      <c r="H208" s="396"/>
      <c r="I208" s="396"/>
      <c r="J208" s="396"/>
      <c r="K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D70</f>
        <v>1319.49972</v>
      </c>
      <c r="E209" s="326"/>
      <c r="F209" s="396"/>
      <c r="G209" s="396"/>
      <c r="H209" s="396"/>
      <c r="I209" s="396"/>
      <c r="J209" s="396"/>
      <c r="K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G210" s="396"/>
      <c r="H210" s="396"/>
      <c r="I210" s="396"/>
      <c r="J210" s="396"/>
      <c r="K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339.991666666667</v>
      </c>
      <c r="E211" s="326"/>
      <c r="F211" s="396"/>
      <c r="G211" s="396"/>
      <c r="H211" s="396"/>
      <c r="I211" s="396"/>
      <c r="J211" s="396"/>
      <c r="K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G212" s="396"/>
      <c r="H212" s="396"/>
      <c r="I212" s="396"/>
      <c r="J212" s="396"/>
      <c r="K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229</v>
      </c>
      <c r="B213" s="325" t="n">
        <f aca="false">E223</f>
        <v>1659.48138666667</v>
      </c>
      <c r="C213" s="329"/>
      <c r="D213" s="325"/>
      <c r="E213" s="326"/>
      <c r="F213" s="396"/>
      <c r="G213" s="396"/>
      <c r="H213" s="396"/>
      <c r="I213" s="396"/>
      <c r="J213" s="396"/>
      <c r="K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G214" s="396"/>
      <c r="H214" s="396"/>
      <c r="I214" s="396"/>
      <c r="J214" s="396"/>
      <c r="K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G216" s="396"/>
      <c r="H216" s="396"/>
      <c r="I216" s="396"/>
      <c r="J216" s="396"/>
      <c r="K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396"/>
      <c r="G217" s="396"/>
      <c r="H217" s="396"/>
      <c r="I217" s="396"/>
      <c r="J217" s="396"/>
      <c r="K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396"/>
      <c r="G219" s="396"/>
      <c r="H219" s="396"/>
      <c r="I219" s="396"/>
      <c r="J219" s="396"/>
      <c r="K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G220" s="396"/>
      <c r="H220" s="396"/>
      <c r="I220" s="396"/>
      <c r="J220" s="396"/>
      <c r="K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396"/>
      <c r="G221" s="396"/>
      <c r="H221" s="396"/>
      <c r="I221" s="396"/>
      <c r="J221" s="396"/>
      <c r="K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G222" s="396"/>
      <c r="H222" s="396"/>
      <c r="I222" s="396"/>
      <c r="J222" s="396"/>
      <c r="K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1659.48138666667</v>
      </c>
      <c r="F223" s="396"/>
      <c r="G223" s="396"/>
      <c r="H223" s="396"/>
      <c r="I223" s="396"/>
      <c r="J223" s="396"/>
      <c r="K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G224" s="396"/>
      <c r="H224" s="396"/>
      <c r="I224" s="396"/>
      <c r="J224" s="396"/>
      <c r="K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396"/>
      <c r="G225" s="396"/>
      <c r="H225" s="396"/>
      <c r="I225" s="396"/>
      <c r="J225" s="396"/>
      <c r="K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G226" s="396"/>
      <c r="H226" s="396"/>
      <c r="I226" s="396"/>
      <c r="J226" s="396"/>
      <c r="K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396"/>
      <c r="G227" s="396"/>
      <c r="H227" s="396"/>
      <c r="I227" s="396"/>
      <c r="J227" s="396"/>
      <c r="K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G228" s="396"/>
      <c r="H228" s="396"/>
      <c r="I228" s="396"/>
      <c r="J228" s="396"/>
      <c r="K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396"/>
      <c r="G230" s="396"/>
      <c r="H230" s="396"/>
      <c r="I230" s="396"/>
      <c r="J230" s="396"/>
      <c r="K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396"/>
      <c r="G231" s="396"/>
      <c r="H231" s="396"/>
      <c r="I231" s="396"/>
      <c r="J231" s="396"/>
      <c r="K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57.8954248164583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275</v>
      </c>
      <c r="F233" s="396"/>
      <c r="G233" s="396"/>
      <c r="H233" s="396"/>
      <c r="I233" s="396"/>
      <c r="J233" s="396"/>
      <c r="K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G234" s="396"/>
      <c r="H234" s="396"/>
      <c r="I234" s="396"/>
      <c r="J234" s="396"/>
      <c r="K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G236" s="396"/>
      <c r="H236" s="396"/>
      <c r="I236" s="396"/>
      <c r="J236" s="396"/>
      <c r="K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G237" s="396"/>
      <c r="H237" s="396"/>
      <c r="I237" s="396"/>
      <c r="J237" s="396"/>
      <c r="K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G239" s="396"/>
      <c r="H239" s="396"/>
      <c r="I239" s="396"/>
      <c r="J239" s="396"/>
      <c r="K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G240" s="396"/>
      <c r="H240" s="396"/>
      <c r="I240" s="396"/>
      <c r="J240" s="396"/>
      <c r="K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G241" s="396"/>
      <c r="H241" s="396"/>
      <c r="I241" s="396"/>
      <c r="J241" s="396"/>
      <c r="K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G242" s="396"/>
      <c r="H242" s="396"/>
      <c r="I242" s="396"/>
      <c r="J242" s="396"/>
      <c r="K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96"/>
      <c r="B243" s="396"/>
      <c r="C243" s="396"/>
      <c r="D243" s="396"/>
      <c r="E243" s="396"/>
      <c r="F243" s="396"/>
      <c r="G243" s="396"/>
      <c r="H243" s="396"/>
      <c r="I243" s="396"/>
      <c r="J243" s="396"/>
      <c r="K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396"/>
      <c r="B244" s="396"/>
      <c r="C244" s="396"/>
      <c r="D244" s="396"/>
      <c r="E244" s="396"/>
      <c r="F244" s="396"/>
      <c r="G244" s="396"/>
      <c r="H244" s="396"/>
      <c r="I244" s="396"/>
      <c r="J244" s="396"/>
      <c r="K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96"/>
      <c r="B245" s="396"/>
      <c r="C245" s="396"/>
      <c r="D245" s="396"/>
      <c r="E245" s="396"/>
      <c r="F245" s="396"/>
      <c r="G245" s="396"/>
      <c r="H245" s="396"/>
      <c r="I245" s="396"/>
      <c r="J245" s="396"/>
      <c r="K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96"/>
      <c r="B246" s="396"/>
      <c r="C246" s="396"/>
      <c r="D246" s="396"/>
      <c r="E246" s="396"/>
      <c r="F246" s="396"/>
      <c r="G246" s="396"/>
      <c r="H246" s="396"/>
      <c r="I246" s="396"/>
      <c r="J246" s="396"/>
      <c r="K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396"/>
      <c r="B247" s="396"/>
      <c r="C247" s="396"/>
      <c r="D247" s="396"/>
      <c r="E247" s="396"/>
      <c r="F247" s="396"/>
      <c r="G247" s="396"/>
      <c r="H247" s="396"/>
      <c r="I247" s="396"/>
      <c r="J247" s="396"/>
      <c r="K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96"/>
      <c r="B248" s="396"/>
      <c r="C248" s="396"/>
      <c r="D248" s="396"/>
      <c r="E248" s="396"/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246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248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249</v>
      </c>
      <c r="B29" s="227" t="n">
        <v>12345</v>
      </c>
      <c r="C29" s="227"/>
      <c r="D29" s="398" t="n">
        <f aca="true">TODAY()+1</f>
        <v>45490</v>
      </c>
      <c r="E29" s="398"/>
      <c r="F29" s="396"/>
      <c r="G29" s="33" t="s">
        <v>37</v>
      </c>
      <c r="H29" s="41" t="n">
        <f aca="false">A32</f>
        <v>12</v>
      </c>
      <c r="I29" s="396" t="n">
        <f aca="false">ISNUMBER(I31)</f>
        <v>0</v>
      </c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600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356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18849.996</v>
      </c>
      <c r="B35" s="227" t="s">
        <v>54</v>
      </c>
      <c r="C35" s="227"/>
      <c r="D35" s="282" t="n">
        <f aca="false">A35-B35</f>
        <v>17849.996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6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</v>
      </c>
      <c r="G40" s="7" t="s">
        <v>67</v>
      </c>
      <c r="H40" s="7" t="n">
        <f aca="false">C15</f>
        <v>3141.666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343</v>
      </c>
      <c r="B41" s="108" t="s">
        <v>344</v>
      </c>
      <c r="C41" s="108"/>
      <c r="D41" s="227" t="s">
        <v>27</v>
      </c>
      <c r="E41" s="227"/>
      <c r="F41" s="396"/>
      <c r="G41" s="7" t="s">
        <v>68</v>
      </c>
      <c r="H41" s="7" t="str">
        <f aca="false">IF(D41="Yes",A44,0)</f>
        <v>50</v>
      </c>
      <c r="I41" s="7" t="s">
        <v>6</v>
      </c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6</v>
      </c>
      <c r="D43" s="244" t="s">
        <v>220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s">
        <v>79</v>
      </c>
      <c r="B44" s="108" t="s">
        <v>345</v>
      </c>
      <c r="C44" s="108"/>
      <c r="D44" s="108" t="s">
        <v>345</v>
      </c>
      <c r="E44" s="108"/>
      <c r="F44" s="396"/>
      <c r="G44" s="7" t="s">
        <v>74</v>
      </c>
      <c r="H44" s="7" t="n">
        <f aca="false">((H40-(((H42/(1.2))*0.2)))/(H43))</f>
        <v>178.472166666667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371.527833333333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346</v>
      </c>
      <c r="B46" s="234" t="s">
        <v>347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346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374.1945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114"/>
      <c r="B50" s="234"/>
      <c r="C50" s="234"/>
      <c r="D50" s="234"/>
      <c r="E50" s="247"/>
      <c r="F50" s="396"/>
      <c r="G50" s="7" t="s">
        <v>348</v>
      </c>
      <c r="H50" s="7" t="n">
        <f aca="false">H49-H41</f>
        <v>324.1945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/>
      <c r="B52" s="78"/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346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374.1945</v>
      </c>
      <c r="C58" s="78"/>
      <c r="D58" s="434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1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11</v>
      </c>
      <c r="C64" s="321" t="s">
        <v>6</v>
      </c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321"/>
      <c r="D67" s="321"/>
      <c r="E67" s="322"/>
      <c r="F67" s="396"/>
      <c r="G67" s="320" t="s">
        <v>23</v>
      </c>
      <c r="H67" s="36" t="n">
        <f aca="false">G18</f>
        <v>40526</v>
      </c>
      <c r="I67" s="321"/>
      <c r="J67" s="321"/>
      <c r="K67" s="322"/>
      <c r="L67" s="396"/>
      <c r="M67" s="320" t="s">
        <v>23</v>
      </c>
      <c r="N67" s="36" t="n">
        <f aca="false">G18</f>
        <v>40526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286</v>
      </c>
      <c r="B68" s="296" t="n">
        <v>0.07</v>
      </c>
      <c r="C68" s="321"/>
      <c r="D68" s="321"/>
      <c r="E68" s="322"/>
      <c r="F68" s="396"/>
      <c r="G68" s="407" t="s">
        <v>286</v>
      </c>
      <c r="H68" s="408" t="n">
        <v>0.07</v>
      </c>
      <c r="I68" s="321"/>
      <c r="J68" s="321"/>
      <c r="K68" s="322"/>
      <c r="L68" s="396"/>
      <c r="M68" s="407" t="s">
        <v>286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287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287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321" t="n">
        <v>10000</v>
      </c>
      <c r="D70" s="36" t="n">
        <f aca="false">B70-A149</f>
        <v>1319.49972</v>
      </c>
      <c r="E70" s="322" t="n">
        <f aca="false">D70/12</f>
        <v>109.95831</v>
      </c>
      <c r="F70" s="396"/>
      <c r="G70" s="375" t="s">
        <v>100</v>
      </c>
      <c r="H70" s="69" t="n">
        <f aca="false">H67*H69</f>
        <v>2836.82</v>
      </c>
      <c r="I70" s="321"/>
      <c r="J70" s="36" t="n">
        <f aca="false">H70-G151</f>
        <v>2836.82</v>
      </c>
      <c r="K70" s="322"/>
      <c r="L70" s="396"/>
      <c r="M70" s="375" t="s">
        <v>100</v>
      </c>
      <c r="N70" s="69" t="n">
        <f aca="false">N67*N69</f>
        <v>2836.82</v>
      </c>
      <c r="O70" s="321"/>
      <c r="P70" s="36" t="n">
        <f aca="false">N70-M151</f>
        <v>2836.82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0.01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202.63</v>
      </c>
      <c r="I73" s="321"/>
      <c r="J73" s="36"/>
      <c r="K73" s="322"/>
      <c r="L73" s="396"/>
      <c r="M73" s="375" t="s">
        <v>103</v>
      </c>
      <c r="N73" s="69" t="n">
        <f aca="false">N67*N72</f>
        <v>202.63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288</v>
      </c>
      <c r="B80" s="91" t="n">
        <v>275</v>
      </c>
      <c r="C80" s="321"/>
      <c r="D80" s="321"/>
      <c r="E80" s="395" t="n">
        <f aca="false">E79+D82</f>
        <v>957.916666666667</v>
      </c>
      <c r="F80" s="396"/>
      <c r="G80" s="407" t="s">
        <v>288</v>
      </c>
      <c r="H80" s="91" t="n">
        <v>150</v>
      </c>
      <c r="I80" s="321"/>
      <c r="J80" s="321"/>
      <c r="K80" s="322"/>
      <c r="L80" s="396"/>
      <c r="M80" s="412" t="s">
        <v>288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289</v>
      </c>
      <c r="B81" s="81" t="n">
        <v>0</v>
      </c>
      <c r="C81" s="321"/>
      <c r="D81" s="321"/>
      <c r="E81" s="322" t="n">
        <f aca="false">E80/12</f>
        <v>79.8263888888889</v>
      </c>
      <c r="F81" s="396"/>
      <c r="G81" s="409" t="s">
        <v>289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289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290</v>
      </c>
      <c r="B82" s="69" t="n">
        <f aca="false">((B80+B81)/12)*(H29+1)</f>
        <v>297.916666666667</v>
      </c>
      <c r="C82" s="321"/>
      <c r="D82" s="36" t="n">
        <f aca="false">IF(A50="YES",0,B82)</f>
        <v>297.916666666667</v>
      </c>
      <c r="E82" s="322"/>
      <c r="F82" s="396"/>
      <c r="G82" s="375" t="s">
        <v>290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290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291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291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291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349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292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292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2944.08305333333</v>
      </c>
      <c r="C87" s="321"/>
      <c r="D87" s="321"/>
      <c r="E87" s="322"/>
      <c r="F87" s="396"/>
      <c r="G87" s="419" t="s">
        <v>112</v>
      </c>
      <c r="H87" s="420" t="n">
        <f aca="false">SUM(J70:J86)</f>
        <v>5990.40333333333</v>
      </c>
      <c r="I87" s="321"/>
      <c r="J87" s="321"/>
      <c r="K87" s="322"/>
      <c r="L87" s="396"/>
      <c r="M87" s="419" t="s">
        <v>112</v>
      </c>
      <c r="N87" s="420" t="n">
        <f aca="false">SUM(P70:P86)</f>
        <v>5950.82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245.340254444444</v>
      </c>
      <c r="C88" s="321"/>
      <c r="D88" s="321"/>
      <c r="E88" s="322"/>
      <c r="F88" s="396"/>
      <c r="G88" s="320" t="s">
        <v>113</v>
      </c>
      <c r="H88" s="37" t="n">
        <f aca="false">H87/H29</f>
        <v>499.200277777778</v>
      </c>
      <c r="I88" s="321"/>
      <c r="J88" s="321"/>
      <c r="K88" s="322"/>
      <c r="L88" s="396"/>
      <c r="M88" s="320" t="s">
        <v>113</v>
      </c>
      <c r="N88" s="37" t="n">
        <f aca="false">N87/H29</f>
        <v>495.901666666667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324.1945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</f>
        <v>6834.41705333333</v>
      </c>
      <c r="C91" s="321"/>
      <c r="D91" s="321"/>
      <c r="E91" s="322"/>
      <c r="F91" s="396"/>
      <c r="G91" s="404" t="s">
        <v>124</v>
      </c>
      <c r="H91" s="31" t="n">
        <f aca="false">((H89*H29)+H87)*1.2</f>
        <v>7188.484</v>
      </c>
      <c r="I91" s="321"/>
      <c r="J91" s="321"/>
      <c r="K91" s="322"/>
      <c r="L91" s="396"/>
      <c r="M91" s="404" t="s">
        <v>124</v>
      </c>
      <c r="N91" s="31" t="n">
        <f aca="false">((N89*H29)+N87)</f>
        <v>5950.82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57.8954248164583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50.7456514723679</v>
      </c>
      <c r="I92" s="321"/>
      <c r="J92" s="321"/>
      <c r="K92" s="322"/>
      <c r="L92" s="396"/>
      <c r="M92" s="320" t="s">
        <v>125</v>
      </c>
      <c r="N92" s="37" t="n">
        <f aca="false">(N91/(1-N76))*N76</f>
        <v>50.4103348124244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6892.31247814979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9239.22965147237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8001.23033481242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</f>
        <v>60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574.359373179149</v>
      </c>
      <c r="C96" s="321" t="s">
        <v>6</v>
      </c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634.359373179149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396"/>
      <c r="G100" s="217" t="s">
        <v>293</v>
      </c>
      <c r="H100" s="217"/>
      <c r="I100" s="217"/>
      <c r="J100" s="217"/>
      <c r="K100" s="217"/>
      <c r="L100" s="396"/>
      <c r="M100" s="217" t="s">
        <v>350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294</v>
      </c>
      <c r="E104" s="322"/>
      <c r="F104" s="396"/>
      <c r="G104" s="320" t="s">
        <v>135</v>
      </c>
      <c r="H104" s="321" t="s">
        <v>32</v>
      </c>
      <c r="I104" s="321"/>
      <c r="J104" s="321" t="s">
        <v>294</v>
      </c>
      <c r="K104" s="322"/>
      <c r="L104" s="396"/>
      <c r="M104" s="320" t="s">
        <v>135</v>
      </c>
      <c r="N104" s="321" t="s">
        <v>32</v>
      </c>
      <c r="O104" s="321"/>
      <c r="P104" s="321" t="s">
        <v>294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273</v>
      </c>
    </row>
    <row r="105" customFormat="false" ht="18.75" hidden="false" customHeight="true" outlineLevel="0" collapsed="false">
      <c r="A105" s="382"/>
      <c r="B105" s="316" t="s">
        <v>138</v>
      </c>
      <c r="C105" s="316"/>
      <c r="D105" s="428" t="n">
        <v>1000</v>
      </c>
      <c r="E105" s="428"/>
      <c r="F105" s="396"/>
      <c r="G105" s="382" t="s">
        <v>295</v>
      </c>
      <c r="H105" s="316" t="s">
        <v>278</v>
      </c>
      <c r="I105" s="316"/>
      <c r="J105" s="428" t="n">
        <v>5000</v>
      </c>
      <c r="K105" s="428"/>
      <c r="L105" s="396"/>
      <c r="M105" s="382" t="s">
        <v>295</v>
      </c>
      <c r="N105" s="316" t="s">
        <v>277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274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275</v>
      </c>
    </row>
    <row r="107" customFormat="false" ht="18.75" hidden="false" customHeight="true" outlineLevel="0" collapsed="false">
      <c r="A107" s="320" t="s">
        <v>296</v>
      </c>
      <c r="B107" s="321" t="s">
        <v>297</v>
      </c>
      <c r="C107" s="321"/>
      <c r="D107" s="321" t="s">
        <v>298</v>
      </c>
      <c r="E107" s="322"/>
      <c r="F107" s="396"/>
      <c r="G107" s="320" t="s">
        <v>296</v>
      </c>
      <c r="H107" s="321" t="s">
        <v>297</v>
      </c>
      <c r="I107" s="321"/>
      <c r="J107" s="321" t="s">
        <v>298</v>
      </c>
      <c r="K107" s="322"/>
      <c r="L107" s="396"/>
      <c r="M107" s="320" t="s">
        <v>296</v>
      </c>
      <c r="N107" s="321" t="s">
        <v>297</v>
      </c>
      <c r="O107" s="321"/>
      <c r="P107" s="321" t="s">
        <v>298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277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278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279</v>
      </c>
    </row>
    <row r="111" customFormat="false" ht="18.75" hidden="false" customHeight="true" outlineLevel="0" collapsed="false">
      <c r="A111" s="397" t="s">
        <v>27</v>
      </c>
      <c r="B111" s="316" t="n">
        <v>20</v>
      </c>
      <c r="C111" s="316"/>
      <c r="D111" s="111" t="n">
        <v>200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280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351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396"/>
      <c r="G114" s="221" t="s">
        <v>299</v>
      </c>
      <c r="H114" s="221"/>
      <c r="I114" s="221"/>
      <c r="J114" s="221"/>
      <c r="K114" s="221"/>
      <c r="L114" s="396"/>
      <c r="M114" s="221" t="s">
        <v>299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300</v>
      </c>
      <c r="B116" s="397" t="s">
        <v>28</v>
      </c>
      <c r="C116" s="321"/>
      <c r="D116" s="321"/>
      <c r="E116" s="322"/>
      <c r="F116" s="396"/>
      <c r="G116" s="320" t="s">
        <v>300</v>
      </c>
      <c r="H116" s="397" t="s">
        <v>27</v>
      </c>
      <c r="I116" s="321"/>
      <c r="J116" s="321"/>
      <c r="K116" s="322"/>
      <c r="L116" s="396"/>
      <c r="M116" s="320" t="s">
        <v>300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199.99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301</v>
      </c>
      <c r="B125" s="376"/>
      <c r="C125" s="376"/>
      <c r="D125" s="376"/>
      <c r="E125" s="69" t="n">
        <f aca="false">((E124*1.2)+E123)-E120</f>
        <v>1239.988</v>
      </c>
      <c r="F125" s="396"/>
      <c r="G125" s="429" t="s">
        <v>301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301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396"/>
      <c r="G128" s="221" t="s">
        <v>302</v>
      </c>
      <c r="H128" s="221"/>
      <c r="I128" s="221"/>
      <c r="J128" s="221"/>
      <c r="K128" s="221"/>
      <c r="L128" s="396"/>
      <c r="M128" s="221" t="s">
        <v>302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192</v>
      </c>
      <c r="H130" s="176" t="n">
        <v>0</v>
      </c>
      <c r="I130" s="176"/>
      <c r="J130" s="321"/>
      <c r="K130" s="322"/>
      <c r="L130" s="396"/>
      <c r="M130" s="320" t="s">
        <v>192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11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11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574.359373179149</v>
      </c>
      <c r="B134" s="325" t="n">
        <f aca="false">IF(A111="YES",B95,0)</f>
        <v>60</v>
      </c>
      <c r="C134" s="330"/>
      <c r="D134" s="325" t="n">
        <f aca="false">B97</f>
        <v>634.359373179149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305</v>
      </c>
      <c r="H135" s="431" t="s">
        <v>306</v>
      </c>
      <c r="I135" s="431"/>
      <c r="J135" s="431" t="s">
        <v>307</v>
      </c>
      <c r="K135" s="322"/>
      <c r="L135" s="396"/>
      <c r="M135" s="430" t="s">
        <v>352</v>
      </c>
      <c r="N135" s="431" t="s">
        <v>262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574.359373179149</v>
      </c>
      <c r="C137" s="321"/>
      <c r="D137" s="42" t="n">
        <f aca="false">IF(A111="YES",B95*B63,0)</f>
        <v>60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310</v>
      </c>
      <c r="H138" s="321" t="s">
        <v>311</v>
      </c>
      <c r="I138" s="321"/>
      <c r="J138" s="321" t="s">
        <v>312</v>
      </c>
      <c r="K138" s="322"/>
      <c r="L138" s="396"/>
      <c r="M138" s="320" t="s">
        <v>353</v>
      </c>
      <c r="N138" s="321" t="s">
        <v>251</v>
      </c>
      <c r="O138" s="321"/>
      <c r="P138" s="321" t="s">
        <v>255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634.359373179149</v>
      </c>
      <c r="B140" s="42" t="n">
        <f aca="false">E120</f>
        <v>0</v>
      </c>
      <c r="C140" s="321"/>
      <c r="D140" s="341" t="n">
        <f aca="false">B64</f>
        <v>11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315</v>
      </c>
      <c r="H141" s="321" t="s">
        <v>316</v>
      </c>
      <c r="I141" s="321"/>
      <c r="J141" s="321" t="s">
        <v>317</v>
      </c>
      <c r="K141" s="322"/>
      <c r="L141" s="396"/>
      <c r="M141" s="320" t="s">
        <v>264</v>
      </c>
      <c r="N141" s="321" t="s">
        <v>265</v>
      </c>
      <c r="O141" s="321"/>
      <c r="P141" s="321" t="s">
        <v>269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574.359373179149</v>
      </c>
      <c r="B143" s="42" t="n">
        <f aca="false">IF(A111="YES",B95,0)</f>
        <v>60</v>
      </c>
      <c r="C143" s="321"/>
      <c r="D143" s="42" t="n">
        <f aca="false">B97</f>
        <v>634.359373179149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318</v>
      </c>
      <c r="H144" s="321" t="s">
        <v>319</v>
      </c>
      <c r="I144" s="321"/>
      <c r="J144" s="321" t="s">
        <v>320</v>
      </c>
      <c r="K144" s="322"/>
      <c r="L144" s="396"/>
      <c r="M144" s="320" t="s">
        <v>149</v>
      </c>
      <c r="N144" s="321" t="s">
        <v>319</v>
      </c>
      <c r="O144" s="321"/>
      <c r="P144" s="321" t="s">
        <v>320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322</v>
      </c>
      <c r="H147" s="321" t="s">
        <v>323</v>
      </c>
      <c r="I147" s="321"/>
      <c r="J147" s="321" t="s">
        <v>324</v>
      </c>
      <c r="K147" s="322"/>
      <c r="L147" s="396"/>
      <c r="M147" s="320" t="s">
        <v>322</v>
      </c>
      <c r="N147" s="321" t="s">
        <v>323</v>
      </c>
      <c r="O147" s="321"/>
      <c r="P147" s="321" t="s">
        <v>324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2828.84633333333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2788.84833333333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326</v>
      </c>
      <c r="H150" s="321" t="s">
        <v>327</v>
      </c>
      <c r="I150" s="321"/>
      <c r="J150" s="321"/>
      <c r="K150" s="322"/>
      <c r="L150" s="396"/>
      <c r="M150" s="320" t="s">
        <v>326</v>
      </c>
      <c r="N150" s="321" t="s">
        <v>327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354</v>
      </c>
      <c r="N153" s="43" t="s">
        <v>355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IF(A111="YES",(A44/100*B111)*B131,0)*0.1</f>
        <v>12</v>
      </c>
      <c r="E154" s="109"/>
      <c r="F154" s="396"/>
      <c r="G154" s="355" t="s">
        <v>332</v>
      </c>
      <c r="H154" s="321"/>
      <c r="I154" s="321"/>
      <c r="J154" s="356"/>
      <c r="K154" s="357"/>
      <c r="L154" s="396"/>
      <c r="M154" s="432" t="n">
        <f aca="false">H40</f>
        <v>3141.666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512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332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634.359373179149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 t="n">
        <f aca="false">ISNUMBER(B183)</f>
        <v>1</v>
      </c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574.359373179149</v>
      </c>
      <c r="B177" s="362" t="n">
        <f aca="false">IF(A111="YES",B95,0)</f>
        <v>60</v>
      </c>
      <c r="C177" s="365"/>
      <c r="D177" s="362" t="n">
        <f aca="false">B91</f>
        <v>6834.41705333333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574.359373179149</v>
      </c>
      <c r="C180" s="360"/>
      <c r="D180" s="107" t="n">
        <f aca="false">IF(A111="YES",B95*B63,0)</f>
        <v>60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634.359373179149</v>
      </c>
      <c r="B183" s="107" t="n">
        <f aca="false">E120</f>
        <v>0</v>
      </c>
      <c r="C183" s="360"/>
      <c r="D183" s="368" t="n">
        <f aca="false">B64</f>
        <v>11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574.359373179149</v>
      </c>
      <c r="B186" s="107" t="n">
        <f aca="false">IF(A111="YES",B95,0)</f>
        <v>60</v>
      </c>
      <c r="C186" s="360"/>
      <c r="D186" s="107" t="n">
        <f aca="false">B97</f>
        <v>634.359373179149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(G18*0.000006)*100</f>
        <v>24.3156</v>
      </c>
      <c r="B189" s="372" t="n">
        <f aca="false">G18*0.000002*100</f>
        <v>8.1052</v>
      </c>
      <c r="C189" s="373"/>
      <c r="D189" s="372" t="n">
        <f aca="false">A189+B189</f>
        <v>32.4208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12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512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D70</f>
        <v>1319.49972</v>
      </c>
      <c r="E209" s="326"/>
      <c r="F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459.99</v>
      </c>
      <c r="E211" s="326"/>
      <c r="F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229</v>
      </c>
      <c r="B213" s="325" t="n">
        <f aca="false">E223</f>
        <v>1779.47972</v>
      </c>
      <c r="C213" s="329"/>
      <c r="D213" s="325"/>
      <c r="E213" s="326"/>
      <c r="F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1779.47972</v>
      </c>
      <c r="F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337</v>
      </c>
      <c r="B225" s="345" t="n">
        <f aca="false">D197/0.1</f>
        <v>120</v>
      </c>
      <c r="C225" s="42"/>
      <c r="D225" s="345"/>
      <c r="E225" s="171"/>
      <c r="F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57.8954248164583</v>
      </c>
      <c r="F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275</v>
      </c>
      <c r="F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20"/>
      <c r="B243" s="321"/>
      <c r="C243" s="321"/>
      <c r="D243" s="321"/>
      <c r="E243" s="322"/>
      <c r="F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115"/>
      <c r="B244" s="42"/>
      <c r="C244" s="42"/>
      <c r="D244" s="42"/>
      <c r="E244" s="109"/>
      <c r="F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20"/>
      <c r="B245" s="321"/>
      <c r="C245" s="321"/>
      <c r="D245" s="321"/>
      <c r="E245" s="322"/>
      <c r="F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20"/>
      <c r="B246" s="321"/>
      <c r="C246" s="321"/>
      <c r="D246" s="321"/>
      <c r="E246" s="322"/>
      <c r="F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115"/>
      <c r="B247" s="42"/>
      <c r="C247" s="321"/>
      <c r="D247" s="321"/>
      <c r="E247" s="322"/>
      <c r="F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75"/>
      <c r="B248" s="376"/>
      <c r="C248" s="376"/>
      <c r="D248" s="376"/>
      <c r="E248" s="377"/>
      <c r="F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357</v>
      </c>
      <c r="B41" s="245" t="str">
        <f aca="false">IF(B38="YES",D38+A41,D38)</f>
        <v>500</v>
      </c>
      <c r="C41" s="245"/>
      <c r="D41" s="108" t="s">
        <v>343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345</v>
      </c>
      <c r="C44" s="108"/>
      <c r="D44" s="108" t="s">
        <v>357</v>
      </c>
      <c r="E44" s="108"/>
      <c r="F44" s="67"/>
      <c r="G44" s="67" t="s">
        <v>267</v>
      </c>
      <c r="H44" s="242" t="str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358</v>
      </c>
      <c r="C47" s="435"/>
      <c r="D47" s="108" t="s">
        <v>358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347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9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3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288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289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2646.16638666667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220.513865555556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8658.16638666667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73.3446930697862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8731.51107973645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727.625923311371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727.625923311371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359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360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28</v>
      </c>
      <c r="B111" s="318" t="n">
        <v>0</v>
      </c>
      <c r="C111" s="318"/>
      <c r="D111" s="111" t="s">
        <v>361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3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727.625923311371</v>
      </c>
      <c r="B134" s="325" t="n">
        <f aca="false">IF(A111="YES",B95,0)</f>
        <v>0</v>
      </c>
      <c r="C134" s="330"/>
      <c r="D134" s="325" t="n">
        <f aca="false">B97</f>
        <v>727.625923311371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Terminal pause with 9 down </v>
      </c>
      <c r="B137" s="42" t="n">
        <f aca="false">B96*B63</f>
        <v>6548.63330980234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6548.63330980234</v>
      </c>
      <c r="B140" s="42" t="n">
        <f aca="false">E120</f>
        <v>0</v>
      </c>
      <c r="C140" s="321"/>
      <c r="D140" s="341" t="n">
        <f aca="false">B64</f>
        <v>3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727.625923311371</v>
      </c>
      <c r="B143" s="42" t="n">
        <f aca="false">IF(A111="YES",B95,0)</f>
        <v>0</v>
      </c>
      <c r="C143" s="321"/>
      <c r="D143" s="42" t="n">
        <f aca="false">B97</f>
        <v>727.625923311371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1388.84633333333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1348.84833333333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727.625923311371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727.625923311371</v>
      </c>
      <c r="B177" s="362" t="n">
        <f aca="false">IF(A111="YES",B95,0)</f>
        <v>0</v>
      </c>
      <c r="C177" s="365"/>
      <c r="D177" s="362" t="n">
        <f aca="false">B91</f>
        <v>8658.16638666667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Terminal pause with 9 down </v>
      </c>
      <c r="B180" s="107" t="n">
        <f aca="false">B96*B63</f>
        <v>6548.63330980234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6548.63330980234</v>
      </c>
      <c r="B183" s="107" t="n">
        <f aca="false">E120</f>
        <v>0</v>
      </c>
      <c r="C183" s="360"/>
      <c r="D183" s="368" t="n">
        <f aca="false">B64</f>
        <v>3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727.625923311371</v>
      </c>
      <c r="B186" s="107" t="n">
        <f aca="false">IF(A111="YES",B95,0)</f>
        <v>0</v>
      </c>
      <c r="C186" s="360"/>
      <c r="D186" s="107" t="n">
        <f aca="false">B97</f>
        <v>727.625923311371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24.3156</v>
      </c>
      <c r="B189" s="372" t="n">
        <f aca="false">G18*0.000002*100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1659.47972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1659.47972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73.3446930697862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253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79</v>
      </c>
      <c r="B41" s="245" t="n">
        <f aca="false">IF(B38="YES",D38+A41,D38)</f>
        <v>550</v>
      </c>
      <c r="C41" s="245"/>
      <c r="D41" s="108" t="s">
        <v>343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345</v>
      </c>
      <c r="C44" s="108"/>
      <c r="D44" s="108" t="s">
        <v>358</v>
      </c>
      <c r="E44" s="108"/>
      <c r="F44" s="67"/>
      <c r="G44" s="67" t="s">
        <v>267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358</v>
      </c>
      <c r="C47" s="435"/>
      <c r="D47" s="108" t="s">
        <v>358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2944.08305333333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245.340254444444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10747.299664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75.8683921419928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10823.168056142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78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901.930671345166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979.930671345166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293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901.930671345166</v>
      </c>
      <c r="B134" s="325" t="n">
        <f aca="false">IF(A111="YES",B95,0)</f>
        <v>78</v>
      </c>
      <c r="C134" s="330"/>
      <c r="D134" s="325" t="n">
        <f aca="false">B97</f>
        <v>979.930671345166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901.930671345166</v>
      </c>
      <c r="C137" s="321"/>
      <c r="D137" s="42" t="n">
        <f aca="false">IF(A111="YES",B95*B63,0)</f>
        <v>78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979.930671345166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901.930671345166</v>
      </c>
      <c r="B143" s="42" t="n">
        <f aca="false">IF(A111="YES",B95,0)</f>
        <v>78</v>
      </c>
      <c r="C143" s="321"/>
      <c r="D143" s="42" t="n">
        <f aca="false">B97</f>
        <v>979.930671345166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29.17872</v>
      </c>
      <c r="B146" s="347" t="n">
        <f aca="false">G18*0.000002*1.2*100</f>
        <v>9.72624</v>
      </c>
      <c r="C146" s="348"/>
      <c r="D146" s="347" t="n">
        <f aca="false">A146+B146</f>
        <v>38.90496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1400.84633333333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1360.84833333333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18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518.001666666667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979.930671345166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901.930671345166</v>
      </c>
      <c r="B177" s="362" t="n">
        <f aca="false">IF(A111="YES",B95,0)</f>
        <v>78</v>
      </c>
      <c r="C177" s="365"/>
      <c r="D177" s="362" t="n">
        <f aca="false">B97</f>
        <v>979.930671345166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901.930671345166</v>
      </c>
      <c r="C180" s="360"/>
      <c r="D180" s="107" t="n">
        <f aca="false">IF(A111="YES",B95*B63,0)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979.930671345166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901.930671345166</v>
      </c>
      <c r="B186" s="107" t="n">
        <f aca="false">IF(A111="YES",B95,0)</f>
        <v>78</v>
      </c>
      <c r="C186" s="360"/>
      <c r="D186" s="107" t="n">
        <f aca="false">B97</f>
        <v>979.930671345166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73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18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518.001666666667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519.991666666667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1839.48138666667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1839.48138666667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180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75.8683921419928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253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79</v>
      </c>
      <c r="B41" s="245" t="n">
        <f aca="false">IF(B38="YES",D38+A41,D38)</f>
        <v>550</v>
      </c>
      <c r="C41" s="245"/>
      <c r="D41" s="108" t="s">
        <v>343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345</v>
      </c>
      <c r="C44" s="108"/>
      <c r="D44" s="108" t="s">
        <v>358</v>
      </c>
      <c r="E44" s="108"/>
      <c r="F44" s="67"/>
      <c r="G44" s="67" t="s">
        <v>267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358</v>
      </c>
      <c r="C47" s="435"/>
      <c r="D47" s="108" t="s">
        <v>358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2944.08305333333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245.340254444444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8956.08305333333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75.8683921419928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9031.95144547533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65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752.662620456277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817.662620456277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752.662620456277</v>
      </c>
      <c r="B134" s="325" t="n">
        <f aca="false">IF(A111="YES",B95,0)</f>
        <v>65</v>
      </c>
      <c r="C134" s="330"/>
      <c r="D134" s="325" t="n">
        <f aca="false">B97</f>
        <v>817.662620456277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752.662620456277</v>
      </c>
      <c r="C137" s="321"/>
      <c r="D137" s="42" t="n">
        <f aca="false">IF(A111="YES",B95*B63,0)</f>
        <v>65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817.662620456277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752.662620456277</v>
      </c>
      <c r="B143" s="42" t="n">
        <f aca="false">IF(A111="YES",B95,0)</f>
        <v>65</v>
      </c>
      <c r="C143" s="321"/>
      <c r="D143" s="42" t="n">
        <f aca="false">B97</f>
        <v>817.662620456277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1400.84633333333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1360.84833333333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18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518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817.662620456277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752.662620456277</v>
      </c>
      <c r="B177" s="362" t="n">
        <f aca="false">IF(A111="YES",B95,0)</f>
        <v>65</v>
      </c>
      <c r="C177" s="365"/>
      <c r="D177" s="362" t="n">
        <f aca="false">B91</f>
        <v>8956.08305333333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752.662620456277</v>
      </c>
      <c r="C180" s="360"/>
      <c r="D180" s="107" t="n">
        <f aca="false">IF(A111="YES",B95*B63,0)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817.662620456277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752.662620456277</v>
      </c>
      <c r="B186" s="107" t="n">
        <f aca="false">IF(A111="YES",B95,0)</f>
        <v>65</v>
      </c>
      <c r="C186" s="360"/>
      <c r="D186" s="107" t="n">
        <f aca="false">B97</f>
        <v>817.662620456277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 t="n">
        <f aca="false">(G18*0.000006)*100</f>
        <v>24.3156</v>
      </c>
      <c r="B189" s="374" t="n">
        <f aca="false">G18*0.000002*100</f>
        <v>8.1052</v>
      </c>
      <c r="C189" s="360"/>
      <c r="D189" s="374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B154</f>
        <v>400</v>
      </c>
      <c r="C197" s="107"/>
      <c r="D197" s="107" t="n">
        <f aca="false">IF(A111="YES",(A41/100*B111)*B131,0)*0.1</f>
        <v>18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518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519.99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1839.47972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1839.47972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180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75.8683921419928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0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str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9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3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288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289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2646.16638666667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220.513865555556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8658.16638666667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73.3446930697862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8731.51107973645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727.625923311371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727.625923311371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350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360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s">
        <v>361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3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727.625923311371</v>
      </c>
      <c r="B134" s="325" t="n">
        <f aca="false">IF(A111="YES",B95,0)</f>
        <v>0</v>
      </c>
      <c r="C134" s="330"/>
      <c r="D134" s="325" t="n">
        <f aca="false">B97</f>
        <v>727.625923311371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Terminal pause with 9 down </v>
      </c>
      <c r="B137" s="42" t="n">
        <f aca="false">B96*B63</f>
        <v>6548.63330980234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6548.63330980234</v>
      </c>
      <c r="B140" s="42" t="n">
        <f aca="false">E120</f>
        <v>0</v>
      </c>
      <c r="C140" s="321"/>
      <c r="D140" s="341" t="n">
        <f aca="false">B64</f>
        <v>3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727.625923311371</v>
      </c>
      <c r="B143" s="42" t="n">
        <f aca="false">IF(A111="YES",B95,0)</f>
        <v>0</v>
      </c>
      <c r="C143" s="321"/>
      <c r="D143" s="42" t="n">
        <f aca="false">B97</f>
        <v>727.625923311371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1388.84633333333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1348.84833333333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727.625923311371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727.625923311371</v>
      </c>
      <c r="B177" s="362" t="n">
        <f aca="false">IF(A111="YES",B95,0)</f>
        <v>0</v>
      </c>
      <c r="C177" s="365"/>
      <c r="D177" s="362" t="n">
        <f aca="false">B91</f>
        <v>8658.16638666667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Terminal pause with 9 down </v>
      </c>
      <c r="B180" s="107" t="n">
        <f aca="false">B96*B63</f>
        <v>6548.63330980234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6548.63330980234</v>
      </c>
      <c r="B183" s="107" t="n">
        <f aca="false">E120</f>
        <v>0</v>
      </c>
      <c r="C183" s="360"/>
      <c r="D183" s="368" t="n">
        <f aca="false">B64</f>
        <v>3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727.625923311371</v>
      </c>
      <c r="B186" s="107" t="n">
        <f aca="false">IF(A111="YES",B95,0)</f>
        <v>0</v>
      </c>
      <c r="C186" s="360"/>
      <c r="D186" s="107" t="n">
        <f aca="false">B97</f>
        <v>727.625923311371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60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1659.47972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1659.47972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73.3446930697862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7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str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0</v>
      </c>
      <c r="C83" s="219"/>
      <c r="D83" s="294" t="n">
        <f aca="false">B83</f>
        <v>0</v>
      </c>
      <c r="E83" s="220" t="n">
        <f aca="false">D83/12</f>
        <v>0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0</v>
      </c>
      <c r="C84" s="219"/>
      <c r="D84" s="294" t="n">
        <f aca="false">B84</f>
        <v>0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2277.41638666667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189.784698888889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9947.299664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70.2209536587334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10017.5206176587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834.793384804894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834.793384804894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293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0</v>
      </c>
      <c r="C108" s="111"/>
      <c r="D108" s="111" t="n">
        <v>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834.793384804894</v>
      </c>
      <c r="B134" s="325" t="n">
        <f aca="false">IF(A111="YES",B95,0)</f>
        <v>0</v>
      </c>
      <c r="C134" s="330"/>
      <c r="D134" s="325" t="n">
        <f aca="false">B97</f>
        <v>834.793384804894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834.793384804894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834.793384804894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834.793384804894</v>
      </c>
      <c r="B143" s="42" t="n">
        <f aca="false">IF(A111="YES",B95,0)</f>
        <v>0</v>
      </c>
      <c r="C143" s="321"/>
      <c r="D143" s="42" t="n">
        <f aca="false">B97</f>
        <v>834.793384804894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29.17872</v>
      </c>
      <c r="B146" s="347" t="n">
        <f aca="false">G18*0.000002*1.2*100</f>
        <v>9.72624</v>
      </c>
      <c r="C146" s="348"/>
      <c r="D146" s="347" t="n">
        <f aca="false">A146+B146</f>
        <v>38.90496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1388.84633333333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1348.84833333333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100.001666666667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834.793384804894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834.793384804894</v>
      </c>
      <c r="B177" s="362" t="n">
        <f aca="false">IF(A111="YES",B95,0)</f>
        <v>0</v>
      </c>
      <c r="C177" s="365"/>
      <c r="D177" s="362" t="n">
        <f aca="false">B91</f>
        <v>9947.299664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834.793384804894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834.793384804894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834.793384804894</v>
      </c>
      <c r="B186" s="107" t="n">
        <f aca="false">IF(A111="YES",B95,0)</f>
        <v>0</v>
      </c>
      <c r="C186" s="360"/>
      <c r="D186" s="107" t="n">
        <f aca="false">B97</f>
        <v>834.793384804894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73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100.001666666667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99.9916666666667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1419.48138666667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0</v>
      </c>
      <c r="C223" s="340" t="s">
        <v>229</v>
      </c>
      <c r="D223" s="321"/>
      <c r="E223" s="37" t="n">
        <f aca="false">(B217-B211+D211)</f>
        <v>1419.48138666667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70.2209536587334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3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36.33</v>
      </c>
      <c r="E32" s="230"/>
      <c r="F32" s="67"/>
      <c r="G32" s="231" t="s">
        <v>253</v>
      </c>
      <c r="H32" s="229" t="str">
        <f aca="false">A41</f>
        <v>36.33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536.33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362</v>
      </c>
      <c r="B41" s="245" t="n">
        <f aca="false">IF(B38="YES",D38+A41,D38)</f>
        <v>536.33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str">
        <f aca="false">H32</f>
        <v>36.33</v>
      </c>
      <c r="I44" s="402" t="n">
        <f aca="false">((A41*(B35-1))+D32)/B35</f>
        <v>36.33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537.33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537.33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2944.08305333333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245.340254444444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8956.08305333333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75.8683921419928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9031.95144547533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47.229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752.662620456277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799.891620456277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752.662620456277</v>
      </c>
      <c r="B134" s="325" t="n">
        <f aca="false">IF(A111="YES",B95,0)</f>
        <v>47.229</v>
      </c>
      <c r="C134" s="330"/>
      <c r="D134" s="325" t="n">
        <f aca="false">B97</f>
        <v>799.891620456277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752.662620456277</v>
      </c>
      <c r="C137" s="321"/>
      <c r="D137" s="42" t="n">
        <f aca="false">IF(A111="YES",B95*B63,0)</f>
        <v>47.229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799.891620456277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752.662620456277</v>
      </c>
      <c r="B143" s="42" t="n">
        <f aca="false">IF(A111="YES",B95,0)</f>
        <v>47.229</v>
      </c>
      <c r="C143" s="321"/>
      <c r="D143" s="42" t="n">
        <f aca="false">B97</f>
        <v>799.891620456277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8.7192</v>
      </c>
      <c r="H148" s="107" t="n">
        <f aca="false">G108-100</f>
        <v>139.988</v>
      </c>
      <c r="I148" s="107"/>
      <c r="J148" s="107" t="n">
        <f aca="false">(H145+J145+G148+H148)-H151</f>
        <v>1397.56553333333</v>
      </c>
      <c r="K148" s="109"/>
      <c r="L148" s="67"/>
      <c r="M148" s="115" t="n">
        <f aca="false">IF(M111="YES",((A41*N111)*0.1)*(M133),0)</f>
        <v>8.7192</v>
      </c>
      <c r="N148" s="107" t="n">
        <f aca="false">M108-100</f>
        <v>99.99</v>
      </c>
      <c r="O148" s="107"/>
      <c r="P148" s="107" t="n">
        <f aca="false">(N145+P145+M148+N148)-N151</f>
        <v>1357.56753333333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13.0788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513.0788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799.891620456277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752.662620456277</v>
      </c>
      <c r="B177" s="362" t="n">
        <f aca="false">IF(A111="YES",B95,0)</f>
        <v>47.229</v>
      </c>
      <c r="C177" s="365"/>
      <c r="D177" s="362" t="n">
        <f aca="false">B91</f>
        <v>8956.08305333333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752.662620456277</v>
      </c>
      <c r="C180" s="360"/>
      <c r="D180" s="107" t="n">
        <f aca="false">IF(A111="YES",B95*B63,0)</f>
        <v>47.229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799.891620456277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752.662620456277</v>
      </c>
      <c r="B186" s="107" t="n">
        <f aca="false">IF(A111="YES",B95,0)</f>
        <v>47.229</v>
      </c>
      <c r="C186" s="360"/>
      <c r="D186" s="107" t="n">
        <f aca="false">B97</f>
        <v>799.891620456277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24.3156</v>
      </c>
      <c r="B189" s="372" t="n">
        <f aca="false">G18*0.000002*100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13.0788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513.0788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470.778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1790.26772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1790.26772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130.788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75.8683921419928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35</v>
      </c>
      <c r="P29" s="216"/>
    </row>
    <row r="30" customFormat="false" ht="19.5" hidden="false" customHeight="false" outlineLevel="0" collapsed="false">
      <c r="A30" s="35" t="s">
        <v>192</v>
      </c>
      <c r="B30" s="108" t="s">
        <v>357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35000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35</v>
      </c>
      <c r="B33" s="236" t="n">
        <f aca="false">B51</f>
        <v>35000</v>
      </c>
      <c r="C33" s="97"/>
      <c r="D33" s="97"/>
      <c r="E33" s="236" t="n">
        <f aca="false">K48</f>
        <v>493.90708087626</v>
      </c>
      <c r="F33" s="236"/>
      <c r="G33" s="236"/>
      <c r="H33" s="51"/>
      <c r="I33" s="7"/>
      <c r="J33" s="38" t="s">
        <v>365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0.065</v>
      </c>
      <c r="P35" s="216"/>
    </row>
    <row r="36" customFormat="false" ht="18.75" hidden="false" customHeight="false" outlineLevel="0" collapsed="false">
      <c r="A36" s="189" t="n">
        <f aca="false">K47</f>
        <v>493.90708087626</v>
      </c>
      <c r="B36" s="236" t="str">
        <f aca="false">IF(B26="YES",K42,"0.00")</f>
        <v>0.00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35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25443.3768750692</v>
      </c>
      <c r="N39" s="6" t="n">
        <f aca="false">K39-L39</f>
        <v>-9735.04687506925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-9735.04687506925</v>
      </c>
      <c r="N40" s="6" t="n">
        <f aca="false">N38-N39</f>
        <v>12646.7268750692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0.00541666666666667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30</v>
      </c>
      <c r="B45" s="97"/>
      <c r="C45" s="66" t="n">
        <v>100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31.8042210938366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493.90708087626</v>
      </c>
      <c r="L47" s="7" t="n">
        <f aca="false">L49-K42</f>
        <v>800</v>
      </c>
      <c r="M47" s="6" t="n">
        <f aca="false">K47-L47</f>
        <v>-306.09291912374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493.90708087626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35000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35</v>
      </c>
      <c r="B52" s="78" t="n">
        <f aca="false">K48</f>
        <v>493.90708087626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34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34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34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34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0.065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7713.67013001525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0.0739583333333333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0.00979166666666667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0.00979166666666667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88.54165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2997.23541666667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396.817083333333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493.90708087626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493.90708087626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493.90708087626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493.90708087626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21249.996</v>
      </c>
      <c r="C81" s="97"/>
      <c r="D81" s="97"/>
      <c r="E81" s="117"/>
      <c r="F81" s="29" t="s">
        <v>115</v>
      </c>
      <c r="G81" s="31" t="n">
        <f aca="false">G158</f>
        <v>21249.996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34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35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34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34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28.8995114056174</v>
      </c>
      <c r="C87" s="97"/>
      <c r="D87" s="97"/>
      <c r="E87" s="117"/>
      <c r="F87" s="35" t="s">
        <v>121</v>
      </c>
      <c r="G87" s="37" t="n">
        <f aca="false">((1-(1/((1+G84)^G85)))/G84)</f>
        <v>31.8042210938366</v>
      </c>
      <c r="H87" s="37"/>
      <c r="J87" s="35" t="s">
        <v>121</v>
      </c>
      <c r="K87" s="37" t="n">
        <f aca="false">((1-(1/((1+K84)^K85)))/K84)</f>
        <v>24.9986193320352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28.2762125724768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28.2762125724768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21249.996</v>
      </c>
      <c r="C88" s="97"/>
      <c r="D88" s="97"/>
      <c r="E88" s="117"/>
      <c r="F88" s="35" t="s">
        <v>122</v>
      </c>
      <c r="G88" s="37" t="n">
        <f aca="false">G81-G86</f>
        <v>21249.996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735.306410608363</v>
      </c>
      <c r="C89" s="97"/>
      <c r="D89" s="97"/>
      <c r="E89" s="117"/>
      <c r="F89" s="35" t="s">
        <v>123</v>
      </c>
      <c r="G89" s="37" t="n">
        <f aca="false">(G88/G87)</f>
        <v>668.150178471691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25000.4179606844</v>
      </c>
      <c r="C90" s="97"/>
      <c r="D90" s="97"/>
      <c r="E90" s="117"/>
      <c r="F90" s="35" t="s">
        <v>124</v>
      </c>
      <c r="G90" s="37" t="n">
        <f aca="false">((G89*(G85))+G77)</f>
        <v>23385.2562465092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25000.4179606844</v>
      </c>
      <c r="C92" s="97"/>
      <c r="D92" s="97"/>
      <c r="E92" s="117"/>
      <c r="F92" s="60" t="s">
        <v>126</v>
      </c>
      <c r="G92" s="69" t="n">
        <f aca="false">(G90+G91)</f>
        <v>23385.2562465092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735.306410608363</v>
      </c>
      <c r="C95" s="97"/>
      <c r="D95" s="97"/>
      <c r="E95" s="117"/>
      <c r="F95" s="99" t="s">
        <v>128</v>
      </c>
      <c r="G95" s="100" t="n">
        <f aca="false">G92/(G85)</f>
        <v>668.150178471691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735.306410608363</v>
      </c>
      <c r="C96" s="97"/>
      <c r="D96" s="97"/>
      <c r="E96" s="117"/>
      <c r="F96" s="101" t="s">
        <v>129</v>
      </c>
      <c r="G96" s="102" t="n">
        <f aca="false">G94+G95</f>
        <v>668.150178471691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28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0.115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-16041.6633333333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21249.996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735.306410608363</v>
      </c>
      <c r="B167" s="181" t="str">
        <f aca="false">B94</f>
        <v>0</v>
      </c>
      <c r="C167" s="178"/>
      <c r="D167" s="178"/>
      <c r="E167" s="181" t="n">
        <f aca="false">B96</f>
        <v>735.306410608363</v>
      </c>
      <c r="F167" s="27"/>
      <c r="G167" s="27" t="n">
        <f aca="false">ROUND(G95,2)</f>
        <v>668.15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35</v>
      </c>
      <c r="B170" s="184" t="n">
        <f aca="false">K30</f>
        <v>35000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35</v>
      </c>
      <c r="K170" s="184" t="n">
        <f aca="false">K30</f>
        <v>35000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35</v>
      </c>
      <c r="T170" s="184" t="n">
        <f aca="false">K30</f>
        <v>35000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35</v>
      </c>
      <c r="AC170" s="184" t="n">
        <f aca="false">K30</f>
        <v>35000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21249.996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4485.72837129272</v>
      </c>
      <c r="B182" s="107" t="str">
        <f aca="false">B114</f>
        <v>239.99</v>
      </c>
      <c r="C182" s="107"/>
      <c r="D182" s="27"/>
      <c r="E182" s="107" t="n">
        <f aca="false">E179+A182+B182+A185</f>
        <v>25985.7143712927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2239.99</v>
      </c>
      <c r="C185" s="107"/>
      <c r="D185" s="27"/>
      <c r="E185" s="107" t="n">
        <f aca="false">IF( E170=0 , A185+E167, E170+A185)</f>
        <v>745.306410608363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</f>
        <v>0</v>
      </c>
      <c r="B188" s="107" t="n">
        <f aca="false">(G158*B67)/1.2</f>
        <v>88.54165</v>
      </c>
      <c r="C188" s="97"/>
      <c r="D188" s="97"/>
      <c r="E188" s="107" t="n">
        <f aca="false">(E40*A108)*0.1*C45/100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188.533316666667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35</v>
      </c>
      <c r="B197" s="78" t="n">
        <f aca="false">B96</f>
        <v>735.306410608363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2135.254</v>
      </c>
      <c r="B201" s="190" t="n">
        <f aca="false">E179+A201+B182+A185</f>
        <v>23635.24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n">
        <f aca="false">A197</f>
        <v>35</v>
      </c>
      <c r="C209" s="178"/>
      <c r="D209" s="178"/>
      <c r="E209" s="178" t="n">
        <f aca="false">B196</f>
        <v>35000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735.306410608363</v>
      </c>
      <c r="B212" s="181" t="str">
        <f aca="false">B167</f>
        <v>0</v>
      </c>
      <c r="C212" s="178"/>
      <c r="D212" s="178"/>
      <c r="E212" s="181" t="n">
        <f aca="false">E167</f>
        <v>735.306410608363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4485.72837129272</v>
      </c>
      <c r="B224" s="107" t="str">
        <f aca="false">B182</f>
        <v>239.99</v>
      </c>
      <c r="C224" s="107"/>
      <c r="D224" s="117"/>
      <c r="E224" s="107" t="n">
        <f aca="false">E182</f>
        <v>25985.7143712927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34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735.306410608363</v>
      </c>
      <c r="B230" s="107" t="str">
        <f aca="false">B167</f>
        <v>0</v>
      </c>
      <c r="C230" s="190"/>
      <c r="D230" s="190"/>
      <c r="E230" s="107" t="n">
        <f aca="false">E167</f>
        <v>735.306410608363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745.306410608363</v>
      </c>
      <c r="C233" s="97"/>
      <c r="D233" s="97"/>
      <c r="E233" s="107" t="n">
        <f aca="false">J18*0.000006*100*1.2</f>
        <v>29.17872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IF(E105="YES",J18*0.000002,0)*100*1.2</f>
        <v>0</v>
      </c>
      <c r="B236" s="107" t="n">
        <f aca="false">E233+A236</f>
        <v>29.17872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88.54165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2188.53331666667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2360.47437129272</v>
      </c>
      <c r="C254" s="201"/>
      <c r="D254" s="202" t="s">
        <v>227</v>
      </c>
      <c r="E254" s="202"/>
      <c r="F254" s="204" t="n">
        <f aca="false">F261+F267+F269+B270+B271</f>
        <v>106.24998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2354.21605795939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2360.47437129272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106.24998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2354.21605795939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3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7.2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20</v>
      </c>
      <c r="P29" s="216"/>
    </row>
    <row r="30" customFormat="false" ht="19.5" hidden="false" customHeight="false" outlineLevel="0" collapsed="false">
      <c r="A30" s="35" t="s">
        <v>192</v>
      </c>
      <c r="B30" s="108" t="s">
        <v>357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804</v>
      </c>
      <c r="P32" s="216"/>
    </row>
    <row r="33" customFormat="false" ht="36.75" hidden="false" customHeight="false" outlineLevel="0" collapsed="false">
      <c r="A33" s="183" t="n">
        <f aca="false">A52</f>
        <v>20</v>
      </c>
      <c r="B33" s="236" t="n">
        <f aca="false">B51</f>
        <v>10000</v>
      </c>
      <c r="C33" s="97"/>
      <c r="D33" s="97"/>
      <c r="E33" s="236" t="n">
        <f aca="false">K48</f>
        <v>874.609117297699</v>
      </c>
      <c r="F33" s="236"/>
      <c r="G33" s="236"/>
      <c r="H33" s="51"/>
      <c r="I33" s="7"/>
      <c r="J33" s="38" t="s">
        <v>365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834.409117297699</v>
      </c>
      <c r="B36" s="236" t="n">
        <f aca="false">IF(B26="YES",K42,"0.00")</f>
        <v>40.2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20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14303.7616519017</v>
      </c>
      <c r="N39" s="6" t="n">
        <f aca="false">K39-L39</f>
        <v>1404.56834809827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n">
        <f aca="false">IF(B26="YES",K42,"0.00")</f>
        <v>40.2</v>
      </c>
      <c r="C40" s="111"/>
      <c r="D40" s="111"/>
      <c r="E40" s="186" t="n">
        <f aca="false">K32</f>
        <v>804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1404.56834809827</v>
      </c>
      <c r="N40" s="6" t="n">
        <f aca="false">N38-N39</f>
        <v>1507.11165190173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40.2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18.8256931454353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834.409117297699</v>
      </c>
      <c r="L47" s="7" t="n">
        <f aca="false">L49-K42</f>
        <v>759.8</v>
      </c>
      <c r="M47" s="6" t="n">
        <f aca="false">K47-L47</f>
        <v>74.6091172976989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874.609117297699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20</v>
      </c>
      <c r="B52" s="78" t="n">
        <f aca="false">K48</f>
        <v>874.609117297699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19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19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19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19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0.0105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0.0105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6947.68515548187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0.0583333333333333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0.00666666666666667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0.00666666666666667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88.54165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2364.01666666667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270.173333333333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834.409117297699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834.409117297699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874.609117297699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874.609117297699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21249.996</v>
      </c>
      <c r="C81" s="97"/>
      <c r="D81" s="97"/>
      <c r="E81" s="117"/>
      <c r="F81" s="29" t="s">
        <v>115</v>
      </c>
      <c r="G81" s="31" t="n">
        <f aca="false">G158</f>
        <v>21249.996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0.1305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0.1415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0.1415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0.010875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0.0117916666666667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0.0117916666666667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19</v>
      </c>
      <c r="C85" s="97"/>
      <c r="D85" s="97"/>
      <c r="E85" s="117"/>
      <c r="F85" s="35" t="s">
        <v>119</v>
      </c>
      <c r="G85" s="37" t="n">
        <f aca="false">IF(G82=0,(B59+B58),(B59))</f>
        <v>20</v>
      </c>
      <c r="H85" s="37"/>
      <c r="J85" s="35" t="s">
        <v>119</v>
      </c>
      <c r="K85" s="37" t="n">
        <f aca="false">IF(K82=0,(K59+K58),(K59))</f>
        <v>20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19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19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17.082086112366</v>
      </c>
      <c r="C87" s="97"/>
      <c r="D87" s="97"/>
      <c r="E87" s="117"/>
      <c r="F87" s="35" t="s">
        <v>121</v>
      </c>
      <c r="G87" s="37" t="n">
        <f aca="false">((1-(1/((1+G84)^G85)))/G84)</f>
        <v>18.8256931454353</v>
      </c>
      <c r="H87" s="37"/>
      <c r="J87" s="35" t="s">
        <v>121</v>
      </c>
      <c r="K87" s="37" t="n">
        <f aca="false">((1-(1/((1+K84)^K85)))/K84)</f>
        <v>16.3514333445971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16.9331388245188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16.9331388245188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21249.996</v>
      </c>
      <c r="C88" s="97"/>
      <c r="D88" s="97"/>
      <c r="E88" s="117"/>
      <c r="F88" s="35" t="s">
        <v>122</v>
      </c>
      <c r="G88" s="37" t="n">
        <f aca="false">G81-G86</f>
        <v>21249.996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1243.99302639136</v>
      </c>
      <c r="C89" s="97"/>
      <c r="D89" s="97"/>
      <c r="E89" s="117"/>
      <c r="F89" s="35" t="s">
        <v>123</v>
      </c>
      <c r="G89" s="37" t="n">
        <f aca="false">(G88/G87)</f>
        <v>1128.77628652693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23635.8675014358</v>
      </c>
      <c r="C90" s="97"/>
      <c r="D90" s="97"/>
      <c r="E90" s="117"/>
      <c r="F90" s="35" t="s">
        <v>124</v>
      </c>
      <c r="G90" s="37" t="n">
        <f aca="false">((G89*(G85))+G77)</f>
        <v>22575.5257305387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23635.8675014358</v>
      </c>
      <c r="C92" s="97"/>
      <c r="D92" s="97"/>
      <c r="E92" s="117"/>
      <c r="F92" s="60" t="s">
        <v>126</v>
      </c>
      <c r="G92" s="69" t="n">
        <f aca="false">(G90+G91)</f>
        <v>22575.5257305387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50.7789473684211</v>
      </c>
      <c r="C94" s="97"/>
      <c r="D94" s="97"/>
      <c r="E94" s="117"/>
      <c r="F94" s="93" t="s">
        <v>127</v>
      </c>
      <c r="G94" s="98" t="n">
        <f aca="false">IF(B26="YES",((E40/B85)*(1+A108)*(C45/100)),"0")</f>
        <v>50.7789473684211</v>
      </c>
      <c r="H94" s="37"/>
      <c r="J94" s="93" t="s">
        <v>127</v>
      </c>
      <c r="K94" s="94" t="n">
        <f aca="false">((E40/K85)*(1+J108))*1.2</f>
        <v>62.712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50.7789473684211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60.9347368421053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1243.99302639136</v>
      </c>
      <c r="C95" s="97"/>
      <c r="D95" s="97"/>
      <c r="E95" s="117"/>
      <c r="F95" s="99" t="s">
        <v>128</v>
      </c>
      <c r="G95" s="100" t="n">
        <f aca="false">G92/(G85)</f>
        <v>1128.77628652693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1294.77197375978</v>
      </c>
      <c r="C96" s="97"/>
      <c r="D96" s="97"/>
      <c r="E96" s="117"/>
      <c r="F96" s="101" t="s">
        <v>129</v>
      </c>
      <c r="G96" s="102" t="n">
        <f aca="false">G94+G95</f>
        <v>1179.55523389536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27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0.1305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0.1415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0.1415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245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-16041.6633333333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21249.996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1243.99302639136</v>
      </c>
      <c r="B167" s="181" t="n">
        <f aca="false">B94</f>
        <v>50.7789473684211</v>
      </c>
      <c r="C167" s="178"/>
      <c r="D167" s="178"/>
      <c r="E167" s="181" t="n">
        <f aca="false">B96</f>
        <v>1294.77197375978</v>
      </c>
      <c r="F167" s="27"/>
      <c r="G167" s="27" t="n">
        <f aca="false">ROUND(G95,2)</f>
        <v>1128.78</v>
      </c>
      <c r="H167" s="37"/>
      <c r="J167" s="180" t="e">
        <f aca="false">K95</f>
        <v>#VALUE!</v>
      </c>
      <c r="K167" s="181" t="n">
        <f aca="false">K94</f>
        <v>62.712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50.7789473684211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60.9347368421053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20</v>
      </c>
      <c r="B170" s="184" t="n">
        <f aca="false">K30</f>
        <v>10000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20</v>
      </c>
      <c r="K170" s="184" t="n">
        <f aca="false">K30</f>
        <v>10000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20</v>
      </c>
      <c r="T170" s="184" t="n">
        <f aca="false">K30</f>
        <v>10000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20</v>
      </c>
      <c r="AC170" s="184" t="n">
        <f aca="false">K30</f>
        <v>10000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7.3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21249.996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3680.64347519562</v>
      </c>
      <c r="B182" s="107" t="str">
        <f aca="false">B114</f>
        <v>199.99</v>
      </c>
      <c r="C182" s="107"/>
      <c r="D182" s="27"/>
      <c r="E182" s="107" t="n">
        <f aca="false">E179+A182+(B182*1.2)+A185</f>
        <v>25180.6274751956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2239.988</v>
      </c>
      <c r="C185" s="107"/>
      <c r="D185" s="27"/>
      <c r="E185" s="107" t="n">
        <f aca="false">IF( E170=0 , A185+E167, E170+A185)</f>
        <v>1304.77197375978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8.1052</v>
      </c>
      <c r="B188" s="107" t="n">
        <f aca="false">(G158*B67)/1.2</f>
        <v>88.54165</v>
      </c>
      <c r="C188" s="97"/>
      <c r="D188" s="97"/>
      <c r="E188" s="107" t="n">
        <f aca="false">(E40*A108)*0.1*(C45/100)</f>
        <v>16.08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24.12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16.08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16.08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204.61165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20</v>
      </c>
      <c r="B197" s="78" t="n">
        <f aca="false">B96</f>
        <v>1294.77197375978</v>
      </c>
      <c r="C197" s="78"/>
      <c r="D197" s="78"/>
      <c r="E197" s="27"/>
      <c r="F197" s="27"/>
      <c r="G197" s="27"/>
      <c r="H197" s="37"/>
      <c r="J197" s="77" t="n">
        <f aca="false">K29</f>
        <v>20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20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20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1325.604</v>
      </c>
      <c r="B201" s="190" t="n">
        <f aca="false">E179+A201+(B182*1.2)+A185</f>
        <v>22825.588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n">
        <f aca="false">A197</f>
        <v>20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1243.99302639136</v>
      </c>
      <c r="B212" s="181" t="n">
        <f aca="false">B167</f>
        <v>50.7789473684211</v>
      </c>
      <c r="C212" s="178"/>
      <c r="D212" s="178"/>
      <c r="E212" s="181" t="n">
        <f aca="false">E167</f>
        <v>1294.77197375978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3680.64347519562</v>
      </c>
      <c r="B224" s="107" t="str">
        <f aca="false">B182</f>
        <v>199.99</v>
      </c>
      <c r="C224" s="107"/>
      <c r="D224" s="117"/>
      <c r="E224" s="107" t="n">
        <f aca="false">E182</f>
        <v>25180.6274751956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19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1243.99302639136</v>
      </c>
      <c r="B230" s="107" t="n">
        <f aca="false">B167</f>
        <v>50.7789473684211</v>
      </c>
      <c r="C230" s="190"/>
      <c r="D230" s="190"/>
      <c r="E230" s="107" t="n">
        <f aca="false">E167</f>
        <v>1294.77197375978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1304.77197375978</v>
      </c>
      <c r="C233" s="97"/>
      <c r="D233" s="97"/>
      <c r="E233" s="107" t="n">
        <f aca="false">J18*0.000006*100</f>
        <v>24.3156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</f>
        <v>8.1052</v>
      </c>
      <c r="B236" s="107" t="n">
        <f aca="false">E233+A236</f>
        <v>32.4208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88.54165</v>
      </c>
      <c r="C240" s="97"/>
      <c r="D240" s="97"/>
      <c r="E240" s="107" t="n">
        <f aca="false">E188</f>
        <v>16.08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2204.61165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0.1305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2365.03947519563</v>
      </c>
      <c r="C254" s="201"/>
      <c r="D254" s="202" t="s">
        <v>227</v>
      </c>
      <c r="E254" s="202"/>
      <c r="F254" s="204" t="n">
        <f aca="false">F261+F267+F269+B270+B271</f>
        <v>106.24998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260.79</v>
      </c>
      <c r="C255" s="201"/>
      <c r="D255" s="202" t="s">
        <v>229</v>
      </c>
      <c r="E255" s="202"/>
      <c r="F255" s="204" t="n">
        <f aca="false">(B254-F254)+B255</f>
        <v>2519.57949519563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0.1305</v>
      </c>
      <c r="C260" s="47"/>
      <c r="D260" s="170" t="s">
        <v>226</v>
      </c>
      <c r="E260" s="170"/>
      <c r="F260" s="150" t="n">
        <f aca="false">B254</f>
        <v>2365.03947519563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106.24998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160.8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2519.57949519563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</v>
      </c>
      <c r="P29" s="216"/>
    </row>
    <row r="30" customFormat="false" ht="19.5" hidden="false" customHeight="false" outlineLevel="0" collapsed="false">
      <c r="A30" s="35" t="s">
        <v>192</v>
      </c>
      <c r="B30" s="108" t="s">
        <v>357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485.027627003226</v>
      </c>
      <c r="F33" s="236"/>
      <c r="G33" s="236"/>
      <c r="H33" s="51"/>
      <c r="I33" s="7"/>
      <c r="J33" s="38" t="s">
        <v>365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485.027627003226</v>
      </c>
      <c r="B36" s="236" t="str">
        <f aca="false">IF(B26="YES",K42,"0.00")</f>
        <v>0.00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25909.1715613066</v>
      </c>
      <c r="N39" s="6" t="n">
        <f aca="false">K39-L39</f>
        <v>-10200.8415613066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-10200.8415613066</v>
      </c>
      <c r="N40" s="6" t="n">
        <f aca="false">N38-N39</f>
        <v>13112.5215613066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485.027627003226</v>
      </c>
      <c r="L47" s="7" t="n">
        <f aca="false">L49-K42</f>
        <v>800</v>
      </c>
      <c r="M47" s="6" t="n">
        <f aca="false">K47-L47</f>
        <v>-314.972372996774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485.027627003226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485.027627003226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7242.14370118854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88.54165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3039.45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405.26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485.027627003226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485.027627003226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485.027627003226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485.027627003226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21249.996</v>
      </c>
      <c r="C81" s="97"/>
      <c r="D81" s="97"/>
      <c r="E81" s="117"/>
      <c r="F81" s="29" t="s">
        <v>115</v>
      </c>
      <c r="G81" s="31" t="n">
        <f aca="false">G158</f>
        <v>21249.996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36</v>
      </c>
      <c r="C85" s="97"/>
      <c r="D85" s="97"/>
      <c r="E85" s="117"/>
      <c r="F85" s="35" t="s">
        <v>119</v>
      </c>
      <c r="G85" s="37" t="n">
        <f aca="false">IF(G82=0,(B59+B58),(B59))</f>
        <v>36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30.1075050372741</v>
      </c>
      <c r="C87" s="97"/>
      <c r="D87" s="97"/>
      <c r="E87" s="117"/>
      <c r="F87" s="35" t="s">
        <v>121</v>
      </c>
      <c r="G87" s="37" t="n">
        <f aca="false">((1-(1/((1+G84)^G85)))/G84)</f>
        <v>32.3864644516332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21249.996</v>
      </c>
      <c r="C88" s="97"/>
      <c r="D88" s="97"/>
      <c r="E88" s="117"/>
      <c r="F88" s="35" t="s">
        <v>122</v>
      </c>
      <c r="G88" s="37" t="n">
        <f aca="false">G81-G86</f>
        <v>21249.996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705.803950665848</v>
      </c>
      <c r="C89" s="97"/>
      <c r="D89" s="97"/>
      <c r="E89" s="117"/>
      <c r="F89" s="35" t="s">
        <v>123</v>
      </c>
      <c r="G89" s="37" t="n">
        <f aca="false">(G88/G87)</f>
        <v>656.138184880764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25408.9422239705</v>
      </c>
      <c r="C90" s="97"/>
      <c r="D90" s="97"/>
      <c r="E90" s="117"/>
      <c r="F90" s="35" t="s">
        <v>124</v>
      </c>
      <c r="G90" s="37" t="n">
        <f aca="false">((G89*(G85))+G77)</f>
        <v>23620.9746557075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25408.9422239705</v>
      </c>
      <c r="C92" s="97"/>
      <c r="D92" s="97"/>
      <c r="E92" s="117"/>
      <c r="F92" s="60" t="s">
        <v>126</v>
      </c>
      <c r="G92" s="69" t="n">
        <f aca="false">(G90+G91)</f>
        <v>23620.9746557075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705.803950665848</v>
      </c>
      <c r="C95" s="97"/>
      <c r="D95" s="97"/>
      <c r="E95" s="117"/>
      <c r="F95" s="99" t="s">
        <v>128</v>
      </c>
      <c r="G95" s="100" t="n">
        <f aca="false">G92/(G85)</f>
        <v>656.138184880764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705.803950665848</v>
      </c>
      <c r="C96" s="97"/>
      <c r="D96" s="97"/>
      <c r="E96" s="117"/>
      <c r="F96" s="101" t="s">
        <v>129</v>
      </c>
      <c r="G96" s="102" t="n">
        <f aca="false">G94+G95</f>
        <v>656.138184880764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28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-16041.6633333333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21249.996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705.803950665848</v>
      </c>
      <c r="B167" s="181" t="str">
        <f aca="false">B94</f>
        <v>0</v>
      </c>
      <c r="C167" s="178"/>
      <c r="D167" s="178"/>
      <c r="E167" s="181" t="n">
        <f aca="false">B96</f>
        <v>705.803950665848</v>
      </c>
      <c r="F167" s="27"/>
      <c r="G167" s="27" t="n">
        <f aca="false">ROUND(G95,2)</f>
        <v>656.14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7.3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21249.996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4158.94622397053</v>
      </c>
      <c r="B182" s="107" t="str">
        <f aca="false">B114</f>
        <v>239.99</v>
      </c>
      <c r="C182" s="107"/>
      <c r="D182" s="27"/>
      <c r="E182" s="107" t="n">
        <f aca="false">E179+A182+B182+A185</f>
        <v>25658.9322239705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A179+(B182)</f>
        <v>2239.99</v>
      </c>
      <c r="C185" s="107"/>
      <c r="D185" s="27"/>
      <c r="E185" s="107" t="n">
        <f aca="false">IF( E170=0 , A185+E167, E170+A185)</f>
        <v>715.803950665848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IF(E105="YES",J18*0.000002,0)*100*1.2</f>
        <v>0</v>
      </c>
      <c r="B188" s="107" t="n">
        <f aca="false">(G158*B67)</f>
        <v>106.24998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206.241646666667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705.803950665848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2371.044</v>
      </c>
      <c r="B201" s="190" t="n">
        <f aca="false">E179+A201+B182+A185</f>
        <v>23871.03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705.803950665848</v>
      </c>
      <c r="B212" s="181" t="str">
        <f aca="false">B167</f>
        <v>0</v>
      </c>
      <c r="C212" s="178"/>
      <c r="D212" s="178"/>
      <c r="E212" s="181" t="n">
        <f aca="false">E167</f>
        <v>705.803950665848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4158.94622397053</v>
      </c>
      <c r="B224" s="107" t="str">
        <f aca="false">B182</f>
        <v>239.99</v>
      </c>
      <c r="C224" s="107"/>
      <c r="D224" s="117"/>
      <c r="E224" s="107" t="n">
        <f aca="false">E182</f>
        <v>25658.9322239705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705.803950665848</v>
      </c>
      <c r="B230" s="107" t="str">
        <f aca="false">B167</f>
        <v>0</v>
      </c>
      <c r="C230" s="190"/>
      <c r="D230" s="190"/>
      <c r="E230" s="107" t="n">
        <f aca="false">E167</f>
        <v>705.803950665848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715.803950665848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88.54165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2188.53331666667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1797.90222397053</v>
      </c>
      <c r="C254" s="201"/>
      <c r="D254" s="202" t="s">
        <v>227</v>
      </c>
      <c r="E254" s="202"/>
      <c r="F254" s="204" t="n">
        <f aca="false">F261+F267+F269+B270+B271</f>
        <v>106.24998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1791.6439106372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</v>
      </c>
      <c r="C260" s="47"/>
      <c r="D260" s="170" t="s">
        <v>226</v>
      </c>
      <c r="E260" s="170"/>
      <c r="F260" s="150" t="n">
        <f aca="false">B254</f>
        <v>1797.90222397053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106.24998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1791.6439106372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7.2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20</v>
      </c>
      <c r="P29" s="216"/>
    </row>
    <row r="30" customFormat="false" ht="19.5" hidden="false" customHeight="false" outlineLevel="0" collapsed="false">
      <c r="A30" s="35" t="s">
        <v>192</v>
      </c>
      <c r="B30" s="108" t="s">
        <v>357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804</v>
      </c>
      <c r="P32" s="216"/>
    </row>
    <row r="33" customFormat="false" ht="36.75" hidden="false" customHeight="false" outlineLevel="0" collapsed="false">
      <c r="A33" s="183" t="n">
        <f aca="false">A52</f>
        <v>20</v>
      </c>
      <c r="B33" s="236" t="n">
        <f aca="false">B51</f>
        <v>10000</v>
      </c>
      <c r="C33" s="97"/>
      <c r="D33" s="97"/>
      <c r="E33" s="236" t="n">
        <f aca="false">K48</f>
        <v>874.609117297699</v>
      </c>
      <c r="F33" s="236"/>
      <c r="G33" s="236"/>
      <c r="H33" s="51"/>
      <c r="I33" s="7"/>
      <c r="J33" s="38" t="s">
        <v>365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834.409117297699</v>
      </c>
      <c r="B36" s="236" t="n">
        <f aca="false">IF(B26="YES",K42,"0.00")</f>
        <v>40.2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20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14303.7616519017</v>
      </c>
      <c r="N39" s="6" t="n">
        <f aca="false">K39-L39</f>
        <v>1404.56834809827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n">
        <f aca="false">IF(B26="YES",K42,"0.00")</f>
        <v>40.2</v>
      </c>
      <c r="C40" s="111"/>
      <c r="D40" s="111"/>
      <c r="E40" s="186" t="n">
        <f aca="false">K32</f>
        <v>804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1404.56834809827</v>
      </c>
      <c r="N40" s="6" t="n">
        <f aca="false">N38-N39</f>
        <v>1507.11165190173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40.2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18.8256931454353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834.409117297699</v>
      </c>
      <c r="L47" s="7" t="n">
        <f aca="false">L49-K42</f>
        <v>759.8</v>
      </c>
      <c r="M47" s="6" t="n">
        <f aca="false">K47-L47</f>
        <v>74.6091172976989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874.609117297699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20</v>
      </c>
      <c r="B52" s="78" t="n">
        <f aca="false">K48</f>
        <v>874.609117297699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19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19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19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19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0.0105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0.0105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5883.36730198074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8.75" hidden="false" customHeight="false" outlineLevel="0" collapsed="false">
      <c r="A67" s="35" t="s">
        <v>102</v>
      </c>
      <c r="B67" s="88" t="n">
        <f aca="false">B66+(B66*0.5*(K29/12-1))</f>
        <v>0.00666666666666667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0.0583333333333333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0.00666666666666667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0.00666666666666667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118.055533333333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2364.01666666667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270.173333333333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834.409117297699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834.409117297699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874.609117297699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874.609117297699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21249.996</v>
      </c>
      <c r="C81" s="97"/>
      <c r="D81" s="97"/>
      <c r="E81" s="117"/>
      <c r="F81" s="29" t="s">
        <v>115</v>
      </c>
      <c r="G81" s="31" t="n">
        <f aca="false">G158</f>
        <v>21249.996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0.1305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0.1415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0.1415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0.010875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0.0117916666666667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0.0117916666666667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20</v>
      </c>
      <c r="C85" s="97"/>
      <c r="D85" s="97"/>
      <c r="E85" s="117"/>
      <c r="F85" s="35" t="s">
        <v>119</v>
      </c>
      <c r="G85" s="37" t="n">
        <f aca="false">IF(G82=0,(B59+B58),(B59))</f>
        <v>20</v>
      </c>
      <c r="H85" s="37"/>
      <c r="J85" s="35" t="s">
        <v>119</v>
      </c>
      <c r="K85" s="37" t="n">
        <f aca="false">IF(K82=0,(K59+K58),(K59))</f>
        <v>20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19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19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17.8875589092281</v>
      </c>
      <c r="C87" s="97"/>
      <c r="D87" s="97"/>
      <c r="E87" s="117"/>
      <c r="F87" s="35" t="s">
        <v>121</v>
      </c>
      <c r="G87" s="37" t="n">
        <f aca="false">((1-(1/((1+G84)^G85)))/G84)</f>
        <v>18.8256931454353</v>
      </c>
      <c r="H87" s="37"/>
      <c r="J87" s="35" t="s">
        <v>121</v>
      </c>
      <c r="K87" s="37" t="n">
        <f aca="false">((1-(1/((1+K84)^K85)))/K84)</f>
        <v>16.3514333445971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16.9331388245188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16.9331388245188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21249.996</v>
      </c>
      <c r="C88" s="97"/>
      <c r="D88" s="97"/>
      <c r="E88" s="117"/>
      <c r="F88" s="35" t="s">
        <v>122</v>
      </c>
      <c r="G88" s="37" t="n">
        <f aca="false">G81-G86</f>
        <v>21249.996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1187.97629725972</v>
      </c>
      <c r="C89" s="97"/>
      <c r="D89" s="97"/>
      <c r="E89" s="117"/>
      <c r="F89" s="35" t="s">
        <v>123</v>
      </c>
      <c r="G89" s="37" t="n">
        <f aca="false">(G88/G87)</f>
        <v>1128.77628652693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23759.5259451944</v>
      </c>
      <c r="C90" s="97"/>
      <c r="D90" s="97"/>
      <c r="E90" s="117"/>
      <c r="F90" s="35" t="s">
        <v>124</v>
      </c>
      <c r="G90" s="37" t="n">
        <f aca="false">((G89*(G85))+G77)</f>
        <v>22575.5257305387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23759.5259451944</v>
      </c>
      <c r="C92" s="97"/>
      <c r="D92" s="97"/>
      <c r="E92" s="117"/>
      <c r="F92" s="60" t="s">
        <v>126</v>
      </c>
      <c r="G92" s="69" t="n">
        <f aca="false">(G90+G91)</f>
        <v>22575.5257305387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52.26</v>
      </c>
      <c r="C94" s="97"/>
      <c r="D94" s="97"/>
      <c r="E94" s="117"/>
      <c r="F94" s="93" t="s">
        <v>127</v>
      </c>
      <c r="G94" s="98" t="n">
        <f aca="false">IF(B26="YES",((E40/B85)*(1+A108)*(C45/100)),"0")</f>
        <v>52.26</v>
      </c>
      <c r="H94" s="37"/>
      <c r="J94" s="93" t="s">
        <v>127</v>
      </c>
      <c r="K94" s="94" t="n">
        <f aca="false">((E40/K85)*(1+J108))*1.2</f>
        <v>62.712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50.7789473684211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60.9347368421053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1187.97629725972</v>
      </c>
      <c r="C95" s="97"/>
      <c r="D95" s="97"/>
      <c r="E95" s="117"/>
      <c r="F95" s="99" t="s">
        <v>128</v>
      </c>
      <c r="G95" s="100" t="n">
        <f aca="false">G92/(G85)</f>
        <v>1128.77628652693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1240.23629725972</v>
      </c>
      <c r="C96" s="97"/>
      <c r="D96" s="97"/>
      <c r="E96" s="117"/>
      <c r="F96" s="101" t="s">
        <v>129</v>
      </c>
      <c r="G96" s="102" t="n">
        <f aca="false">G94+G95</f>
        <v>1181.03628652693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27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0.3</v>
      </c>
      <c r="B108" s="111" t="n">
        <v>0</v>
      </c>
      <c r="C108" s="111"/>
      <c r="D108" s="111" t="n">
        <v>0</v>
      </c>
      <c r="E108" s="112" t="n">
        <f aca="false">B83</f>
        <v>0.1305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0.1415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0.1415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245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-16041.6633333333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21249.996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1187.97629725972</v>
      </c>
      <c r="B167" s="181" t="n">
        <f aca="false">B94</f>
        <v>52.26</v>
      </c>
      <c r="C167" s="178"/>
      <c r="D167" s="178"/>
      <c r="E167" s="181" t="n">
        <f aca="false">B96</f>
        <v>1240.23629725972</v>
      </c>
      <c r="F167" s="27"/>
      <c r="G167" s="27" t="n">
        <f aca="false">ROUND(G95,2)</f>
        <v>1128.78</v>
      </c>
      <c r="H167" s="37"/>
      <c r="J167" s="180" t="e">
        <f aca="false">K95</f>
        <v>#VALUE!</v>
      </c>
      <c r="K167" s="181" t="n">
        <f aca="false">K94</f>
        <v>62.712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50.7789473684211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60.9347368421053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20</v>
      </c>
      <c r="B170" s="233" t="n">
        <f aca="false">K30</f>
        <v>10000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20</v>
      </c>
      <c r="K170" s="184" t="n">
        <f aca="false">K30</f>
        <v>10000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20</v>
      </c>
      <c r="T170" s="184" t="n">
        <f aca="false">K30</f>
        <v>10000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20</v>
      </c>
      <c r="AC170" s="184" t="n">
        <f aca="false">K30</f>
        <v>10000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7.3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21249.996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2561.78994519444</v>
      </c>
      <c r="B182" s="107" t="str">
        <f aca="false">B114</f>
        <v>199.99</v>
      </c>
      <c r="C182" s="107"/>
      <c r="D182" s="27"/>
      <c r="E182" s="107" t="n">
        <f aca="false">E179+A182+(B182*1.2)+A185</f>
        <v>24061.7739451944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2239.988</v>
      </c>
      <c r="C185" s="107"/>
      <c r="D185" s="27"/>
      <c r="E185" s="107" t="n">
        <f aca="false">IF( E170=0 , A185+E167, E170+A185)</f>
        <v>1250.23629725972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8.1052</v>
      </c>
      <c r="B188" s="107" t="n">
        <f aca="false">(G158*B67)/1.2</f>
        <v>118.055533333333</v>
      </c>
      <c r="C188" s="97"/>
      <c r="D188" s="97"/>
      <c r="E188" s="107" t="n">
        <f aca="false">(E40*A108)*0.1*(C45/100)</f>
        <v>24.12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24.12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16.08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16.08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242.165533333333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20</v>
      </c>
      <c r="B197" s="78" t="n">
        <f aca="false">B96</f>
        <v>1240.23629725972</v>
      </c>
      <c r="C197" s="78"/>
      <c r="D197" s="78"/>
      <c r="E197" s="27"/>
      <c r="F197" s="27"/>
      <c r="G197" s="27"/>
      <c r="H197" s="37"/>
      <c r="J197" s="77" t="n">
        <f aca="false">K29</f>
        <v>20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20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20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1325.604</v>
      </c>
      <c r="B201" s="190" t="n">
        <f aca="false">E179+A201+(B182*1.2)+A185</f>
        <v>22825.588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n">
        <f aca="false">A197</f>
        <v>20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1187.97629725972</v>
      </c>
      <c r="B212" s="181" t="n">
        <f aca="false">B167</f>
        <v>52.26</v>
      </c>
      <c r="C212" s="178"/>
      <c r="D212" s="178"/>
      <c r="E212" s="181" t="n">
        <f aca="false">E167</f>
        <v>1240.23629725972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2561.78994519444</v>
      </c>
      <c r="B224" s="107" t="str">
        <f aca="false">B182</f>
        <v>199.99</v>
      </c>
      <c r="C224" s="107"/>
      <c r="D224" s="117"/>
      <c r="E224" s="107" t="n">
        <f aca="false">E182</f>
        <v>24061.7739451944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19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1187.97629725972</v>
      </c>
      <c r="B230" s="107" t="n">
        <f aca="false">B167</f>
        <v>52.26</v>
      </c>
      <c r="C230" s="190"/>
      <c r="D230" s="190"/>
      <c r="E230" s="107" t="n">
        <f aca="false">E167</f>
        <v>1240.23629725972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1250.23629725972</v>
      </c>
      <c r="C233" s="97"/>
      <c r="D233" s="97"/>
      <c r="E233" s="107" t="n">
        <f aca="false">A188</f>
        <v>8.1052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118.055533333333</v>
      </c>
      <c r="C240" s="97"/>
      <c r="D240" s="97"/>
      <c r="E240" s="107" t="n">
        <f aca="false">E188</f>
        <v>24.12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2242.16553333334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0.1305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1246.18594519444</v>
      </c>
      <c r="C254" s="201"/>
      <c r="D254" s="202" t="s">
        <v>227</v>
      </c>
      <c r="E254" s="202"/>
      <c r="F254" s="204" t="n">
        <f aca="false">F261+F267+F269+B270+B271</f>
        <v>141.66664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341.19</v>
      </c>
      <c r="C255" s="201"/>
      <c r="D255" s="202" t="s">
        <v>229</v>
      </c>
      <c r="E255" s="202"/>
      <c r="F255" s="204" t="n">
        <f aca="false">(B254-F254)+B255</f>
        <v>1445.70930519444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0.1305</v>
      </c>
      <c r="C260" s="47"/>
      <c r="D260" s="170" t="s">
        <v>226</v>
      </c>
      <c r="E260" s="170"/>
      <c r="F260" s="150" t="n">
        <f aca="false">B254</f>
        <v>1246.18594519444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0.00666666666666667</v>
      </c>
      <c r="C261" s="36"/>
      <c r="D261" s="170" t="s">
        <v>232</v>
      </c>
      <c r="E261" s="170"/>
      <c r="F261" s="155" t="n">
        <f aca="false">B68*1.2</f>
        <v>141.66664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0.3</v>
      </c>
      <c r="C262" s="36"/>
      <c r="D262" s="170" t="s">
        <v>233</v>
      </c>
      <c r="E262" s="170"/>
      <c r="F262" s="150" t="n">
        <f aca="false">E240*10</f>
        <v>241.2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1445.70930519444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35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357</v>
      </c>
      <c r="C30" s="176"/>
      <c r="D30" s="219"/>
      <c r="E30" s="220"/>
      <c r="F30" s="67"/>
      <c r="G30" s="222" t="s">
        <v>41</v>
      </c>
      <c r="H30" s="463" t="n">
        <v>35000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35</v>
      </c>
      <c r="B33" s="233" t="n">
        <v>10000</v>
      </c>
      <c r="C33" s="234"/>
      <c r="D33" s="465" t="n">
        <f aca="false">H48</f>
        <v>493.90708087626</v>
      </c>
      <c r="E33" s="220"/>
      <c r="F33" s="67"/>
      <c r="G33" s="223" t="s">
        <v>365</v>
      </c>
      <c r="H33" s="466" t="n">
        <f aca="false">E21-E11</f>
        <v>15708.33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35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493.90708087626</v>
      </c>
      <c r="B36" s="107" t="n">
        <f aca="false">IF(B26="YES",H42,"")</f>
        <v>0</v>
      </c>
      <c r="C36" s="225"/>
      <c r="D36" s="188" t="n">
        <f aca="false">H31</f>
        <v>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15708.33</v>
      </c>
      <c r="I39" s="242" t="n">
        <f aca="false">(I48*H46)+H44</f>
        <v>44525.9095313712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0</v>
      </c>
      <c r="B40" s="111" t="n">
        <f aca="false">IF(B26="YES",H42,"0")</f>
        <v>0</v>
      </c>
      <c r="C40" s="111"/>
      <c r="D40" s="188" t="n">
        <f aca="false">I32</f>
        <v>0</v>
      </c>
      <c r="E40" s="220"/>
      <c r="F40" s="67"/>
      <c r="G40" s="67" t="s">
        <v>116</v>
      </c>
      <c r="H40" s="242" t="n">
        <f aca="false">A40/1.2</f>
        <v>0</v>
      </c>
      <c r="I40" s="242" t="n">
        <f aca="false">H39-I39</f>
        <v>-28817.5795313712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100</v>
      </c>
      <c r="D45" s="469"/>
      <c r="E45" s="220"/>
      <c r="F45" s="67"/>
      <c r="G45" s="67" t="s">
        <v>383</v>
      </c>
      <c r="H45" s="242" t="n">
        <f aca="false">(H39-H44)</f>
        <v>15708.33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31.8042210938366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493.90708087626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493.90708087626</v>
      </c>
      <c r="I48" s="242" t="n">
        <f aca="false">I49-H42</f>
        <v>1400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35000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35</v>
      </c>
      <c r="B52" s="78" t="n">
        <f aca="false">H48</f>
        <v>493.90708087626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34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34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34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385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40526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0.1035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0.103541666666667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0.103541666666667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285.714285714286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0.0195833333333333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0.0195833333333333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175</v>
      </c>
      <c r="C73" s="219"/>
      <c r="D73" s="478" t="n">
        <f aca="false">B73+B71</f>
        <v>375</v>
      </c>
      <c r="E73" s="220" t="s">
        <v>238</v>
      </c>
      <c r="F73" s="67"/>
      <c r="G73" s="288" t="s">
        <v>109</v>
      </c>
      <c r="H73" s="137" t="n">
        <f aca="false">H72*H29</f>
        <v>157.5</v>
      </c>
      <c r="I73" s="219"/>
      <c r="J73" s="294" t="n">
        <f aca="false">H73+H71</f>
        <v>317.5</v>
      </c>
      <c r="K73" s="220"/>
      <c r="L73" s="67"/>
      <c r="M73" s="288" t="s">
        <v>109</v>
      </c>
      <c r="N73" s="137" t="n">
        <f aca="false">N72*H29</f>
        <v>157.5</v>
      </c>
      <c r="O73" s="219"/>
      <c r="P73" s="294" t="n">
        <f aca="false">N73+N71</f>
        <v>317.5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330</v>
      </c>
      <c r="I76" s="219"/>
      <c r="J76" s="294" t="n">
        <f aca="false">H76</f>
        <v>330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12.6984126984127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22.1428571428571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11441.6666666667</v>
      </c>
      <c r="C81" s="479"/>
      <c r="D81" s="480"/>
      <c r="E81" s="472"/>
      <c r="F81" s="67"/>
      <c r="G81" s="307" t="s">
        <v>112</v>
      </c>
      <c r="H81" s="308" t="n">
        <f aca="false">SUM(J64:J80)</f>
        <v>1047.5</v>
      </c>
      <c r="I81" s="219"/>
      <c r="J81" s="219"/>
      <c r="K81" s="220"/>
      <c r="L81" s="67"/>
      <c r="M81" s="307" t="s">
        <v>112</v>
      </c>
      <c r="N81" s="308" t="n">
        <f aca="false">SUM(P64:P80)</f>
        <v>717.5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326.904761904762</v>
      </c>
      <c r="C82" s="479"/>
      <c r="D82" s="219"/>
      <c r="E82" s="472"/>
      <c r="F82" s="67"/>
      <c r="G82" s="218" t="s">
        <v>113</v>
      </c>
      <c r="H82" s="304" t="n">
        <f aca="false">H81/H29</f>
        <v>29.9285714285714</v>
      </c>
      <c r="I82" s="219"/>
      <c r="J82" s="219"/>
      <c r="K82" s="220"/>
      <c r="L82" s="67"/>
      <c r="M82" s="218" t="s">
        <v>113</v>
      </c>
      <c r="N82" s="304" t="n">
        <f aca="false">N81/H29</f>
        <v>20.5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493.90708087626</v>
      </c>
      <c r="C83" s="479"/>
      <c r="D83" s="219"/>
      <c r="E83" s="472" t="n">
        <f aca="false">B83+E80+E77+E64</f>
        <v>814.462636431816</v>
      </c>
      <c r="F83" s="67"/>
      <c r="G83" s="309" t="s">
        <v>114</v>
      </c>
      <c r="H83" s="310" t="n">
        <f aca="false">H47</f>
        <v>493.90708087626</v>
      </c>
      <c r="I83" s="219"/>
      <c r="J83" s="219"/>
      <c r="K83" s="220"/>
      <c r="L83" s="67"/>
      <c r="M83" s="309" t="s">
        <v>114</v>
      </c>
      <c r="N83" s="310" t="n">
        <f aca="false">H47</f>
        <v>493.90708087626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28728.4144973358</v>
      </c>
      <c r="C85" s="479"/>
      <c r="D85" s="479"/>
      <c r="E85" s="472" t="n">
        <f aca="false">B85/(B58+B57)</f>
        <v>820.811842781022</v>
      </c>
      <c r="F85" s="67"/>
      <c r="G85" s="291" t="s">
        <v>124</v>
      </c>
      <c r="H85" s="135" t="n">
        <f aca="false">((H83*H29)+H81)*1.2</f>
        <v>22001.0973968029</v>
      </c>
      <c r="I85" s="219"/>
      <c r="J85" s="219"/>
      <c r="K85" s="220"/>
      <c r="L85" s="67"/>
      <c r="M85" s="291" t="s">
        <v>124</v>
      </c>
      <c r="N85" s="135" t="n">
        <f aca="false">((N83*H29)+N81)</f>
        <v>18004.2478306691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243.362930392921</v>
      </c>
      <c r="C86" s="479" t="s">
        <v>241</v>
      </c>
      <c r="D86" s="219"/>
      <c r="E86" s="472" t="n">
        <f aca="false">B86/(B58+B57)</f>
        <v>6.95322658265489</v>
      </c>
      <c r="F86" s="67"/>
      <c r="G86" s="218" t="s">
        <v>125</v>
      </c>
      <c r="H86" s="304" t="n">
        <f aca="false">((((H83*H29)+H81))/(1-H70))*H70</f>
        <v>155.312305140803</v>
      </c>
      <c r="I86" s="219"/>
      <c r="J86" s="219"/>
      <c r="K86" s="220"/>
      <c r="L86" s="67"/>
      <c r="M86" s="218" t="s">
        <v>125</v>
      </c>
      <c r="N86" s="304" t="n">
        <f aca="false">(N85/(1-N70))*N70</f>
        <v>152.51682309159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28971.7774277287</v>
      </c>
      <c r="C87" s="479"/>
      <c r="D87" s="481"/>
      <c r="E87" s="472" t="n">
        <f aca="false">E86+E85</f>
        <v>827.765069363677</v>
      </c>
      <c r="F87" s="67"/>
      <c r="G87" s="288" t="s">
        <v>126</v>
      </c>
      <c r="H87" s="137" t="n">
        <f aca="false">IF(H110="YES",((H85+H86)-K114),(H85+H86))</f>
        <v>22156.4097019437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18156.7646537607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0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0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0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827.765069363677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553.910242548593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453.919116344018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827.765069363677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553.910242548593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453.919116344018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0.2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35</v>
      </c>
      <c r="C125" s="329"/>
      <c r="D125" s="328" t="n">
        <f aca="false">B160</f>
        <v>35000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553.910242548593</v>
      </c>
      <c r="H127" s="181" t="n">
        <f aca="false">IF(G105="YES",H89*H57,0)</f>
        <v>0</v>
      </c>
      <c r="I127" s="181"/>
      <c r="J127" s="338" t="n">
        <f aca="false">H91</f>
        <v>553.910242548593</v>
      </c>
      <c r="K127" s="220"/>
      <c r="L127" s="67"/>
      <c r="M127" s="337" t="n">
        <f aca="false">N90</f>
        <v>453.919116344018</v>
      </c>
      <c r="N127" s="181" t="n">
        <f aca="false">IF(M105="YES",N89*N57,0)</f>
        <v>0</v>
      </c>
      <c r="O127" s="181"/>
      <c r="P127" s="181" t="n">
        <f aca="false">N91</f>
        <v>453.919116344018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827.765069363677</v>
      </c>
      <c r="B128" s="325" t="n">
        <f aca="false">IF(A105="YES",B89,0)</f>
        <v>0</v>
      </c>
      <c r="C128" s="329"/>
      <c r="D128" s="325" t="n">
        <f aca="false">B91</f>
        <v>827.765069363677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35</v>
      </c>
      <c r="H130" s="233" t="n">
        <f aca="false">B151</f>
        <v>0</v>
      </c>
      <c r="I130" s="234"/>
      <c r="J130" s="233" t="n">
        <f aca="false">B58</f>
        <v>34</v>
      </c>
      <c r="K130" s="220"/>
      <c r="L130" s="67"/>
      <c r="M130" s="232" t="n">
        <f aca="false">M155</f>
        <v>35</v>
      </c>
      <c r="N130" s="233" t="n">
        <f aca="false">B151</f>
        <v>0</v>
      </c>
      <c r="O130" s="234"/>
      <c r="P130" s="233" t="n">
        <f aca="false">B58</f>
        <v>34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827.765069363677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3323.46145529156</v>
      </c>
      <c r="H133" s="107" t="n">
        <f aca="false">IF(G105="YES",H89*H57,0)</f>
        <v>0</v>
      </c>
      <c r="I133" s="225"/>
      <c r="J133" s="188" t="n">
        <f aca="false">H91*H57</f>
        <v>3323.46145529156</v>
      </c>
      <c r="K133" s="220"/>
      <c r="L133" s="67"/>
      <c r="M133" s="189" t="n">
        <f aca="false">N90*N57</f>
        <v>2723.51469806411</v>
      </c>
      <c r="N133" s="107" t="n">
        <f aca="false">IF(M105="YES",N89*N57,0)</f>
        <v>0</v>
      </c>
      <c r="O133" s="225"/>
      <c r="P133" s="188" t="n">
        <f aca="false">N91*N57</f>
        <v>2723.51469806411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827.765069363677</v>
      </c>
      <c r="B134" s="42" t="n">
        <f aca="false">E114</f>
        <v>0</v>
      </c>
      <c r="C134" s="321"/>
      <c r="D134" s="341" t="n">
        <f aca="false">B58</f>
        <v>34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827.765069363677</v>
      </c>
      <c r="B137" s="42" t="n">
        <f aca="false">IF(A105="YES",B89,0)</f>
        <v>0</v>
      </c>
      <c r="C137" s="321"/>
      <c r="D137" s="42" t="n">
        <f aca="false">B91</f>
        <v>827.765069363677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24.3156</v>
      </c>
      <c r="B140" s="347" t="n">
        <f aca="false">IF(A105="YES",B61*0.000002,0)*100</f>
        <v>8.1052</v>
      </c>
      <c r="C140" s="348"/>
      <c r="D140" s="347" t="n">
        <f aca="false">A140+B140</f>
        <v>32.4208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0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0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0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500</v>
      </c>
      <c r="E151" s="109"/>
      <c r="F151" s="67"/>
      <c r="G151" s="254"/>
      <c r="H151" s="256" t="n">
        <f aca="false">B51</f>
        <v>35000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35</v>
      </c>
      <c r="H152" s="78" t="n">
        <f aca="false">H91</f>
        <v>553.910242548593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35000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35</v>
      </c>
      <c r="N155" s="78" t="n">
        <f aca="false">N91</f>
        <v>453.919116344018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35000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35</v>
      </c>
      <c r="B161" s="78" t="n">
        <f aca="false">B91</f>
        <v>827.765069363677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35</v>
      </c>
      <c r="C174" s="364"/>
      <c r="D174" s="328" t="n">
        <f aca="false">D125</f>
        <v>35000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827.765069363677</v>
      </c>
      <c r="B177" s="362" t="n">
        <f aca="false">IF(A105="YES",B89,0)</f>
        <v>0</v>
      </c>
      <c r="C177" s="364"/>
      <c r="D177" s="362" t="n">
        <f aca="false">B91</f>
        <v>827.765069363677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827.765069363677</v>
      </c>
      <c r="C180" s="360"/>
      <c r="D180" s="107" t="n">
        <f aca="false">IF(A105="YES",B89*B57,0)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827.765069363677</v>
      </c>
      <c r="B183" s="107" t="n">
        <f aca="false">E114</f>
        <v>0</v>
      </c>
      <c r="C183" s="360"/>
      <c r="D183" s="368" t="n">
        <f aca="false">B58</f>
        <v>34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827.765069363677</v>
      </c>
      <c r="B186" s="107" t="n">
        <f aca="false">IF(A105="YES",B89,0)</f>
        <v>0</v>
      </c>
      <c r="C186" s="360"/>
      <c r="D186" s="107" t="n">
        <f aca="false">B91</f>
        <v>827.765069363677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24.3156</v>
      </c>
      <c r="B189" s="372" t="n">
        <f aca="false">B140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10339.98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10000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10339.98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375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243.362930392921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357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80000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6000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37.0571839469512</v>
      </c>
      <c r="E33" s="220"/>
      <c r="F33" s="67"/>
      <c r="G33" s="223" t="s">
        <v>365</v>
      </c>
      <c r="H33" s="466" t="n">
        <f aca="false">E21-E11</f>
        <v>15708.33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-12.9428160530488</v>
      </c>
      <c r="B36" s="107" t="n">
        <f aca="false">IF(B26="YES",H42,"")</f>
        <v>50</v>
      </c>
      <c r="C36" s="225"/>
      <c r="D36" s="188" t="n">
        <f aca="false">H31</f>
        <v>80000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15708.33</v>
      </c>
      <c r="I39" s="242" t="n">
        <f aca="false">(I48*H46)+H44</f>
        <v>59849.2290617109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24000</v>
      </c>
      <c r="B40" s="111" t="n">
        <f aca="false">IF(B26="YES",H42,"0")</f>
        <v>50</v>
      </c>
      <c r="C40" s="111"/>
      <c r="D40" s="188" t="n">
        <f aca="false">I32</f>
        <v>6000</v>
      </c>
      <c r="E40" s="220"/>
      <c r="F40" s="67"/>
      <c r="G40" s="67" t="s">
        <v>116</v>
      </c>
      <c r="H40" s="242" t="n">
        <f aca="false">A40/1.2</f>
        <v>20000</v>
      </c>
      <c r="I40" s="242" t="n">
        <f aca="false">H39-I39</f>
        <v>-44140.8990617109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16127.5020520061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30</v>
      </c>
      <c r="B45" s="219"/>
      <c r="C45" s="469" t="n">
        <v>30</v>
      </c>
      <c r="D45" s="469"/>
      <c r="E45" s="220"/>
      <c r="F45" s="67"/>
      <c r="G45" s="67" t="s">
        <v>383</v>
      </c>
      <c r="H45" s="242" t="n">
        <f aca="false">(H39-H44)</f>
        <v>-419.172052006092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-12.9428160530488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37.0571839469512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37.0571839469512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385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40526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277.777777777778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238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275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847.916666666667</v>
      </c>
      <c r="C76" s="219"/>
      <c r="D76" s="294" t="n">
        <f aca="false">B76</f>
        <v>847.916666666667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45.2199074074074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12294.5833333333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341.516203703704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-12.9428160530488</v>
      </c>
      <c r="C83" s="479"/>
      <c r="D83" s="219"/>
      <c r="E83" s="472" t="n">
        <f aca="false">B83+E80+E77+E64</f>
        <v>322.400548144482</v>
      </c>
      <c r="F83" s="67"/>
      <c r="G83" s="309" t="s">
        <v>114</v>
      </c>
      <c r="H83" s="310" t="n">
        <f aca="false">H47</f>
        <v>-12.9428160530488</v>
      </c>
      <c r="I83" s="219"/>
      <c r="J83" s="219"/>
      <c r="K83" s="220"/>
      <c r="L83" s="67"/>
      <c r="M83" s="309" t="s">
        <v>114</v>
      </c>
      <c r="N83" s="310" t="n">
        <f aca="false">H47</f>
        <v>-12.9428160530488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((B83*H29)+B81)*1.2</f>
        <v>14194.3703465083</v>
      </c>
      <c r="C85" s="479"/>
      <c r="D85" s="479"/>
      <c r="E85" s="472" t="n">
        <f aca="false">B85/(B58+B57)</f>
        <v>394.288065180786</v>
      </c>
      <c r="F85" s="67"/>
      <c r="G85" s="291" t="s">
        <v>124</v>
      </c>
      <c r="H85" s="135" t="n">
        <f aca="false">((H83*H29)+H81)*1.2</f>
        <v>719.770346508293</v>
      </c>
      <c r="I85" s="219"/>
      <c r="J85" s="219"/>
      <c r="K85" s="220"/>
      <c r="L85" s="67"/>
      <c r="M85" s="291" t="s">
        <v>124</v>
      </c>
      <c r="N85" s="135" t="n">
        <f aca="false">((N83*H29)+N81)</f>
        <v>256.058622090244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100.202291675633</v>
      </c>
      <c r="C86" s="479" t="s">
        <v>241</v>
      </c>
      <c r="D86" s="219"/>
      <c r="E86" s="472" t="n">
        <f aca="false">B86/(B58+B57)</f>
        <v>2.78339699098982</v>
      </c>
      <c r="F86" s="67"/>
      <c r="G86" s="218" t="s">
        <v>125</v>
      </c>
      <c r="H86" s="304" t="n">
        <f aca="false">((((H83*H29)+H81))/(1-H70))*H70</f>
        <v>5.08107344247484</v>
      </c>
      <c r="I86" s="219"/>
      <c r="J86" s="219"/>
      <c r="K86" s="220"/>
      <c r="L86" s="67"/>
      <c r="M86" s="218" t="s">
        <v>125</v>
      </c>
      <c r="N86" s="304" t="n">
        <f aca="false">(N85/(1-N70))*N70</f>
        <v>2.16911297454422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14294.5726381839</v>
      </c>
      <c r="C87" s="479"/>
      <c r="D87" s="481"/>
      <c r="E87" s="472" t="n">
        <f aca="false">E86+E85</f>
        <v>397.071462171776</v>
      </c>
      <c r="F87" s="67"/>
      <c r="G87" s="288" t="s">
        <v>126</v>
      </c>
      <c r="H87" s="137" t="n">
        <f aca="false">IF(H110="YES",((H85+H86)-K114),(H85+H86))</f>
        <v>724.851419950768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258.227735064788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IF(B99=Y98,(I32+(I32*B105))/(B58),(I32+(I32*B105))/(B57+B58))*(C45/100)*1.2</f>
        <v>78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210.731707317073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175.609756097561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397.071462171776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17.6793029256285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6.29823744060459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475.071462171776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228.411010242702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181.907993538166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239.99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(E118)+E117-E114</f>
        <v>1239.99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17.6793029256285</v>
      </c>
      <c r="H127" s="181" t="n">
        <f aca="false">IF(G105="YES",H89*H57,0)</f>
        <v>1264.39024390244</v>
      </c>
      <c r="I127" s="181"/>
      <c r="J127" s="338" t="n">
        <f aca="false">H91</f>
        <v>228.411010242702</v>
      </c>
      <c r="K127" s="220"/>
      <c r="L127" s="67"/>
      <c r="M127" s="337" t="n">
        <f aca="false">N90</f>
        <v>6.29823744060459</v>
      </c>
      <c r="N127" s="181" t="n">
        <f aca="false">IF(M105="YES",N89*N57,0)</f>
        <v>1053.65853658537</v>
      </c>
      <c r="O127" s="181"/>
      <c r="P127" s="181" t="n">
        <f aca="false">N91</f>
        <v>181.907993538166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397.071462171776</v>
      </c>
      <c r="B128" s="325" t="n">
        <f aca="false">IF(A105="YES",B89,0)</f>
        <v>78</v>
      </c>
      <c r="C128" s="329"/>
      <c r="D128" s="325" t="n">
        <f aca="false">B91</f>
        <v>475.071462171776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397.071462171776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106.075817553771</v>
      </c>
      <c r="H133" s="107" t="n">
        <f aca="false">IF(G105="YES",H89*H57,0)</f>
        <v>1264.39024390244</v>
      </c>
      <c r="I133" s="225"/>
      <c r="J133" s="188" t="n">
        <f aca="false">H91*H57</f>
        <v>1370.46606145621</v>
      </c>
      <c r="K133" s="220"/>
      <c r="L133" s="67"/>
      <c r="M133" s="189" t="n">
        <f aca="false">N90*N57</f>
        <v>37.7894246436276</v>
      </c>
      <c r="N133" s="107" t="n">
        <f aca="false">IF(M105="YES",N89*N57,0)</f>
        <v>1053.65853658537</v>
      </c>
      <c r="O133" s="225"/>
      <c r="P133" s="188" t="n">
        <f aca="false">N91*N57</f>
        <v>1091.44796122899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475.071462171776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397.071462171776</v>
      </c>
      <c r="B137" s="42" t="n">
        <f aca="false">IF(A105="YES",B89,0)</f>
        <v>78</v>
      </c>
      <c r="C137" s="321"/>
      <c r="D137" s="42" t="n">
        <f aca="false">B91</f>
        <v>475.071462171776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(B61*0.000006)*1.2*100</f>
        <v>29.17872</v>
      </c>
      <c r="B140" s="347" t="n">
        <f aca="false">IF(A105="YES",B61*0.000002,0)*1.2*100</f>
        <v>9.72624</v>
      </c>
      <c r="C140" s="348"/>
      <c r="D140" s="347" t="n">
        <f aca="false">A140+B140</f>
        <v>38.90496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E118/1.2-100</f>
        <v>99.9916666666667</v>
      </c>
      <c r="B151" s="42" t="n">
        <f aca="false">(A148+B148+D148+A151)*(A143/B64)</f>
        <v>0</v>
      </c>
      <c r="C151" s="42"/>
      <c r="D151" s="42" t="n">
        <f aca="false">(A148+B148+D148+A151)-B151</f>
        <v>554.001666666667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228.411010242702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181.907993538166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475.071462171776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397.071462171776</v>
      </c>
      <c r="B177" s="362" t="n">
        <f aca="false">IF(A105="YES",B89,0)</f>
        <v>78</v>
      </c>
      <c r="C177" s="364"/>
      <c r="D177" s="362" t="n">
        <f aca="false">B91</f>
        <v>475.071462171776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397.071462171776</v>
      </c>
      <c r="C180" s="360"/>
      <c r="D180" s="107" t="n">
        <f aca="false">IF(A105="YES",B89*B57,0)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475.071462171776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397.071462171776</v>
      </c>
      <c r="B186" s="107" t="n">
        <f aca="false">IF(A105="YES",B89,0)</f>
        <v>78</v>
      </c>
      <c r="C186" s="360"/>
      <c r="D186" s="107" t="n">
        <f aca="false">B91</f>
        <v>475.071462171776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29.17872</v>
      </c>
      <c r="B189" s="372" t="n">
        <f aca="false">B140</f>
        <v>9.72624</v>
      </c>
      <c r="C189" s="373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239.99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E118/1.2-100</f>
        <v>99.9916666666667</v>
      </c>
      <c r="B200" s="107" t="n">
        <f aca="false">(A148+B148+D148+A151)*(A143/B64)</f>
        <v>0</v>
      </c>
      <c r="C200" s="107"/>
      <c r="D200" s="107" t="n">
        <f aca="false">(A148+B148+D148+A151)-B151</f>
        <v>554.001666666667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0.07</v>
      </c>
      <c r="C209" s="325" t="s">
        <v>226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879.991666666667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10879.9816666667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10000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10879.9816666667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100.202291675633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15541.67</v>
      </c>
      <c r="C2" s="9" t="s">
        <v>12</v>
      </c>
      <c r="D2" s="10" t="n">
        <f aca="false">C9</f>
        <v>3108.334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18650.004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15541.67</v>
      </c>
      <c r="C9" s="14" t="n">
        <f aca="false">B9*0.2</f>
        <v>3108.334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15541.67</v>
      </c>
      <c r="C15" s="14" t="n">
        <f aca="false">SUM(C9:C13)</f>
        <v>3108.334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18650.004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15541.67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 t="n">
        <v>35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357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 t="n">
        <v>35000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80000</v>
      </c>
      <c r="I31" s="67"/>
      <c r="J31" s="67"/>
      <c r="K31" s="67" t="n">
        <v>80000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6000</v>
      </c>
      <c r="J32" s="67"/>
      <c r="K32" s="67" t="n">
        <v>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31.9112069833684</v>
      </c>
      <c r="E33" s="220"/>
      <c r="F33" s="67"/>
      <c r="G33" s="223" t="s">
        <v>365</v>
      </c>
      <c r="H33" s="466" t="n">
        <f aca="false">E21-E11</f>
        <v>15541.67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-18.0887930166316</v>
      </c>
      <c r="B36" s="107" t="n">
        <f aca="false">IF(B26="YES",H42,"")</f>
        <v>50</v>
      </c>
      <c r="C36" s="225"/>
      <c r="D36" s="188" t="n">
        <f aca="false">H31</f>
        <v>80000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15541.67</v>
      </c>
      <c r="I39" s="242" t="n">
        <f aca="false">(I48*H46)+H44</f>
        <v>59849.2290617109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24000</v>
      </c>
      <c r="B40" s="111" t="n">
        <f aca="false">IF(B26="YES",H42,"0")</f>
        <v>50</v>
      </c>
      <c r="C40" s="111"/>
      <c r="D40" s="188" t="n">
        <f aca="false">I32</f>
        <v>6000</v>
      </c>
      <c r="E40" s="220"/>
      <c r="F40" s="67"/>
      <c r="G40" s="67" t="s">
        <v>116</v>
      </c>
      <c r="H40" s="242" t="n">
        <f aca="false">A40/1.2</f>
        <v>20000</v>
      </c>
      <c r="I40" s="242" t="n">
        <f aca="false">H39-I39</f>
        <v>-44307.5590617109</v>
      </c>
      <c r="J40" s="67" t="n">
        <v>0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16127.5020520061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30</v>
      </c>
      <c r="B45" s="219"/>
      <c r="C45" s="469" t="n">
        <v>30</v>
      </c>
      <c r="D45" s="469"/>
      <c r="E45" s="220"/>
      <c r="F45" s="67"/>
      <c r="G45" s="67" t="s">
        <v>383</v>
      </c>
      <c r="H45" s="242" t="n">
        <f aca="false">(H39-H44)</f>
        <v>-585.832052006092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-18.0887930166316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31.9112069833684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31.9112069833684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385</v>
      </c>
      <c r="B60" s="219" t="n">
        <f aca="false">E19</f>
        <v>18650.004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40526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277.777777777778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200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200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238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275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847.916666666667</v>
      </c>
      <c r="C76" s="219"/>
      <c r="D76" s="294" t="n">
        <f aca="false">B76</f>
        <v>847.916666666667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45.2199074074074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12294.5833333333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341.516203703704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-18.0887930166316</v>
      </c>
      <c r="C83" s="479"/>
      <c r="D83" s="219"/>
      <c r="E83" s="472" t="n">
        <f aca="false">B83+E80+E77+E64</f>
        <v>317.254571180899</v>
      </c>
      <c r="F83" s="67"/>
      <c r="G83" s="309" t="s">
        <v>114</v>
      </c>
      <c r="H83" s="310" t="n">
        <f aca="false">H47</f>
        <v>-18.0887930166316</v>
      </c>
      <c r="I83" s="219"/>
      <c r="J83" s="219"/>
      <c r="K83" s="220"/>
      <c r="L83" s="67"/>
      <c r="M83" s="309" t="s">
        <v>114</v>
      </c>
      <c r="N83" s="310" t="n">
        <f aca="false">H47</f>
        <v>-18.0887930166316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11643.3867847346</v>
      </c>
      <c r="C85" s="479"/>
      <c r="D85" s="479"/>
      <c r="E85" s="472" t="n">
        <f aca="false">B85/(B58+B57)</f>
        <v>323.427410687072</v>
      </c>
      <c r="F85" s="67"/>
      <c r="G85" s="291" t="s">
        <v>124</v>
      </c>
      <c r="H85" s="135" t="n">
        <f aca="false">((H83*H29)+H81)*1.2</f>
        <v>497.464141681513</v>
      </c>
      <c r="I85" s="219"/>
      <c r="J85" s="219"/>
      <c r="K85" s="220"/>
      <c r="L85" s="67"/>
      <c r="M85" s="291" t="s">
        <v>124</v>
      </c>
      <c r="N85" s="135" t="n">
        <f aca="false">((N83*H29)+N81)</f>
        <v>70.8034514012609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98.6329659053758</v>
      </c>
      <c r="C86" s="479" t="s">
        <v>241</v>
      </c>
      <c r="D86" s="219"/>
      <c r="E86" s="472" t="n">
        <f aca="false">B86/(B58+B57)</f>
        <v>2.73980460848266</v>
      </c>
      <c r="F86" s="67"/>
      <c r="G86" s="218" t="s">
        <v>125</v>
      </c>
      <c r="H86" s="304" t="n">
        <f aca="false">((((H83*H29)+H81))/(1-H70))*H70</f>
        <v>3.51174767221722</v>
      </c>
      <c r="I86" s="219"/>
      <c r="J86" s="219"/>
      <c r="K86" s="220"/>
      <c r="L86" s="67"/>
      <c r="M86" s="218" t="s">
        <v>125</v>
      </c>
      <c r="N86" s="304" t="n">
        <f aca="false">(N85/(1-N70))*N70</f>
        <v>0.599787204286599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11742.01975064</v>
      </c>
      <c r="C87" s="479"/>
      <c r="D87" s="481"/>
      <c r="E87" s="472" t="n">
        <f aca="false">E86+E85</f>
        <v>326.167215295555</v>
      </c>
      <c r="F87" s="67"/>
      <c r="G87" s="288" t="s">
        <v>126</v>
      </c>
      <c r="H87" s="137" t="n">
        <f aca="false">IF(H110="YES",((H85+H86)-K114),(H85+H86))</f>
        <v>500.97588935373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71.4032386055475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65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210.731707317073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175.609756097561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326.167215295555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12.2189241305788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1.74154240501335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391.167215295555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222.950631447652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177.351298502574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12.2189241305788</v>
      </c>
      <c r="H127" s="181" t="n">
        <f aca="false">IF(G105="YES",H89*H57,0)</f>
        <v>1264.39024390244</v>
      </c>
      <c r="I127" s="181"/>
      <c r="J127" s="338" t="n">
        <f aca="false">H91</f>
        <v>222.950631447652</v>
      </c>
      <c r="K127" s="220"/>
      <c r="L127" s="67"/>
      <c r="M127" s="337" t="n">
        <f aca="false">N90</f>
        <v>1.74154240501335</v>
      </c>
      <c r="N127" s="181" t="n">
        <f aca="false">IF(M105="YES",N89*N57,0)</f>
        <v>1053.65853658537</v>
      </c>
      <c r="O127" s="181"/>
      <c r="P127" s="181" t="n">
        <f aca="false">N91</f>
        <v>177.351298502574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326.167215295555</v>
      </c>
      <c r="B128" s="325" t="n">
        <f aca="false">IF(A105="YES",B89,0)</f>
        <v>65</v>
      </c>
      <c r="C128" s="329"/>
      <c r="D128" s="325" t="n">
        <f aca="false">B91</f>
        <v>391.167215295555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326.167215295555</v>
      </c>
      <c r="C131" s="321"/>
      <c r="D131" s="42" t="n">
        <f aca="false">IF(A105="YES",B89*B57,0)</f>
        <v>65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73.3135447834727</v>
      </c>
      <c r="H133" s="107" t="n">
        <f aca="false">IF(G105="YES",H89*H57,0)</f>
        <v>1264.39024390244</v>
      </c>
      <c r="I133" s="225"/>
      <c r="J133" s="188" t="n">
        <f aca="false">H91*H57</f>
        <v>1337.70378868591</v>
      </c>
      <c r="K133" s="220"/>
      <c r="L133" s="67"/>
      <c r="M133" s="189" t="n">
        <f aca="false">N90*N57</f>
        <v>10.4492544300801</v>
      </c>
      <c r="N133" s="107" t="n">
        <f aca="false">IF(M105="YES",N89*N57,0)</f>
        <v>1053.65853658537</v>
      </c>
      <c r="O133" s="225"/>
      <c r="P133" s="188" t="n">
        <f aca="false">N91*N57</f>
        <v>1064.10779101545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391.167215295555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326.167215295555</v>
      </c>
      <c r="B137" s="42" t="n">
        <f aca="false">IF(A105="YES",B89,0)</f>
        <v>65</v>
      </c>
      <c r="C137" s="321"/>
      <c r="D137" s="42" t="n">
        <f aca="false">B91</f>
        <v>391.167215295555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24.3156</v>
      </c>
      <c r="B140" s="347" t="n">
        <f aca="false">IF(A105="YES",B61*0.000002,0)*100</f>
        <v>8.1052</v>
      </c>
      <c r="C140" s="348"/>
      <c r="D140" s="347" t="n">
        <f aca="false">A140+B140</f>
        <v>32.4208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200</v>
      </c>
      <c r="B148" s="107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753.99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222.950631447652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177.351298502574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391.167215295555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326.167215295555</v>
      </c>
      <c r="B177" s="362" t="n">
        <f aca="false">IF(A105="YES",B89,0)</f>
        <v>65</v>
      </c>
      <c r="C177" s="364"/>
      <c r="D177" s="362" t="n">
        <f aca="false">B91</f>
        <v>391.167215295555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326.167215295555</v>
      </c>
      <c r="C180" s="360"/>
      <c r="D180" s="107" t="n">
        <f aca="false">IF(A105="YES",B89*B57,0)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391.167215295555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326.167215295555</v>
      </c>
      <c r="B186" s="107" t="n">
        <f aca="false">IF(A105="YES",B89,0)</f>
        <v>65</v>
      </c>
      <c r="C186" s="360"/>
      <c r="D186" s="107" t="n">
        <f aca="false">B91</f>
        <v>391.167215295555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24.3156</v>
      </c>
      <c r="B189" s="372" t="n">
        <f aca="false">B140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200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753.99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0.07</v>
      </c>
      <c r="C209" s="325" t="s">
        <v>226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200</v>
      </c>
      <c r="C211" s="324" t="s">
        <v>228</v>
      </c>
      <c r="D211" s="379" t="n">
        <f aca="false">B225+E221+B221+B223</f>
        <v>879.99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10679.99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10000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200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10679.99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98.6329659053758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0" colorId="64" zoomScale="95" zoomScaleNormal="95" zoomScalePageLayoutView="100" workbookViewId="0">
      <selection pane="topLeft" activeCell="E188" activeCellId="0" sqref="E188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2" customWidth="true" hidden="false" style="6" width="18.88" collapsed="false" outlineLevel="0"/>
    <col min="13" max="13" customWidth="true" hidden="false" style="6" width="22.47" collapsed="false" outlineLevel="0"/>
    <col min="14" max="14" customWidth="true" hidden="false" style="6" width="20.93" collapsed="false" outlineLevel="0"/>
    <col min="15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18125.0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str">
        <f aca="false">A46</f>
        <v>50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411</v>
      </c>
      <c r="B34" s="36"/>
      <c r="C34" s="45" t="s">
        <v>415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s">
        <v>6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21600</v>
      </c>
      <c r="B37" s="36"/>
      <c r="C37" s="45" t="s">
        <v>416</v>
      </c>
      <c r="D37" s="45"/>
      <c r="E37" s="36"/>
      <c r="F37" s="47" t="n">
        <f aca="false">A37-C37</f>
        <v>20600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411</v>
      </c>
      <c r="B40" s="36"/>
      <c r="C40" s="58" t="n">
        <f aca="false">A34-1</f>
        <v>11</v>
      </c>
      <c r="D40" s="58"/>
      <c r="E40" s="36"/>
      <c r="F40" s="45" t="s">
        <v>409</v>
      </c>
      <c r="G40" s="45"/>
      <c r="H40" s="51"/>
      <c r="J40" s="7" t="s">
        <v>67</v>
      </c>
      <c r="K40" s="7" t="n">
        <f aca="false">C15</f>
        <v>3600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str">
        <f aca="false">IF(F43="Yes",A46,0)</f>
        <v>50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6000.0</v>
      </c>
      <c r="B43" s="36"/>
      <c r="C43" s="45" t="n">
        <v>20.0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216.666666666667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333.333333333333</v>
      </c>
      <c r="L45" s="7"/>
    </row>
    <row r="46" customFormat="false" ht="19.5" hidden="false" customHeight="false" outlineLevel="0" collapsed="false">
      <c r="A46" s="44" t="n">
        <v>0.0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336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286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418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600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336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10.0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37404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37404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37404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37404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0.072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16269.2033287732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0.02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124.75002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1870.2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187.02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0.0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0.0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0.0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0.0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0.0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0.0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336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336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336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20600</v>
      </c>
      <c r="C90" s="36"/>
      <c r="D90" s="36"/>
      <c r="E90" s="27"/>
      <c r="F90" s="29" t="s">
        <v>115</v>
      </c>
      <c r="G90" s="31" t="n">
        <f aca="false">F37</f>
        <v>20600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5295.78483323301</v>
      </c>
      <c r="C95" s="36"/>
      <c r="D95" s="36"/>
      <c r="E95" s="27"/>
      <c r="F95" s="35" t="s">
        <v>120</v>
      </c>
      <c r="G95" s="37" t="n">
        <f aca="false">(G91/((1+G93)^(G94+1)))</f>
        <v>5623.39108453416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15304.215166767</v>
      </c>
      <c r="C97" s="36"/>
      <c r="D97" s="36"/>
      <c r="E97" s="27"/>
      <c r="F97" s="35" t="s">
        <v>122</v>
      </c>
      <c r="G97" s="37" t="n">
        <f aca="false">G90-G95</f>
        <v>14976.6089154658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1480.10939352484</v>
      </c>
      <c r="C98" s="36"/>
      <c r="D98" s="36"/>
      <c r="E98" s="27"/>
      <c r="F98" s="35" t="s">
        <v>123</v>
      </c>
      <c r="G98" s="37" t="n">
        <f aca="false">(G97/G96)</f>
        <v>1406.1573423423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16281.2033287732</v>
      </c>
      <c r="C99" s="36"/>
      <c r="D99" s="36"/>
      <c r="E99" s="27"/>
      <c r="F99" s="35" t="s">
        <v>124</v>
      </c>
      <c r="G99" s="37" t="n">
        <f aca="false">((G98*(G94))+G86)</f>
        <v>15467.7307657653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16281.2033287732</v>
      </c>
      <c r="C101" s="36"/>
      <c r="D101" s="36"/>
      <c r="E101" s="27"/>
      <c r="F101" s="60" t="s">
        <v>126</v>
      </c>
      <c r="G101" s="69" t="n">
        <f aca="false">(G99+G100)</f>
        <v>15467.7307657653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((A46*A34)+((A46*A34)*A117))/(B68)*1.2</f>
        <v>85.0909090909091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1480.10939352484</v>
      </c>
      <c r="C104" s="36"/>
      <c r="D104" s="36"/>
      <c r="E104" s="27"/>
      <c r="F104" s="99" t="s">
        <v>128</v>
      </c>
      <c r="G104" s="100" t="n">
        <f aca="false">G101/(G94)</f>
        <v>1406.1573423423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1565.20030261575</v>
      </c>
      <c r="C105" s="36"/>
      <c r="D105" s="36"/>
      <c r="E105" s="27" t="s">
        <v>400</v>
      </c>
      <c r="F105" s="101" t="s">
        <v>129</v>
      </c>
      <c r="G105" s="102" t="n">
        <f aca="false">G103+G104</f>
        <v>1406.1573423423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n">
        <v>0.0</v>
      </c>
      <c r="C108" s="27"/>
      <c r="D108" s="27" t="n">
        <v>0.0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400</v>
      </c>
      <c r="B111" s="32" t="n">
        <v>0.0</v>
      </c>
      <c r="C111" s="32"/>
      <c r="D111" s="32"/>
      <c r="E111" s="32" t="n">
        <v>0.0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138</v>
      </c>
      <c r="C114" s="107"/>
      <c r="D114" s="107"/>
      <c r="E114" s="108" t="s">
        <v>404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400</v>
      </c>
      <c r="B120" s="111" t="n">
        <v>0.0</v>
      </c>
      <c r="C120" s="111"/>
      <c r="D120" s="111"/>
      <c r="E120" s="111" t="n">
        <v>0.0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407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21600</v>
      </c>
      <c r="C130" s="125" t="n">
        <v>20000.0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21600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21600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21600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21600</v>
      </c>
      <c r="C134" s="137" t="n">
        <f aca="false">C130-C133</f>
        <v>19791.67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18000</v>
      </c>
      <c r="H144" s="157" t="n">
        <f aca="false">C134+E134+G134+H137</f>
        <v>19791.67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3600</v>
      </c>
      <c r="H146" s="37" t="n">
        <f aca="false">(H144+H145)*20%</f>
        <v>3958.334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21600</v>
      </c>
      <c r="H150" s="161" t="n">
        <f aca="false">(H144+H145+H148+H149+H146)-H147</f>
        <v>23750.004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0.0</v>
      </c>
      <c r="F152" s="115"/>
      <c r="G152" s="37" t="n">
        <v>0.0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0.0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21600</v>
      </c>
      <c r="H156" s="168" t="n">
        <f aca="false">H150-((H153*1.2)+(H154*1.2)+(H155*1.2)+(H151*1.2))</f>
        <v>23750.004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1791.67</v>
      </c>
      <c r="I157" s="6" t="n">
        <f aca="false">(H157-G90)/1.2</f>
        <v>-15673.6083333333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0.0</v>
      </c>
      <c r="F161" s="111"/>
      <c r="G161" s="111" t="n">
        <v>0.0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0.0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7.35" hidden="false" customHeight="false" outlineLevel="0" collapsed="false">
      <c r="A165" s="29" t="s">
        <v>188</v>
      </c>
      <c r="B165" s="30"/>
      <c r="C165" s="30"/>
      <c r="D165" s="79"/>
      <c r="E165" s="30"/>
      <c r="F165" s="79"/>
      <c r="G165" s="172" t="s">
        <v>6</v>
      </c>
      <c r="H165" s="44" t="n">
        <v>0.0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189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189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189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189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21" hidden="false" customHeight="false" outlineLevel="0" collapsed="false">
      <c r="A167" s="173" t="s">
        <v>190</v>
      </c>
      <c r="B167" s="36"/>
      <c r="C167" s="36"/>
      <c r="D167" s="27"/>
      <c r="E167" s="36"/>
      <c r="F167" s="27"/>
      <c r="G167" s="174" t="n">
        <f aca="false">H156-G163-G166+H165</f>
        <v>24950.004</v>
      </c>
      <c r="H167" s="174"/>
      <c r="J167" s="173" t="s">
        <v>190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190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190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239.99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6000.0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191</v>
      </c>
      <c r="B171" s="32"/>
      <c r="C171" s="32"/>
      <c r="D171" s="32"/>
      <c r="E171" s="32"/>
      <c r="F171" s="32"/>
      <c r="G171" s="32"/>
      <c r="H171" s="32"/>
      <c r="J171" s="32" t="s">
        <v>191</v>
      </c>
      <c r="K171" s="32"/>
      <c r="L171" s="32"/>
      <c r="M171" s="32"/>
      <c r="N171" s="32"/>
      <c r="O171" s="32"/>
      <c r="P171" s="32"/>
      <c r="Q171" s="32"/>
      <c r="S171" s="32" t="s">
        <v>191</v>
      </c>
      <c r="T171" s="32"/>
      <c r="U171" s="32"/>
      <c r="V171" s="32"/>
      <c r="W171" s="32"/>
      <c r="X171" s="32"/>
      <c r="Y171" s="32"/>
      <c r="Z171" s="32"/>
      <c r="AB171" s="32" t="s">
        <v>191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192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192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192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192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193</v>
      </c>
      <c r="B175" s="178" t="s">
        <v>194</v>
      </c>
      <c r="C175" s="178"/>
      <c r="D175" s="178"/>
      <c r="E175" s="178" t="s">
        <v>195</v>
      </c>
      <c r="F175" s="27"/>
      <c r="G175" s="27" t="s">
        <v>196</v>
      </c>
      <c r="H175" s="37"/>
      <c r="J175" s="177" t="s">
        <v>193</v>
      </c>
      <c r="K175" s="179" t="s">
        <v>194</v>
      </c>
      <c r="L175" s="179"/>
      <c r="M175" s="179"/>
      <c r="N175" s="179" t="s">
        <v>195</v>
      </c>
      <c r="O175" s="27"/>
      <c r="P175" s="27"/>
      <c r="Q175" s="37"/>
      <c r="S175" s="177" t="s">
        <v>193</v>
      </c>
      <c r="T175" s="179" t="s">
        <v>194</v>
      </c>
      <c r="U175" s="179"/>
      <c r="V175" s="179"/>
      <c r="W175" s="179" t="s">
        <v>195</v>
      </c>
      <c r="X175" s="27"/>
      <c r="Y175" s="27"/>
      <c r="Z175" s="37"/>
      <c r="AB175" s="177" t="s">
        <v>193</v>
      </c>
      <c r="AC175" s="179" t="s">
        <v>194</v>
      </c>
      <c r="AD175" s="179"/>
      <c r="AE175" s="179"/>
      <c r="AF175" s="179" t="s">
        <v>195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1480.10939352484</v>
      </c>
      <c r="B176" s="181" t="n">
        <f aca="false">B103</f>
        <v>85.0909090909091</v>
      </c>
      <c r="C176" s="178"/>
      <c r="D176" s="178"/>
      <c r="E176" s="181" t="n">
        <f aca="false">B105</f>
        <v>1565.20030261575</v>
      </c>
      <c r="F176" s="27"/>
      <c r="G176" s="27" t="n">
        <f aca="false">ROUND(G104,2)</f>
        <v>1406.16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197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197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197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197</v>
      </c>
      <c r="AG178" s="27"/>
      <c r="AH178" s="27"/>
      <c r="AI178" s="37"/>
    </row>
    <row r="179" customFormat="false" ht="18.75" hidden="false" customHeight="false" outlineLevel="0" collapsed="false">
      <c r="A179" s="183" t="n">
        <f aca="false">B38</f>
        <v>0</v>
      </c>
      <c r="B179" s="184" t="n">
        <f aca="false">B39</f>
        <v>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198</v>
      </c>
      <c r="B181" s="97" t="s">
        <v>199</v>
      </c>
      <c r="C181" s="97"/>
      <c r="D181" s="27"/>
      <c r="E181" s="97" t="s">
        <v>200</v>
      </c>
      <c r="F181" s="27"/>
      <c r="G181" s="27"/>
      <c r="H181" s="37"/>
      <c r="J181" s="35" t="s">
        <v>198</v>
      </c>
      <c r="K181" s="36" t="s">
        <v>199</v>
      </c>
      <c r="L181" s="36"/>
      <c r="M181" s="27"/>
      <c r="N181" s="36" t="s">
        <v>200</v>
      </c>
      <c r="O181" s="27"/>
      <c r="P181" s="27"/>
      <c r="Q181" s="37"/>
      <c r="S181" s="35" t="s">
        <v>198</v>
      </c>
      <c r="T181" s="36" t="s">
        <v>199</v>
      </c>
      <c r="U181" s="36"/>
      <c r="V181" s="27"/>
      <c r="W181" s="36" t="s">
        <v>200</v>
      </c>
      <c r="X181" s="27"/>
      <c r="Y181" s="27"/>
      <c r="Z181" s="37"/>
      <c r="AB181" s="35" t="s">
        <v>198</v>
      </c>
      <c r="AC181" s="36" t="s">
        <v>199</v>
      </c>
      <c r="AD181" s="36"/>
      <c r="AE181" s="27"/>
      <c r="AF181" s="36" t="s">
        <v>200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19791.67</v>
      </c>
      <c r="B182" s="107" t="n">
        <f aca="false">H146</f>
        <v>3958.334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201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201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201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201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23750.004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190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190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190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190</v>
      </c>
      <c r="AG187" s="27"/>
      <c r="AH187" s="27"/>
      <c r="AI187" s="37"/>
    </row>
    <row r="188" customFormat="false" ht="17.3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G167</f>
        <v>24950.004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202</v>
      </c>
      <c r="B190" s="97" t="s">
        <v>62</v>
      </c>
      <c r="C190" s="97"/>
      <c r="D190" s="27"/>
      <c r="E190" s="97" t="s">
        <v>203</v>
      </c>
      <c r="F190" s="27"/>
      <c r="G190" s="27"/>
      <c r="H190" s="37"/>
      <c r="J190" s="35" t="s">
        <v>202</v>
      </c>
      <c r="K190" s="36" t="s">
        <v>62</v>
      </c>
      <c r="L190" s="36"/>
      <c r="M190" s="27"/>
      <c r="N190" s="36" t="s">
        <v>203</v>
      </c>
      <c r="O190" s="27"/>
      <c r="P190" s="27"/>
      <c r="Q190" s="37"/>
      <c r="S190" s="35" t="s">
        <v>202</v>
      </c>
      <c r="T190" s="36" t="s">
        <v>62</v>
      </c>
      <c r="U190" s="36"/>
      <c r="V190" s="27"/>
      <c r="W190" s="36" t="s">
        <v>203</v>
      </c>
      <c r="X190" s="27"/>
      <c r="Y190" s="27"/>
      <c r="Z190" s="37"/>
      <c r="AB190" s="35" t="s">
        <v>202</v>
      </c>
      <c r="AC190" s="36" t="s">
        <v>62</v>
      </c>
      <c r="AD190" s="36"/>
      <c r="AE190" s="27"/>
      <c r="AF190" s="36" t="s">
        <v>203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-2668.80067122677</v>
      </c>
      <c r="B191" s="107" t="str">
        <f aca="false">B123</f>
        <v>239.99</v>
      </c>
      <c r="C191" s="107"/>
      <c r="D191" s="27"/>
      <c r="E191" s="107" t="n">
        <f aca="false">E188+A191+B191+A194</f>
        <v>22531.1933287732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204</v>
      </c>
      <c r="B193" s="97" t="s">
        <v>205</v>
      </c>
      <c r="C193" s="97"/>
      <c r="D193" s="27"/>
      <c r="E193" s="97" t="s">
        <v>206</v>
      </c>
      <c r="F193" s="27"/>
      <c r="G193" s="27"/>
      <c r="H193" s="37"/>
      <c r="J193" s="35" t="s">
        <v>204</v>
      </c>
      <c r="K193" s="36" t="s">
        <v>205</v>
      </c>
      <c r="L193" s="36"/>
      <c r="M193" s="27"/>
      <c r="N193" s="36" t="s">
        <v>206</v>
      </c>
      <c r="O193" s="27"/>
      <c r="P193" s="27"/>
      <c r="Q193" s="37"/>
      <c r="S193" s="35" t="s">
        <v>204</v>
      </c>
      <c r="T193" s="36" t="s">
        <v>205</v>
      </c>
      <c r="U193" s="36"/>
      <c r="V193" s="27"/>
      <c r="W193" s="36" t="s">
        <v>206</v>
      </c>
      <c r="X193" s="27"/>
      <c r="Y193" s="27"/>
      <c r="Z193" s="37"/>
      <c r="AB193" s="35" t="s">
        <v>204</v>
      </c>
      <c r="AC193" s="36" t="s">
        <v>205</v>
      </c>
      <c r="AD193" s="36"/>
      <c r="AE193" s="27"/>
      <c r="AF193" s="36" t="s">
        <v>206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</f>
        <v>239.99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207</v>
      </c>
      <c r="B196" s="97" t="s">
        <v>208</v>
      </c>
      <c r="C196" s="97"/>
      <c r="D196" s="97"/>
      <c r="E196" s="170" t="s">
        <v>209</v>
      </c>
      <c r="F196" s="27"/>
      <c r="G196" s="27"/>
      <c r="H196" s="37"/>
      <c r="J196" s="35" t="s">
        <v>207</v>
      </c>
      <c r="K196" s="36" t="s">
        <v>208</v>
      </c>
      <c r="L196" s="36"/>
      <c r="M196" s="36"/>
      <c r="N196" s="43" t="s">
        <v>209</v>
      </c>
      <c r="O196" s="27"/>
      <c r="P196" s="27"/>
      <c r="Q196" s="37"/>
      <c r="S196" s="35" t="s">
        <v>207</v>
      </c>
      <c r="T196" s="36" t="s">
        <v>208</v>
      </c>
      <c r="U196" s="36"/>
      <c r="V196" s="36"/>
      <c r="W196" s="43" t="s">
        <v>209</v>
      </c>
      <c r="X196" s="36"/>
      <c r="Y196" s="36"/>
      <c r="Z196" s="37"/>
      <c r="AB196" s="35" t="s">
        <v>207</v>
      </c>
      <c r="AC196" s="36" t="s">
        <v>208</v>
      </c>
      <c r="AD196" s="36"/>
      <c r="AE196" s="36"/>
      <c r="AF196" s="43" t="s">
        <v>209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J18*0.000002*100*1.2</f>
        <v>8.97696</v>
      </c>
      <c r="B197" s="107" t="n">
        <f aca="false">(G167*B76)/1.2</f>
        <v>103.95835</v>
      </c>
      <c r="C197" s="97"/>
      <c r="D197" s="97"/>
      <c r="E197" s="107" t="n">
        <f aca="false">K55*A117*0.1</f>
        <v>18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210</v>
      </c>
      <c r="B199" s="170" t="s">
        <v>211</v>
      </c>
      <c r="C199" s="97"/>
      <c r="D199" s="97"/>
      <c r="E199" s="170" t="s">
        <v>212</v>
      </c>
      <c r="F199" s="27"/>
      <c r="G199" s="27"/>
      <c r="H199" s="37"/>
      <c r="J199" s="64" t="s">
        <v>210</v>
      </c>
      <c r="K199" s="43" t="s">
        <v>211</v>
      </c>
      <c r="L199" s="36"/>
      <c r="M199" s="36"/>
      <c r="N199" s="43" t="s">
        <v>212</v>
      </c>
      <c r="O199" s="27"/>
      <c r="P199" s="27"/>
      <c r="Q199" s="37"/>
      <c r="S199" s="64" t="s">
        <v>210</v>
      </c>
      <c r="T199" s="43" t="s">
        <v>211</v>
      </c>
      <c r="U199" s="36"/>
      <c r="V199" s="36"/>
      <c r="W199" s="43" t="s">
        <v>212</v>
      </c>
      <c r="X199" s="36"/>
      <c r="Y199" s="36"/>
      <c r="Z199" s="37"/>
      <c r="AB199" s="64" t="s">
        <v>210</v>
      </c>
      <c r="AC199" s="43" t="s">
        <v>211</v>
      </c>
      <c r="AD199" s="36"/>
      <c r="AE199" s="36"/>
      <c r="AF199" s="43" t="s">
        <v>212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(B191/1.2)-100</f>
        <v>99.9916666666667</v>
      </c>
      <c r="B200" s="107" t="n">
        <f aca="false">B197+E197+A200</f>
        <v>221.950016666667</v>
      </c>
      <c r="C200" s="97"/>
      <c r="D200" s="97"/>
      <c r="E200" s="107" t="n">
        <f aca="false">H157</f>
        <v>1791.67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213</v>
      </c>
      <c r="B202" s="97"/>
      <c r="C202" s="97"/>
      <c r="D202" s="71"/>
      <c r="E202" s="71"/>
      <c r="F202" s="71"/>
      <c r="G202" s="71"/>
      <c r="H202" s="72"/>
      <c r="J202" s="70" t="s">
        <v>213</v>
      </c>
      <c r="K202" s="36"/>
      <c r="L202" s="36"/>
      <c r="M202" s="71"/>
      <c r="N202" s="71"/>
      <c r="O202" s="71"/>
      <c r="P202" s="71"/>
      <c r="Q202" s="72"/>
      <c r="S202" s="70" t="s">
        <v>213</v>
      </c>
      <c r="T202" s="36"/>
      <c r="U202" s="36"/>
      <c r="V202" s="71"/>
      <c r="W202" s="71"/>
      <c r="X202" s="71"/>
      <c r="Y202" s="71"/>
      <c r="Z202" s="72"/>
      <c r="AB202" s="70" t="s">
        <v>213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1565.20030261575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214</v>
      </c>
      <c r="B209" s="97" t="s">
        <v>215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-3482.244</v>
      </c>
      <c r="B210" s="190" t="n">
        <f aca="false">E188+A210+B191+A194</f>
        <v>21717.75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191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216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193</v>
      </c>
      <c r="B220" s="196" t="s">
        <v>194</v>
      </c>
      <c r="C220" s="196"/>
      <c r="D220" s="196"/>
      <c r="E220" s="196" t="s">
        <v>195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1480.10939352484</v>
      </c>
      <c r="B221" s="181" t="n">
        <f aca="false">B176</f>
        <v>85.0909090909091</v>
      </c>
      <c r="C221" s="178"/>
      <c r="D221" s="178"/>
      <c r="E221" s="181" t="n">
        <f aca="false">E176</f>
        <v>1565.20030261575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198</v>
      </c>
      <c r="B223" s="97" t="s">
        <v>199</v>
      </c>
      <c r="C223" s="97"/>
      <c r="D223" s="117"/>
      <c r="E223" s="97" t="s">
        <v>200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19791.67</v>
      </c>
      <c r="B224" s="107" t="n">
        <f aca="false">B182</f>
        <v>3958.334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201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23750.004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190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24950.004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202</v>
      </c>
      <c r="B232" s="97" t="s">
        <v>62</v>
      </c>
      <c r="C232" s="97"/>
      <c r="D232" s="117"/>
      <c r="E232" s="97" t="s">
        <v>203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-2668.80067122677</v>
      </c>
      <c r="B233" s="107" t="str">
        <f aca="false">B191</f>
        <v>239.99</v>
      </c>
      <c r="C233" s="107"/>
      <c r="D233" s="117"/>
      <c r="E233" s="107" t="n">
        <f aca="false">E191</f>
        <v>22531.1933287732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204</v>
      </c>
      <c r="B235" s="97" t="s">
        <v>205</v>
      </c>
      <c r="C235" s="97"/>
      <c r="D235" s="117"/>
      <c r="E235" s="97" t="s">
        <v>217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239.99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193</v>
      </c>
      <c r="B238" s="97" t="s">
        <v>194</v>
      </c>
      <c r="C238" s="97"/>
      <c r="D238" s="97"/>
      <c r="E238" s="97" t="s">
        <v>195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1480.10939352484</v>
      </c>
      <c r="B239" s="107" t="n">
        <f aca="false">B176</f>
        <v>85.0909090909091</v>
      </c>
      <c r="C239" s="190"/>
      <c r="D239" s="190"/>
      <c r="E239" s="107" t="n">
        <f aca="false">E176</f>
        <v>1565.20030261575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218</v>
      </c>
      <c r="B241" s="97" t="s">
        <v>219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J18*0.000006*100*1.2</f>
        <v>26.93088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220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8.97696</v>
      </c>
      <c r="B245" s="107" t="n">
        <f aca="false">E242+A245</f>
        <v>35.90784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221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222</v>
      </c>
      <c r="B248" s="97" t="s">
        <v>208</v>
      </c>
      <c r="C248" s="97"/>
      <c r="D248" s="97"/>
      <c r="E248" s="170" t="s">
        <v>209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1791.67</v>
      </c>
      <c r="B249" s="107" t="n">
        <f aca="false">B197</f>
        <v>103.95835</v>
      </c>
      <c r="C249" s="97"/>
      <c r="D249" s="97"/>
      <c r="E249" s="107" t="n">
        <f aca="false">E197</f>
        <v>18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210</v>
      </c>
      <c r="B251" s="170" t="s">
        <v>211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99.9916666666667</v>
      </c>
      <c r="B252" s="107" t="n">
        <f aca="false">B249+E249+A252+A249</f>
        <v>2013.62001666666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223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224</v>
      </c>
      <c r="B262" s="200" t="n">
        <f aca="false">B72</f>
        <v>0.065</v>
      </c>
      <c r="C262" s="201"/>
      <c r="D262" s="202" t="s">
        <v>225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226</v>
      </c>
      <c r="B263" s="203" t="n">
        <f aca="false">(E191-B191)-(B210-B191-A194)</f>
        <v>823.443328773228</v>
      </c>
      <c r="C263" s="201"/>
      <c r="D263" s="202" t="s">
        <v>227</v>
      </c>
      <c r="E263" s="202"/>
      <c r="F263" s="204" t="n">
        <f aca="false">F270+F276+F278+B279+B280</f>
        <v>124.75002</v>
      </c>
      <c r="G263" s="27"/>
      <c r="H263" s="37"/>
    </row>
    <row r="264" customFormat="false" ht="18.75" hidden="false" customHeight="false" outlineLevel="0" collapsed="false">
      <c r="A264" s="195" t="s">
        <v>228</v>
      </c>
      <c r="B264" s="204" t="n">
        <f aca="false">F271+B272</f>
        <v>279.991666666667</v>
      </c>
      <c r="C264" s="201"/>
      <c r="D264" s="202" t="s">
        <v>229</v>
      </c>
      <c r="E264" s="202"/>
      <c r="F264" s="204" t="n">
        <f aca="false">(B263-F263)+B264</f>
        <v>978.684975439895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224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230</v>
      </c>
      <c r="B268" s="209" t="n">
        <f aca="false">B73</f>
        <v>0.05</v>
      </c>
      <c r="C268" s="36"/>
      <c r="D268" s="170" t="s">
        <v>231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225</v>
      </c>
      <c r="B269" s="213" t="n">
        <f aca="false">B92</f>
        <v>0.1255</v>
      </c>
      <c r="C269" s="47"/>
      <c r="D269" s="170" t="s">
        <v>226</v>
      </c>
      <c r="E269" s="170"/>
      <c r="F269" s="150" t="n">
        <f aca="false">B263</f>
        <v>823.443328773228</v>
      </c>
      <c r="G269" s="27"/>
      <c r="H269" s="37"/>
    </row>
    <row r="270" customFormat="false" ht="19.5" hidden="false" customHeight="false" outlineLevel="0" collapsed="false">
      <c r="A270" s="35" t="s">
        <v>232</v>
      </c>
      <c r="B270" s="213" t="n">
        <f aca="false">B76</f>
        <v>0.005</v>
      </c>
      <c r="C270" s="36"/>
      <c r="D270" s="170" t="s">
        <v>232</v>
      </c>
      <c r="E270" s="170"/>
      <c r="F270" s="155" t="n">
        <f aca="false">B77</f>
        <v>124.75002</v>
      </c>
      <c r="G270" s="27"/>
      <c r="H270" s="37"/>
    </row>
    <row r="271" customFormat="false" ht="19.5" hidden="false" customHeight="false" outlineLevel="0" collapsed="false">
      <c r="A271" s="35" t="s">
        <v>233</v>
      </c>
      <c r="B271" s="209" t="n">
        <f aca="false">A117</f>
        <v>0.3</v>
      </c>
      <c r="C271" s="36"/>
      <c r="D271" s="170" t="s">
        <v>233</v>
      </c>
      <c r="E271" s="170"/>
      <c r="F271" s="150" t="n">
        <f aca="false">E249*10</f>
        <v>180</v>
      </c>
      <c r="G271" s="27"/>
      <c r="H271" s="37"/>
    </row>
    <row r="272" customFormat="false" ht="18.75" hidden="false" customHeight="false" outlineLevel="0" collapsed="false">
      <c r="A272" s="35" t="s">
        <v>234</v>
      </c>
      <c r="B272" s="150" t="n">
        <f aca="false">A252</f>
        <v>99.9916666666667</v>
      </c>
      <c r="C272" s="36"/>
      <c r="D272" s="43" t="s">
        <v>229</v>
      </c>
      <c r="E272" s="43"/>
      <c r="F272" s="150" t="n">
        <f aca="false">(B263-F263)+B264</f>
        <v>978.684975439895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235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236</v>
      </c>
      <c r="B275" s="155" t="n">
        <v>0</v>
      </c>
      <c r="C275" s="36"/>
      <c r="D275" s="214" t="s">
        <v>237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238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239</v>
      </c>
      <c r="B277" s="215" t="s">
        <v>6</v>
      </c>
      <c r="C277" s="36"/>
      <c r="D277" s="170" t="s">
        <v>240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241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242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243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3" colorId="64" zoomScale="95" zoomScaleNormal="95" zoomScalePageLayoutView="100" workbookViewId="0">
      <selection pane="topLeft" activeCell="E188" activeCellId="0" sqref="E188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2" customWidth="true" hidden="false" style="6" width="18.88" collapsed="false" outlineLevel="0"/>
    <col min="13" max="13" customWidth="true" hidden="false" style="6" width="24.24" collapsed="false" outlineLevel="0"/>
    <col min="14" max="14" customWidth="true" hidden="false" style="6" width="16.72" collapsed="false" outlineLevel="0"/>
    <col min="15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18125.0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n">
        <f aca="false">A46</f>
        <v>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411</v>
      </c>
      <c r="B34" s="36"/>
      <c r="C34" s="45" t="s">
        <v>415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21600</v>
      </c>
      <c r="B37" s="36"/>
      <c r="C37" s="45" t="s">
        <v>416</v>
      </c>
      <c r="D37" s="45"/>
      <c r="E37" s="36"/>
      <c r="F37" s="47" t="n">
        <f aca="false">A37-C37</f>
        <v>20600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411</v>
      </c>
      <c r="B40" s="36"/>
      <c r="C40" s="58" t="n">
        <f aca="false">A34-1</f>
        <v>11</v>
      </c>
      <c r="D40" s="58"/>
      <c r="E40" s="36"/>
      <c r="F40" s="45" t="s">
        <v>409</v>
      </c>
      <c r="G40" s="45"/>
      <c r="H40" s="51"/>
      <c r="J40" s="7" t="s">
        <v>67</v>
      </c>
      <c r="K40" s="7" t="n">
        <f aca="false">C15</f>
        <v>3600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n">
        <f aca="false">IF(F43="Yes",A46,0)</f>
        <v>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6000.0</v>
      </c>
      <c r="B43" s="36"/>
      <c r="C43" s="45" t="n">
        <v>20.0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216.666666666667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283.333333333333</v>
      </c>
      <c r="L45" s="7"/>
    </row>
    <row r="46" customFormat="false" ht="19.5" hidden="false" customHeight="false" outlineLevel="0" collapsed="false">
      <c r="A46" s="44" t="n">
        <v>0.0</v>
      </c>
      <c r="B46" s="36"/>
      <c r="C46" s="45" t="n">
        <v>1</v>
      </c>
      <c r="D46" s="45"/>
      <c r="E46" s="36"/>
      <c r="F46" s="45" t="n">
        <v>1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2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286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286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418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286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 t="s">
        <v>6</v>
      </c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 t="s">
        <v>6</v>
      </c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 t="s">
        <v>6</v>
      </c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 t="s">
        <v>6</v>
      </c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10.0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37404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37404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37404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37404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16269.2033287732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0.02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124.75002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1870.2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187.02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0.0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0.0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0.0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0.0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0.0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0.0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286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286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286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20600</v>
      </c>
      <c r="C90" s="36"/>
      <c r="D90" s="36"/>
      <c r="E90" s="27"/>
      <c r="F90" s="29" t="s">
        <v>115</v>
      </c>
      <c r="G90" s="31" t="n">
        <f aca="false">F37</f>
        <v>20600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5295.78483323301</v>
      </c>
      <c r="C95" s="36"/>
      <c r="D95" s="36"/>
      <c r="E95" s="27"/>
      <c r="F95" s="35" t="s">
        <v>120</v>
      </c>
      <c r="G95" s="37" t="n">
        <f aca="false">(G91/((1+G93)^(G94+1)))</f>
        <v>5623.39108453416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15304.215166767</v>
      </c>
      <c r="C97" s="36"/>
      <c r="D97" s="36"/>
      <c r="E97" s="27"/>
      <c r="F97" s="35" t="s">
        <v>122</v>
      </c>
      <c r="G97" s="37" t="n">
        <f aca="false">G90-G95</f>
        <v>14976.6089154658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1480.10939352484</v>
      </c>
      <c r="C98" s="36"/>
      <c r="D98" s="36"/>
      <c r="E98" s="27"/>
      <c r="F98" s="35" t="s">
        <v>123</v>
      </c>
      <c r="G98" s="37" t="n">
        <f aca="false">(G97/G96)</f>
        <v>1406.1573423423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16281.2033287732</v>
      </c>
      <c r="C99" s="36"/>
      <c r="D99" s="36"/>
      <c r="E99" s="27"/>
      <c r="F99" s="35" t="s">
        <v>124</v>
      </c>
      <c r="G99" s="37" t="n">
        <f aca="false">((G98*(G94))+G86)</f>
        <v>15467.7307657653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16281.2033287732</v>
      </c>
      <c r="C101" s="36"/>
      <c r="D101" s="36"/>
      <c r="E101" s="27"/>
      <c r="F101" s="60" t="s">
        <v>126</v>
      </c>
      <c r="G101" s="69" t="n">
        <f aca="false">(G99+G100)</f>
        <v>15467.7307657653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</f>
        <v>0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1480.10939352484</v>
      </c>
      <c r="C104" s="36"/>
      <c r="D104" s="36"/>
      <c r="E104" s="27"/>
      <c r="F104" s="99" t="s">
        <v>128</v>
      </c>
      <c r="G104" s="100" t="n">
        <f aca="false">G101/(G94)</f>
        <v>1406.1573423423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1480.10939352484</v>
      </c>
      <c r="C105" s="36"/>
      <c r="D105" s="36"/>
      <c r="E105" s="27" t="s">
        <v>400</v>
      </c>
      <c r="F105" s="101" t="s">
        <v>129</v>
      </c>
      <c r="G105" s="102" t="n">
        <f aca="false">G103+G104</f>
        <v>1406.1573423423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n">
        <v>0.0</v>
      </c>
      <c r="C108" s="27"/>
      <c r="D108" s="27" t="n">
        <v>0.0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400</v>
      </c>
      <c r="B111" s="32" t="n">
        <v>0.0</v>
      </c>
      <c r="C111" s="32"/>
      <c r="D111" s="32"/>
      <c r="E111" s="32" t="n">
        <v>0.0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245</v>
      </c>
      <c r="C114" s="107"/>
      <c r="D114" s="107"/>
      <c r="E114" s="108" t="s">
        <v>404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400</v>
      </c>
      <c r="B120" s="111" t="n">
        <v>0.0</v>
      </c>
      <c r="C120" s="111"/>
      <c r="D120" s="111"/>
      <c r="E120" s="111" t="n">
        <v>0.0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 t="s">
        <v>6</v>
      </c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403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21600</v>
      </c>
      <c r="C130" s="125" t="n">
        <v>20000.0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21600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21600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21600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21600</v>
      </c>
      <c r="C134" s="137" t="n">
        <f aca="false">C130-C133</f>
        <v>19791.67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18000</v>
      </c>
      <c r="H144" s="157" t="n">
        <f aca="false">C134+E134+G134+H137</f>
        <v>19791.67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3600</v>
      </c>
      <c r="H146" s="37" t="n">
        <f aca="false">(H144+H145)*20%</f>
        <v>3958.334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21600</v>
      </c>
      <c r="H150" s="161" t="n">
        <f aca="false">(H144+H145+H148+H149+H146)-H147</f>
        <v>23750.004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0.0</v>
      </c>
      <c r="F152" s="115"/>
      <c r="G152" s="37" t="n">
        <v>0.0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0.0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21600</v>
      </c>
      <c r="H156" s="168" t="n">
        <f aca="false">H150-((H153*1.2)+(H154*1.2)+(H155*1.2)+(H151*1.2))</f>
        <v>23750.004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1791.67</v>
      </c>
      <c r="I157" s="6" t="n">
        <f aca="false">(H157-G90)/1.2</f>
        <v>-15673.6083333333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0.0</v>
      </c>
      <c r="F161" s="111"/>
      <c r="G161" s="111" t="n">
        <v>0.0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0.0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7.35" hidden="false" customHeight="false" outlineLevel="0" collapsed="false">
      <c r="A165" s="29" t="s">
        <v>188</v>
      </c>
      <c r="B165" s="30"/>
      <c r="C165" s="30"/>
      <c r="D165" s="79"/>
      <c r="E165" s="30"/>
      <c r="F165" s="79"/>
      <c r="G165" s="172" t="s">
        <v>6</v>
      </c>
      <c r="H165" s="44" t="n">
        <v>0.0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189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189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189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189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19.7" hidden="false" customHeight="false" outlineLevel="0" collapsed="false">
      <c r="A167" s="173" t="s">
        <v>190</v>
      </c>
      <c r="B167" s="36"/>
      <c r="C167" s="36"/>
      <c r="D167" s="27"/>
      <c r="E167" s="36"/>
      <c r="F167" s="27"/>
      <c r="G167" s="174" t="n">
        <f aca="false">H156-G163-G166+H165</f>
        <v>24950.004</v>
      </c>
      <c r="H167" s="174"/>
      <c r="J167" s="173" t="s">
        <v>190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190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190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199.99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6000.0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191</v>
      </c>
      <c r="B171" s="32"/>
      <c r="C171" s="32"/>
      <c r="D171" s="32"/>
      <c r="E171" s="32"/>
      <c r="F171" s="32"/>
      <c r="G171" s="32"/>
      <c r="H171" s="32"/>
      <c r="J171" s="32" t="s">
        <v>191</v>
      </c>
      <c r="K171" s="32"/>
      <c r="L171" s="32"/>
      <c r="M171" s="32"/>
      <c r="N171" s="32"/>
      <c r="O171" s="32"/>
      <c r="P171" s="32"/>
      <c r="Q171" s="32"/>
      <c r="S171" s="32" t="s">
        <v>191</v>
      </c>
      <c r="T171" s="32"/>
      <c r="U171" s="32"/>
      <c r="V171" s="32"/>
      <c r="W171" s="32"/>
      <c r="X171" s="32"/>
      <c r="Y171" s="32"/>
      <c r="Z171" s="32"/>
      <c r="AB171" s="32" t="s">
        <v>191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192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192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192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192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193</v>
      </c>
      <c r="B175" s="178" t="s">
        <v>194</v>
      </c>
      <c r="C175" s="178"/>
      <c r="D175" s="178"/>
      <c r="E175" s="178" t="s">
        <v>195</v>
      </c>
      <c r="F175" s="27"/>
      <c r="G175" s="27" t="s">
        <v>196</v>
      </c>
      <c r="H175" s="37"/>
      <c r="J175" s="177" t="s">
        <v>193</v>
      </c>
      <c r="K175" s="179" t="s">
        <v>194</v>
      </c>
      <c r="L175" s="179"/>
      <c r="M175" s="179"/>
      <c r="N175" s="179" t="s">
        <v>195</v>
      </c>
      <c r="O175" s="27"/>
      <c r="P175" s="27"/>
      <c r="Q175" s="37"/>
      <c r="S175" s="177" t="s">
        <v>193</v>
      </c>
      <c r="T175" s="179" t="s">
        <v>194</v>
      </c>
      <c r="U175" s="179"/>
      <c r="V175" s="179"/>
      <c r="W175" s="179" t="s">
        <v>195</v>
      </c>
      <c r="X175" s="27"/>
      <c r="Y175" s="27"/>
      <c r="Z175" s="37"/>
      <c r="AB175" s="177" t="s">
        <v>193</v>
      </c>
      <c r="AC175" s="179" t="s">
        <v>194</v>
      </c>
      <c r="AD175" s="179"/>
      <c r="AE175" s="179"/>
      <c r="AF175" s="179" t="s">
        <v>195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1480.10939352484</v>
      </c>
      <c r="B176" s="181" t="n">
        <f aca="false">B103</f>
        <v>0</v>
      </c>
      <c r="C176" s="178"/>
      <c r="D176" s="178"/>
      <c r="E176" s="181" t="n">
        <f aca="false">B105</f>
        <v>1480.10939352484</v>
      </c>
      <c r="F176" s="27"/>
      <c r="G176" s="27" t="n">
        <f aca="false">ROUND(G104,2)</f>
        <v>1406.16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197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197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197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197</v>
      </c>
      <c r="AG178" s="27"/>
      <c r="AH178" s="27"/>
      <c r="AI178" s="37"/>
    </row>
    <row r="179" customFormat="false" ht="18.75" hidden="false" customHeight="false" outlineLevel="0" collapsed="false">
      <c r="A179" s="183" t="str">
        <f aca="false">K29</f>
        <v>12</v>
      </c>
      <c r="B179" s="184" t="str">
        <f aca="false">K30</f>
        <v>5000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198</v>
      </c>
      <c r="B181" s="97" t="s">
        <v>199</v>
      </c>
      <c r="C181" s="97"/>
      <c r="D181" s="27"/>
      <c r="E181" s="97" t="s">
        <v>200</v>
      </c>
      <c r="F181" s="27"/>
      <c r="G181" s="27"/>
      <c r="H181" s="37"/>
      <c r="J181" s="35" t="s">
        <v>198</v>
      </c>
      <c r="K181" s="36" t="s">
        <v>199</v>
      </c>
      <c r="L181" s="36"/>
      <c r="M181" s="27"/>
      <c r="N181" s="36" t="s">
        <v>200</v>
      </c>
      <c r="O181" s="27"/>
      <c r="P181" s="27"/>
      <c r="Q181" s="37"/>
      <c r="S181" s="35" t="s">
        <v>198</v>
      </c>
      <c r="T181" s="36" t="s">
        <v>199</v>
      </c>
      <c r="U181" s="36"/>
      <c r="V181" s="27"/>
      <c r="W181" s="36" t="s">
        <v>200</v>
      </c>
      <c r="X181" s="27"/>
      <c r="Y181" s="27"/>
      <c r="Z181" s="37"/>
      <c r="AB181" s="35" t="s">
        <v>198</v>
      </c>
      <c r="AC181" s="36" t="s">
        <v>199</v>
      </c>
      <c r="AD181" s="36"/>
      <c r="AE181" s="27"/>
      <c r="AF181" s="36" t="s">
        <v>200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19791.67</v>
      </c>
      <c r="B182" s="107" t="n">
        <f aca="false">H146</f>
        <v>3958.334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201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201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201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201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23750.004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190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190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190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190</v>
      </c>
      <c r="AG187" s="27"/>
      <c r="AH187" s="27"/>
      <c r="AI187" s="37"/>
    </row>
    <row r="188" customFormat="false" ht="17.3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G167</f>
        <v>24950.004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202</v>
      </c>
      <c r="B190" s="97" t="s">
        <v>62</v>
      </c>
      <c r="C190" s="97"/>
      <c r="D190" s="27"/>
      <c r="E190" s="97" t="s">
        <v>203</v>
      </c>
      <c r="F190" s="27"/>
      <c r="G190" s="27"/>
      <c r="H190" s="37"/>
      <c r="J190" s="35" t="s">
        <v>202</v>
      </c>
      <c r="K190" s="36" t="s">
        <v>62</v>
      </c>
      <c r="L190" s="36"/>
      <c r="M190" s="27"/>
      <c r="N190" s="36" t="s">
        <v>203</v>
      </c>
      <c r="O190" s="27"/>
      <c r="P190" s="27"/>
      <c r="Q190" s="37"/>
      <c r="S190" s="35" t="s">
        <v>202</v>
      </c>
      <c r="T190" s="36" t="s">
        <v>62</v>
      </c>
      <c r="U190" s="36"/>
      <c r="V190" s="27"/>
      <c r="W190" s="36" t="s">
        <v>203</v>
      </c>
      <c r="X190" s="27"/>
      <c r="Y190" s="27"/>
      <c r="Z190" s="37"/>
      <c r="AB190" s="35" t="s">
        <v>202</v>
      </c>
      <c r="AC190" s="36" t="s">
        <v>62</v>
      </c>
      <c r="AD190" s="36"/>
      <c r="AE190" s="27"/>
      <c r="AF190" s="36" t="s">
        <v>203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-2668.80067122677</v>
      </c>
      <c r="B191" s="107" t="str">
        <f aca="false">B123</f>
        <v>199.99</v>
      </c>
      <c r="C191" s="107"/>
      <c r="D191" s="27"/>
      <c r="E191" s="107" t="n">
        <f aca="false">E188+A191+(B191*1.2)+A194</f>
        <v>22531.1913287732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204</v>
      </c>
      <c r="B193" s="97" t="s">
        <v>205</v>
      </c>
      <c r="C193" s="97"/>
      <c r="D193" s="27"/>
      <c r="E193" s="97" t="s">
        <v>206</v>
      </c>
      <c r="F193" s="27"/>
      <c r="G193" s="27"/>
      <c r="H193" s="37"/>
      <c r="J193" s="35" t="s">
        <v>204</v>
      </c>
      <c r="K193" s="36" t="s">
        <v>205</v>
      </c>
      <c r="L193" s="36"/>
      <c r="M193" s="27"/>
      <c r="N193" s="36" t="s">
        <v>206</v>
      </c>
      <c r="O193" s="27"/>
      <c r="P193" s="27"/>
      <c r="Q193" s="37"/>
      <c r="S193" s="35" t="s">
        <v>204</v>
      </c>
      <c r="T193" s="36" t="s">
        <v>205</v>
      </c>
      <c r="U193" s="36"/>
      <c r="V193" s="27"/>
      <c r="W193" s="36" t="s">
        <v>206</v>
      </c>
      <c r="X193" s="27"/>
      <c r="Y193" s="27"/>
      <c r="Z193" s="37"/>
      <c r="AB193" s="35" t="s">
        <v>204</v>
      </c>
      <c r="AC193" s="36" t="s">
        <v>205</v>
      </c>
      <c r="AD193" s="36"/>
      <c r="AE193" s="27"/>
      <c r="AF193" s="36" t="s">
        <v>206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A188+B191*1.2</f>
        <v>239.988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207</v>
      </c>
      <c r="B196" s="97" t="s">
        <v>208</v>
      </c>
      <c r="C196" s="97"/>
      <c r="D196" s="97"/>
      <c r="E196" s="170" t="s">
        <v>209</v>
      </c>
      <c r="F196" s="27"/>
      <c r="G196" s="27"/>
      <c r="H196" s="37"/>
      <c r="J196" s="35" t="s">
        <v>207</v>
      </c>
      <c r="K196" s="36" t="s">
        <v>208</v>
      </c>
      <c r="L196" s="36"/>
      <c r="M196" s="36"/>
      <c r="N196" s="43" t="s">
        <v>209</v>
      </c>
      <c r="O196" s="27"/>
      <c r="P196" s="27"/>
      <c r="Q196" s="37"/>
      <c r="S196" s="35" t="s">
        <v>207</v>
      </c>
      <c r="T196" s="36" t="s">
        <v>208</v>
      </c>
      <c r="U196" s="36"/>
      <c r="V196" s="36"/>
      <c r="W196" s="43" t="s">
        <v>209</v>
      </c>
      <c r="X196" s="36"/>
      <c r="Y196" s="36"/>
      <c r="Z196" s="37"/>
      <c r="AB196" s="35" t="s">
        <v>207</v>
      </c>
      <c r="AC196" s="36" t="s">
        <v>208</v>
      </c>
      <c r="AD196" s="36"/>
      <c r="AE196" s="36"/>
      <c r="AF196" s="43" t="s">
        <v>209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</f>
        <v>7.4808</v>
      </c>
      <c r="B197" s="107" t="n">
        <f aca="false">(G167*B76)/1.2</f>
        <v>103.95835</v>
      </c>
      <c r="C197" s="97"/>
      <c r="D197" s="97"/>
      <c r="E197" s="107" t="n">
        <f aca="false">K55*A117*0.1</f>
        <v>0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210</v>
      </c>
      <c r="B199" s="170" t="s">
        <v>211</v>
      </c>
      <c r="C199" s="97"/>
      <c r="D199" s="97"/>
      <c r="E199" s="170" t="s">
        <v>212</v>
      </c>
      <c r="F199" s="27"/>
      <c r="G199" s="27"/>
      <c r="H199" s="37"/>
      <c r="J199" s="64" t="s">
        <v>210</v>
      </c>
      <c r="K199" s="43" t="s">
        <v>211</v>
      </c>
      <c r="L199" s="36"/>
      <c r="M199" s="36"/>
      <c r="N199" s="43" t="s">
        <v>212</v>
      </c>
      <c r="O199" s="27"/>
      <c r="P199" s="27"/>
      <c r="Q199" s="37"/>
      <c r="S199" s="64" t="s">
        <v>210</v>
      </c>
      <c r="T199" s="43" t="s">
        <v>211</v>
      </c>
      <c r="U199" s="36"/>
      <c r="V199" s="36"/>
      <c r="W199" s="43" t="s">
        <v>212</v>
      </c>
      <c r="X199" s="36"/>
      <c r="Y199" s="36"/>
      <c r="Z199" s="37"/>
      <c r="AB199" s="64" t="s">
        <v>210</v>
      </c>
      <c r="AC199" s="43" t="s">
        <v>211</v>
      </c>
      <c r="AD199" s="36"/>
      <c r="AE199" s="36"/>
      <c r="AF199" s="43" t="s">
        <v>212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B191-100</f>
        <v>99.99</v>
      </c>
      <c r="B200" s="107" t="n">
        <f aca="false">B197+E197+A200</f>
        <v>203.94835</v>
      </c>
      <c r="C200" s="97"/>
      <c r="D200" s="97"/>
      <c r="E200" s="107" t="n">
        <f aca="false">H157</f>
        <v>1791.67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213</v>
      </c>
      <c r="B202" s="97"/>
      <c r="C202" s="97"/>
      <c r="D202" s="71"/>
      <c r="E202" s="71"/>
      <c r="F202" s="71"/>
      <c r="G202" s="71"/>
      <c r="H202" s="72"/>
      <c r="J202" s="70" t="s">
        <v>213</v>
      </c>
      <c r="K202" s="36"/>
      <c r="L202" s="36"/>
      <c r="M202" s="71"/>
      <c r="N202" s="71"/>
      <c r="O202" s="71"/>
      <c r="P202" s="71"/>
      <c r="Q202" s="72"/>
      <c r="S202" s="70" t="s">
        <v>213</v>
      </c>
      <c r="T202" s="36"/>
      <c r="U202" s="36"/>
      <c r="V202" s="71"/>
      <c r="W202" s="71"/>
      <c r="X202" s="71"/>
      <c r="Y202" s="71"/>
      <c r="Z202" s="72"/>
      <c r="AB202" s="70" t="s">
        <v>213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1480.10939352484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214</v>
      </c>
      <c r="B209" s="97" t="s">
        <v>215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-3482.244</v>
      </c>
      <c r="B210" s="190" t="n">
        <f aca="false">E188+A210+(B191*1.2)+A194</f>
        <v>21717.748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191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216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193</v>
      </c>
      <c r="B220" s="196" t="s">
        <v>194</v>
      </c>
      <c r="C220" s="196"/>
      <c r="D220" s="196"/>
      <c r="E220" s="196" t="s">
        <v>195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1480.10939352484</v>
      </c>
      <c r="B221" s="181" t="n">
        <f aca="false">B176</f>
        <v>0</v>
      </c>
      <c r="C221" s="178"/>
      <c r="D221" s="178"/>
      <c r="E221" s="181" t="n">
        <f aca="false">E176</f>
        <v>1480.10939352484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198</v>
      </c>
      <c r="B223" s="97" t="s">
        <v>199</v>
      </c>
      <c r="C223" s="97"/>
      <c r="D223" s="117"/>
      <c r="E223" s="97" t="s">
        <v>200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19791.67</v>
      </c>
      <c r="B224" s="107" t="n">
        <f aca="false">B182</f>
        <v>3958.334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201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23750.004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190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24950.004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202</v>
      </c>
      <c r="B232" s="97" t="s">
        <v>62</v>
      </c>
      <c r="C232" s="97"/>
      <c r="D232" s="117"/>
      <c r="E232" s="97" t="s">
        <v>203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-2668.80067122677</v>
      </c>
      <c r="B233" s="107" t="str">
        <f aca="false">B191</f>
        <v>199.99</v>
      </c>
      <c r="C233" s="107"/>
      <c r="D233" s="117"/>
      <c r="E233" s="107" t="n">
        <f aca="false">E191</f>
        <v>22531.1913287732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204</v>
      </c>
      <c r="B235" s="97" t="s">
        <v>205</v>
      </c>
      <c r="C235" s="97"/>
      <c r="D235" s="117"/>
      <c r="E235" s="97" t="s">
        <v>217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239.988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193</v>
      </c>
      <c r="B238" s="97" t="s">
        <v>194</v>
      </c>
      <c r="C238" s="97"/>
      <c r="D238" s="97"/>
      <c r="E238" s="97" t="s">
        <v>195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1480.10939352484</v>
      </c>
      <c r="B239" s="107" t="n">
        <f aca="false">B176</f>
        <v>0</v>
      </c>
      <c r="C239" s="190"/>
      <c r="D239" s="190"/>
      <c r="E239" s="107" t="n">
        <f aca="false">E176</f>
        <v>1480.10939352484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218</v>
      </c>
      <c r="B241" s="97" t="s">
        <v>219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</f>
        <v>22.4424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220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7.4808</v>
      </c>
      <c r="B245" s="107" t="n">
        <f aca="false">E242+A245</f>
        <v>29.9232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221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222</v>
      </c>
      <c r="B248" s="97" t="s">
        <v>208</v>
      </c>
      <c r="C248" s="97"/>
      <c r="D248" s="97"/>
      <c r="E248" s="170" t="s">
        <v>209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1791.67</v>
      </c>
      <c r="B249" s="107" t="n">
        <f aca="false">B197</f>
        <v>103.95835</v>
      </c>
      <c r="C249" s="97"/>
      <c r="D249" s="97"/>
      <c r="E249" s="107" t="n">
        <f aca="false">E197</f>
        <v>0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210</v>
      </c>
      <c r="B251" s="170" t="s">
        <v>211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</v>
      </c>
      <c r="B252" s="107" t="n">
        <f aca="false">B249+E249+A252+A249</f>
        <v>1995.61835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223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224</v>
      </c>
      <c r="B262" s="200" t="n">
        <f aca="false">B72</f>
        <v>0.065</v>
      </c>
      <c r="C262" s="201"/>
      <c r="D262" s="202" t="s">
        <v>225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226</v>
      </c>
      <c r="B263" s="204" t="n">
        <f aca="false">(E191-B191)-(B210-B191-A194)</f>
        <v>823.443328773228</v>
      </c>
      <c r="C263" s="201"/>
      <c r="D263" s="202" t="s">
        <v>227</v>
      </c>
      <c r="E263" s="202"/>
      <c r="F263" s="204" t="n">
        <f aca="false">F270+F276+F278+B279+B280</f>
        <v>124.75002</v>
      </c>
      <c r="G263" s="27"/>
      <c r="H263" s="37"/>
    </row>
    <row r="264" customFormat="false" ht="18.75" hidden="false" customHeight="false" outlineLevel="0" collapsed="false">
      <c r="A264" s="195" t="s">
        <v>228</v>
      </c>
      <c r="B264" s="204" t="n">
        <f aca="false">F271+B272</f>
        <v>99.99</v>
      </c>
      <c r="C264" s="201"/>
      <c r="D264" s="202" t="s">
        <v>229</v>
      </c>
      <c r="E264" s="202"/>
      <c r="F264" s="204" t="n">
        <f aca="false">(B263-F263)+B264</f>
        <v>798.683308773228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224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230</v>
      </c>
      <c r="B268" s="209" t="n">
        <f aca="false">B73</f>
        <v>0.05</v>
      </c>
      <c r="C268" s="36"/>
      <c r="D268" s="170" t="s">
        <v>231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225</v>
      </c>
      <c r="B269" s="213" t="n">
        <f aca="false">B92</f>
        <v>0.1255</v>
      </c>
      <c r="C269" s="47"/>
      <c r="D269" s="170" t="s">
        <v>226</v>
      </c>
      <c r="E269" s="170"/>
      <c r="F269" s="150" t="n">
        <f aca="false">B263</f>
        <v>823.443328773228</v>
      </c>
      <c r="G269" s="27"/>
      <c r="H269" s="37"/>
    </row>
    <row r="270" customFormat="false" ht="19.5" hidden="false" customHeight="false" outlineLevel="0" collapsed="false">
      <c r="A270" s="35" t="s">
        <v>232</v>
      </c>
      <c r="B270" s="213" t="n">
        <f aca="false">B76</f>
        <v>0.005</v>
      </c>
      <c r="C270" s="36"/>
      <c r="D270" s="170" t="s">
        <v>232</v>
      </c>
      <c r="E270" s="170"/>
      <c r="F270" s="155" t="n">
        <f aca="false">B77</f>
        <v>124.75002</v>
      </c>
      <c r="G270" s="27"/>
      <c r="H270" s="37"/>
    </row>
    <row r="271" customFormat="false" ht="19.5" hidden="false" customHeight="false" outlineLevel="0" collapsed="false">
      <c r="A271" s="35" t="s">
        <v>233</v>
      </c>
      <c r="B271" s="209" t="n">
        <f aca="false">A117</f>
        <v>0.2</v>
      </c>
      <c r="C271" s="36"/>
      <c r="D271" s="170" t="s">
        <v>233</v>
      </c>
      <c r="E271" s="170"/>
      <c r="F271" s="150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234</v>
      </c>
      <c r="B272" s="150" t="n">
        <f aca="false">A252</f>
        <v>99.99</v>
      </c>
      <c r="C272" s="36"/>
      <c r="D272" s="43" t="s">
        <v>229</v>
      </c>
      <c r="E272" s="43"/>
      <c r="F272" s="150" t="n">
        <f aca="false">(B263-F263)+B264</f>
        <v>798.683308773228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235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236</v>
      </c>
      <c r="B275" s="155" t="n">
        <v>0</v>
      </c>
      <c r="C275" s="36"/>
      <c r="D275" s="214" t="s">
        <v>237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238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239</v>
      </c>
      <c r="B277" s="215" t="s">
        <v>6</v>
      </c>
      <c r="C277" s="36"/>
      <c r="D277" s="170" t="s">
        <v>240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241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242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243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4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18125.0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421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416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422</v>
      </c>
      <c r="C35" s="227"/>
      <c r="D35" s="227" t="s">
        <v>415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0.0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57" t="s">
        <v>6</v>
      </c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18410.7869299442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124.75002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16220.1467407538</v>
      </c>
      <c r="C88" s="97" t="n">
        <f aca="false">B81-B86</f>
        <v>16220.1467407538</v>
      </c>
      <c r="D88" s="97"/>
      <c r="E88" s="117"/>
      <c r="F88" s="35" t="s">
        <v>122</v>
      </c>
      <c r="G88" s="37" t="n">
        <f aca="false">G81-G86</f>
        <v>15579.689207262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590.973455197119</v>
      </c>
      <c r="C89" s="97" t="n">
        <f aca="false">(B88/B87)</f>
        <v>590.973455197119</v>
      </c>
      <c r="D89" s="97"/>
      <c r="E89" s="117"/>
      <c r="F89" s="35" t="s">
        <v>123</v>
      </c>
      <c r="G89" s="37" t="n">
        <f aca="false">(G88/G87)</f>
        <v>531.592757536213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18911.1505663078</v>
      </c>
      <c r="C90" s="97"/>
      <c r="D90" s="97"/>
      <c r="E90" s="117"/>
      <c r="F90" s="35" t="s">
        <v>124</v>
      </c>
      <c r="G90" s="37" t="n">
        <f aca="false">((G89*(G85))+G77)</f>
        <v>17010.9682411588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18911.1505663078</v>
      </c>
      <c r="C92" s="97"/>
      <c r="D92" s="97"/>
      <c r="E92" s="117"/>
      <c r="F92" s="60" t="s">
        <v>126</v>
      </c>
      <c r="G92" s="69" t="n">
        <f aca="false">(G90+G91)</f>
        <v>17010.9682411588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590.973455197119</v>
      </c>
      <c r="C95" s="97"/>
      <c r="D95" s="97"/>
      <c r="E95" s="117"/>
      <c r="F95" s="99" t="s">
        <v>128</v>
      </c>
      <c r="G95" s="100" t="n">
        <f aca="false">G92/(G85)</f>
        <v>531.592757536213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590.973455197119</v>
      </c>
      <c r="C96" s="97"/>
      <c r="D96" s="97"/>
      <c r="E96" s="117"/>
      <c r="F96" s="101" t="s">
        <v>129</v>
      </c>
      <c r="G96" s="102" t="n">
        <f aca="false">G94+G95</f>
        <v>531.592757536213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404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419</v>
      </c>
      <c r="C108" s="111"/>
      <c r="D108" s="111" t="n">
        <v>0.0</v>
      </c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400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407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20000.0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0.0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24950.004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180" t="n">
        <f aca="false">B95</f>
        <v>590.973455197119</v>
      </c>
      <c r="B167" s="181" t="str">
        <f aca="false">B94</f>
        <v>0</v>
      </c>
      <c r="C167" s="178"/>
      <c r="D167" s="178"/>
      <c r="E167" s="181" t="n">
        <f aca="false">B96</f>
        <v>590.973455197119</v>
      </c>
      <c r="F167" s="27"/>
      <c r="G167" s="27" t="n">
        <f aca="false">ROUND(G95,2)</f>
        <v>531.59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n">
        <f aca="false">B29</f>
        <v>12345</v>
      </c>
      <c r="B170" s="184" t="n">
        <f aca="false">B30</f>
        <v>0</v>
      </c>
      <c r="C170" s="185"/>
      <c r="D170" s="27"/>
      <c r="E170" s="186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7.3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24950.004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-38.8534336921875</v>
      </c>
      <c r="B182" s="107" t="str">
        <f aca="false">B114</f>
        <v>239.99</v>
      </c>
      <c r="C182" s="107"/>
      <c r="D182" s="27"/>
      <c r="E182" s="107" t="n">
        <f aca="false">E179+A182+B182+A185</f>
        <v>25161.1405663078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8.97696</v>
      </c>
      <c r="B188" s="107" t="n">
        <f aca="false">(G158*B67)/1.2</f>
        <v>103.95835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203.950016666667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590.973455197119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-1939.124</v>
      </c>
      <c r="B201" s="190" t="n">
        <f aca="false">E179+A201+B182+A185</f>
        <v>23260.87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590.973455197119</v>
      </c>
      <c r="B212" s="181" t="str">
        <f aca="false">B167</f>
        <v>0</v>
      </c>
      <c r="C212" s="178"/>
      <c r="D212" s="178"/>
      <c r="E212" s="181" t="n">
        <f aca="false">E167</f>
        <v>590.973455197119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24950.004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-38.8534336921875</v>
      </c>
      <c r="B224" s="107" t="str">
        <f aca="false">B182</f>
        <v>239.99</v>
      </c>
      <c r="C224" s="107"/>
      <c r="D224" s="117"/>
      <c r="E224" s="107" t="n">
        <f aca="false">E182</f>
        <v>25161.1405663078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590.973455197119</v>
      </c>
      <c r="B230" s="107" t="str">
        <f aca="false">B167</f>
        <v>0</v>
      </c>
      <c r="C230" s="190"/>
      <c r="D230" s="190"/>
      <c r="E230" s="107" t="n">
        <f aca="false">E167</f>
        <v>590.973455197119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J18*0.000006*100*1.2</f>
        <v>26.93088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8.97696</v>
      </c>
      <c r="B236" s="107" t="n">
        <f aca="false">E233+A236</f>
        <v>35.90784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103.95835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1995.62001666666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1910.27056630781</v>
      </c>
      <c r="C254" s="201"/>
      <c r="D254" s="202" t="s">
        <v>227</v>
      </c>
      <c r="E254" s="202"/>
      <c r="F254" s="204" t="n">
        <f aca="false">F261+F267+F269+B270+B271</f>
        <v>124.75002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1885.51221297448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1910.27056630781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124.75002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1885.51221297448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4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18125.0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421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416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411</v>
      </c>
      <c r="C35" s="227"/>
      <c r="D35" s="227" t="s">
        <v>415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s">
        <v>418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n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15780.2033287732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0.02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124.75002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5295.78483323301</v>
      </c>
      <c r="C86" s="97" t="n">
        <f aca="false">(B82/((1+B84)^(B85+1)))</f>
        <v>5295.78483323301</v>
      </c>
      <c r="D86" s="97"/>
      <c r="E86" s="117"/>
      <c r="F86" s="35" t="s">
        <v>120</v>
      </c>
      <c r="G86" s="37" t="n">
        <f aca="false">(G82/((1+G84)^(G85+1)))</f>
        <v>5623.39108453416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15304.215166767</v>
      </c>
      <c r="C88" s="97" t="n">
        <f aca="false">B81-B86</f>
        <v>15304.215166767</v>
      </c>
      <c r="D88" s="97"/>
      <c r="E88" s="117"/>
      <c r="F88" s="35" t="s">
        <v>122</v>
      </c>
      <c r="G88" s="37" t="n">
        <f aca="false">G81-G86</f>
        <v>14976.6089154658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1480.10939352484</v>
      </c>
      <c r="C89" s="97" t="n">
        <f aca="false">(B88/B87)</f>
        <v>1480.10939352484</v>
      </c>
      <c r="D89" s="97"/>
      <c r="E89" s="117"/>
      <c r="F89" s="35" t="s">
        <v>123</v>
      </c>
      <c r="G89" s="37" t="n">
        <f aca="false">(G88/G87)</f>
        <v>1406.1573423423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16281.2033287732</v>
      </c>
      <c r="C90" s="97"/>
      <c r="D90" s="97"/>
      <c r="E90" s="117"/>
      <c r="F90" s="35" t="s">
        <v>124</v>
      </c>
      <c r="G90" s="37" t="n">
        <f aca="false">((G89*(G85))+G77)</f>
        <v>15467.7307657653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16281.2033287732</v>
      </c>
      <c r="C92" s="97"/>
      <c r="D92" s="97"/>
      <c r="E92" s="117"/>
      <c r="F92" s="60" t="s">
        <v>126</v>
      </c>
      <c r="G92" s="69" t="n">
        <f aca="false">(G90+G91)</f>
        <v>15467.7307657653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n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1480.10939352484</v>
      </c>
      <c r="C95" s="97"/>
      <c r="D95" s="97"/>
      <c r="E95" s="117"/>
      <c r="F95" s="99" t="s">
        <v>128</v>
      </c>
      <c r="G95" s="100" t="n">
        <f aca="false">G92/(G85)</f>
        <v>1406.1573423423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1480.10939352484</v>
      </c>
      <c r="C96" s="97"/>
      <c r="D96" s="97"/>
      <c r="E96" s="117"/>
      <c r="F96" s="101" t="s">
        <v>129</v>
      </c>
      <c r="G96" s="102" t="n">
        <f aca="false">G94+G95</f>
        <v>1406.1573423423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400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419</v>
      </c>
      <c r="C108" s="111"/>
      <c r="D108" s="111" t="n">
        <v>0.0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400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403</v>
      </c>
      <c r="C114" s="111"/>
      <c r="D114" s="111"/>
      <c r="E114" s="111" t="s">
        <v>27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20000.0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0.0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24950.004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 t="n">
        <v>0</v>
      </c>
      <c r="F161" s="27"/>
      <c r="G161" s="27" t="n">
        <v>0</v>
      </c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 t="n">
        <v>0</v>
      </c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180" t="n">
        <f aca="false">B95</f>
        <v>1480.10939352484</v>
      </c>
      <c r="B167" s="181" t="n">
        <f aca="false">B94</f>
        <v>0</v>
      </c>
      <c r="C167" s="178"/>
      <c r="D167" s="178"/>
      <c r="E167" s="181" t="n">
        <f aca="false">B96</f>
        <v>1480.10939352484</v>
      </c>
      <c r="F167" s="27"/>
      <c r="G167" s="27" t="n">
        <f aca="false">ROUND(G95,2)</f>
        <v>1406.16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184" t="str">
        <f aca="false">H30</f>
        <v>5000</v>
      </c>
      <c r="C170" s="185"/>
      <c r="D170" s="27"/>
      <c r="E170" s="186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7.3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24950.004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-2668.80067122677</v>
      </c>
      <c r="B182" s="107" t="str">
        <f aca="false">B114</f>
        <v>199.99</v>
      </c>
      <c r="C182" s="107"/>
      <c r="D182" s="27"/>
      <c r="E182" s="107" t="n">
        <f aca="false">E179+A182+(B182*1.2)+A185</f>
        <v>22531.1913287732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7.4808</v>
      </c>
      <c r="B188" s="107" t="n">
        <f aca="false">(G158*B67)/1.2</f>
        <v>103.95835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203.94835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1480.10939352484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-3482.244</v>
      </c>
      <c r="B201" s="190" t="n">
        <f aca="false">E179+A201+(B182*1.2)+A185</f>
        <v>21717.748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1480.10939352484</v>
      </c>
      <c r="B212" s="181" t="n">
        <f aca="false">B167</f>
        <v>0</v>
      </c>
      <c r="C212" s="178"/>
      <c r="D212" s="178"/>
      <c r="E212" s="181" t="n">
        <f aca="false">E167</f>
        <v>1480.10939352484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24950.004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-2668.80067122677</v>
      </c>
      <c r="B224" s="107" t="str">
        <f aca="false">B182</f>
        <v>199.99</v>
      </c>
      <c r="C224" s="107"/>
      <c r="D224" s="117"/>
      <c r="E224" s="107" t="n">
        <f aca="false">E182</f>
        <v>22531.1913287732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1480.10939352484</v>
      </c>
      <c r="B230" s="107" t="n">
        <f aca="false">B167</f>
        <v>0</v>
      </c>
      <c r="C230" s="190"/>
      <c r="D230" s="190"/>
      <c r="E230" s="107" t="n">
        <f aca="false">E167</f>
        <v>1480.10939352484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</f>
        <v>22.4424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7.4808</v>
      </c>
      <c r="B236" s="107" t="n">
        <f aca="false">E233+A236</f>
        <v>29.9232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103.95835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1995.61835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823.443328773228</v>
      </c>
      <c r="C254" s="201"/>
      <c r="D254" s="202" t="s">
        <v>227</v>
      </c>
      <c r="E254" s="202"/>
      <c r="F254" s="204" t="n">
        <f aca="false">F261+F267+F269+B270+B271</f>
        <v>124.75002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798.683308773228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0.1255</v>
      </c>
      <c r="C260" s="47"/>
      <c r="D260" s="170" t="s">
        <v>226</v>
      </c>
      <c r="E260" s="170"/>
      <c r="F260" s="150" t="n">
        <f aca="false">B254</f>
        <v>823.443328773228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124.75002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798.683308773228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3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18125.0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421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416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411</v>
      </c>
      <c r="C35" s="227"/>
      <c r="D35" s="227" t="s">
        <v>415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0.0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15780.2033287732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124.75002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5295.78483323301</v>
      </c>
      <c r="C86" s="97" t="n">
        <f aca="false">(B82/((1+B84)^(B85+1)))</f>
        <v>5295.78483323301</v>
      </c>
      <c r="D86" s="97"/>
      <c r="E86" s="117"/>
      <c r="F86" s="35" t="s">
        <v>120</v>
      </c>
      <c r="G86" s="37" t="n">
        <f aca="false">(G82/((1+G84)^(G85+1)))</f>
        <v>5623.39108453416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15304.215166767</v>
      </c>
      <c r="C88" s="97" t="n">
        <f aca="false">B81-B86</f>
        <v>15304.215166767</v>
      </c>
      <c r="D88" s="97"/>
      <c r="E88" s="117"/>
      <c r="F88" s="35" t="s">
        <v>122</v>
      </c>
      <c r="G88" s="37" t="n">
        <f aca="false">G81-G86</f>
        <v>14976.6089154658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1480.10939352484</v>
      </c>
      <c r="C89" s="97" t="n">
        <f aca="false">(B88/B87)</f>
        <v>1480.10939352484</v>
      </c>
      <c r="D89" s="97"/>
      <c r="E89" s="117"/>
      <c r="F89" s="35" t="s">
        <v>123</v>
      </c>
      <c r="G89" s="37" t="n">
        <f aca="false">(G88/G87)</f>
        <v>1406.1573423423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16281.2033287732</v>
      </c>
      <c r="C90" s="97"/>
      <c r="D90" s="97"/>
      <c r="E90" s="117"/>
      <c r="F90" s="35" t="s">
        <v>124</v>
      </c>
      <c r="G90" s="37" t="n">
        <f aca="false">((G89*(G85))+G77)</f>
        <v>15467.7307657653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16281.2033287732</v>
      </c>
      <c r="C92" s="97"/>
      <c r="D92" s="97"/>
      <c r="E92" s="117"/>
      <c r="F92" s="60" t="s">
        <v>126</v>
      </c>
      <c r="G92" s="69" t="n">
        <f aca="false">(G90+G91)</f>
        <v>15467.7307657653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1480.10939352484</v>
      </c>
      <c r="C95" s="97"/>
      <c r="D95" s="97"/>
      <c r="E95" s="117"/>
      <c r="F95" s="99" t="s">
        <v>128</v>
      </c>
      <c r="G95" s="100" t="n">
        <f aca="false">G92/(G85)</f>
        <v>1406.1573423423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1480.10939352484</v>
      </c>
      <c r="C96" s="97"/>
      <c r="D96" s="97"/>
      <c r="E96" s="117"/>
      <c r="F96" s="101" t="s">
        <v>129</v>
      </c>
      <c r="G96" s="102" t="n">
        <f aca="false">G94+G95</f>
        <v>1406.1573423423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281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404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402</v>
      </c>
      <c r="C108" s="111"/>
      <c r="D108" s="111" t="n">
        <v>0.0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400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407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20000.0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0.0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24950.004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266" t="n">
        <f aca="false">B95</f>
        <v>1480.10939352484</v>
      </c>
      <c r="B167" s="181" t="str">
        <f aca="false">B94</f>
        <v>0</v>
      </c>
      <c r="C167" s="178"/>
      <c r="D167" s="178"/>
      <c r="E167" s="181" t="n">
        <f aca="false">B96</f>
        <v>1480.10939352484</v>
      </c>
      <c r="F167" s="27"/>
      <c r="G167" s="27" t="n">
        <f aca="false">ROUND(G95,2)</f>
        <v>1406.16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7.3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24950.004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-2668.80067122677</v>
      </c>
      <c r="B182" s="107" t="str">
        <f aca="false">B114</f>
        <v>239.99</v>
      </c>
      <c r="C182" s="107"/>
      <c r="D182" s="27"/>
      <c r="E182" s="107" t="n">
        <f aca="false">E179+A182+B182+A185</f>
        <v>22531.1933287732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8.97696</v>
      </c>
      <c r="B188" s="107" t="n">
        <f aca="false">(G158*B67)/1.2</f>
        <v>103.95835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203.950016666667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1480.10939352484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-3482.244</v>
      </c>
      <c r="B201" s="190" t="n">
        <f aca="false">E179+A201+B182+A185</f>
        <v>21717.75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1480.10939352484</v>
      </c>
      <c r="B212" s="181" t="str">
        <f aca="false">B167</f>
        <v>0</v>
      </c>
      <c r="C212" s="178"/>
      <c r="D212" s="178"/>
      <c r="E212" s="181" t="n">
        <f aca="false">E167</f>
        <v>1480.10939352484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24950.004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-2668.80067122677</v>
      </c>
      <c r="B224" s="107" t="str">
        <f aca="false">B182</f>
        <v>239.99</v>
      </c>
      <c r="C224" s="107"/>
      <c r="D224" s="117"/>
      <c r="E224" s="107" t="n">
        <f aca="false">E182</f>
        <v>22531.1933287732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1480.10939352484</v>
      </c>
      <c r="B230" s="107" t="str">
        <f aca="false">B167</f>
        <v>0</v>
      </c>
      <c r="C230" s="190"/>
      <c r="D230" s="190"/>
      <c r="E230" s="107" t="n">
        <f aca="false">E167</f>
        <v>1480.10939352484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8.97696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103.95835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1995.62001666666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823.443328773228</v>
      </c>
      <c r="C254" s="201"/>
      <c r="D254" s="202" t="s">
        <v>227</v>
      </c>
      <c r="E254" s="202"/>
      <c r="F254" s="204" t="n">
        <f aca="false">F261+F267+F269+B270+B271</f>
        <v>124.75002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798.684975439895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0.1255</v>
      </c>
      <c r="C260" s="47"/>
      <c r="D260" s="170" t="s">
        <v>226</v>
      </c>
      <c r="E260" s="170"/>
      <c r="F260" s="150" t="n">
        <f aca="false">B254</f>
        <v>823.443328773228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124.75002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798.684975439895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18125.0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267" t="s">
        <v>421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416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411</v>
      </c>
      <c r="C35" s="227"/>
      <c r="D35" s="227" t="s">
        <v>415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0.0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A54" s="4" t="s">
        <v>6</v>
      </c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15780.2033287732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0.02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124.75002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5295.78483323301</v>
      </c>
      <c r="C86" s="97" t="n">
        <f aca="false">(B82/((1+B84)^(B85+1)))</f>
        <v>5295.78483323301</v>
      </c>
      <c r="D86" s="97"/>
      <c r="E86" s="117"/>
      <c r="F86" s="35" t="s">
        <v>120</v>
      </c>
      <c r="G86" s="37" t="n">
        <f aca="false">(G82/((1+G84)^(G85+1)))</f>
        <v>5623.39108453416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15304.215166767</v>
      </c>
      <c r="C88" s="97" t="n">
        <f aca="false">B81-B86</f>
        <v>15304.215166767</v>
      </c>
      <c r="D88" s="97"/>
      <c r="E88" s="117"/>
      <c r="F88" s="35" t="s">
        <v>122</v>
      </c>
      <c r="G88" s="37" t="n">
        <f aca="false">G81-G86</f>
        <v>14976.6089154658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1480.10939352484</v>
      </c>
      <c r="C89" s="97" t="n">
        <f aca="false">(B88/B87)</f>
        <v>1480.10939352484</v>
      </c>
      <c r="D89" s="97"/>
      <c r="E89" s="117"/>
      <c r="F89" s="35" t="s">
        <v>123</v>
      </c>
      <c r="G89" s="37" t="n">
        <f aca="false">(G88/G87)</f>
        <v>1406.1573423423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16281.2033287732</v>
      </c>
      <c r="C90" s="97"/>
      <c r="D90" s="97"/>
      <c r="E90" s="117"/>
      <c r="F90" s="35" t="s">
        <v>124</v>
      </c>
      <c r="G90" s="37" t="n">
        <f aca="false">((G89*(G85))+G77)</f>
        <v>15467.7307657653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16281.2033287732</v>
      </c>
      <c r="C92" s="97"/>
      <c r="D92" s="97"/>
      <c r="E92" s="117"/>
      <c r="F92" s="60" t="s">
        <v>126</v>
      </c>
      <c r="G92" s="69" t="n">
        <f aca="false">(G90+G91)</f>
        <v>15467.7307657653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1480.10939352484</v>
      </c>
      <c r="C95" s="97"/>
      <c r="D95" s="97"/>
      <c r="E95" s="117"/>
      <c r="F95" s="99" t="s">
        <v>128</v>
      </c>
      <c r="G95" s="100" t="n">
        <f aca="false">G92/(G85)</f>
        <v>1406.1573423423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1480.10939352484</v>
      </c>
      <c r="C96" s="97"/>
      <c r="D96" s="97"/>
      <c r="E96" s="117"/>
      <c r="F96" s="101" t="s">
        <v>129</v>
      </c>
      <c r="G96" s="102" t="n">
        <f aca="false">G94+G95</f>
        <v>1406.1573423423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404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419</v>
      </c>
      <c r="C108" s="111"/>
      <c r="D108" s="111" t="n">
        <v>0.0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400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403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20000.0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0.0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24950.004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266" t="n">
        <f aca="false">B95</f>
        <v>1480.10939352484</v>
      </c>
      <c r="B167" s="181" t="str">
        <f aca="false">B94</f>
        <v>0</v>
      </c>
      <c r="C167" s="178"/>
      <c r="D167" s="178"/>
      <c r="E167" s="181" t="n">
        <f aca="false">B96</f>
        <v>1480.10939352484</v>
      </c>
      <c r="F167" s="27"/>
      <c r="G167" s="27" t="n">
        <f aca="false">ROUND(G95,2)</f>
        <v>1406.16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7.3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24950.004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-2668.80067122677</v>
      </c>
      <c r="B182" s="107" t="str">
        <f aca="false">B114</f>
        <v>199.99</v>
      </c>
      <c r="C182" s="107"/>
      <c r="D182" s="27"/>
      <c r="E182" s="107" t="n">
        <f aca="false">E179+A182+(B182*1.2)+A185</f>
        <v>22531.1913287732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7.4808</v>
      </c>
      <c r="B188" s="107" t="n">
        <f aca="false">(G158*B67)/1.2</f>
        <v>103.95835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203.94835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1480.10939352484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-3482.244</v>
      </c>
      <c r="B201" s="190" t="n">
        <f aca="false">E179+A201+(B182*1.2)+A185</f>
        <v>21717.748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1480.10939352484</v>
      </c>
      <c r="B212" s="181" t="str">
        <f aca="false">B167</f>
        <v>0</v>
      </c>
      <c r="C212" s="178"/>
      <c r="D212" s="178"/>
      <c r="E212" s="181" t="n">
        <f aca="false">E167</f>
        <v>1480.10939352484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24950.004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7.35" hidden="false" customHeight="false" outlineLevel="0" collapsed="false">
      <c r="A224" s="115" t="n">
        <f aca="false">A182</f>
        <v>-2668.80067122677</v>
      </c>
      <c r="B224" s="107" t="str">
        <f aca="false">B182</f>
        <v>199.99</v>
      </c>
      <c r="C224" s="107"/>
      <c r="D224" s="117"/>
      <c r="E224" s="107" t="n">
        <f aca="false">E182</f>
        <v>22531.1913287732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1480.10939352484</v>
      </c>
      <c r="B230" s="107" t="str">
        <f aca="false">B167</f>
        <v>0</v>
      </c>
      <c r="C230" s="190"/>
      <c r="D230" s="190"/>
      <c r="E230" s="107" t="n">
        <f aca="false">E167</f>
        <v>1480.10939352484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7.4808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103.95835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1995.61835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823.443328773228</v>
      </c>
      <c r="C254" s="201"/>
      <c r="D254" s="202" t="s">
        <v>227</v>
      </c>
      <c r="E254" s="202"/>
      <c r="F254" s="204" t="n">
        <f aca="false">F261+F267+F269+B270+B271</f>
        <v>124.75002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798.683308773228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0.1255</v>
      </c>
      <c r="C260" s="47"/>
      <c r="D260" s="170" t="s">
        <v>226</v>
      </c>
      <c r="E260" s="170"/>
      <c r="F260" s="150" t="n">
        <f aca="false">B254</f>
        <v>823.443328773228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124.75002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798.683308773228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3600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246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248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249</v>
      </c>
      <c r="B29" s="227" t="n">
        <v>12345</v>
      </c>
      <c r="C29" s="227"/>
      <c r="D29" s="398" t="n">
        <f aca="true">TODAY()+1</f>
        <v>45490</v>
      </c>
      <c r="E29" s="398"/>
      <c r="F29" s="396"/>
      <c r="G29" s="33" t="s">
        <v>37</v>
      </c>
      <c r="H29" s="41" t="n">
        <f aca="false">A32</f>
        <v>12</v>
      </c>
      <c r="I29" s="396"/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12.0</v>
      </c>
      <c r="B32" s="227" t="n">
        <v>5000.0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51</v>
      </c>
      <c r="B34" s="235" t="s">
        <v>57</v>
      </c>
      <c r="C34" s="234" t="s">
        <v>52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21600</v>
      </c>
      <c r="B35" s="227" t="s">
        <v>416</v>
      </c>
      <c r="C35" s="227"/>
      <c r="D35" s="282" t="n">
        <f aca="false">A35-B35</f>
        <v>20600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54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411</v>
      </c>
      <c r="B38" s="245" t="n">
        <f aca="false">A32-1</f>
        <v>11</v>
      </c>
      <c r="C38" s="245"/>
      <c r="D38" s="108" t="s">
        <v>409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66</v>
      </c>
      <c r="G40" s="7" t="s">
        <v>67</v>
      </c>
      <c r="H40" s="7" t="n">
        <f aca="false">C15</f>
        <v>3600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410</v>
      </c>
      <c r="B41" s="108" t="s">
        <v>420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/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344</v>
      </c>
      <c r="D43" s="244" t="s">
        <v>220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s">
        <v>417</v>
      </c>
      <c r="B44" s="108" t="s">
        <v>412</v>
      </c>
      <c r="C44" s="108"/>
      <c r="D44" s="108" t="s">
        <v>412</v>
      </c>
      <c r="E44" s="108"/>
      <c r="F44" s="396"/>
      <c r="G44" s="7" t="s">
        <v>74</v>
      </c>
      <c r="H44" s="7" t="n">
        <f aca="false">((H40-(((H42/(1.2))*0.2)))/(H43))</f>
        <v>216.666666666667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283.333333333333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346</v>
      </c>
      <c r="B46" s="234" t="s">
        <v>347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346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286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34"/>
      <c r="E50" s="247"/>
      <c r="F50" s="396"/>
      <c r="G50" s="7" t="s">
        <v>348</v>
      </c>
      <c r="H50" s="7" t="n">
        <f aca="false">H49-H41</f>
        <v>286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H49</f>
        <v>286</v>
      </c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346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286</v>
      </c>
      <c r="C58" s="78"/>
      <c r="D58" s="360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1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11</v>
      </c>
      <c r="C64" s="321"/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285</v>
      </c>
      <c r="B66" s="219" t="n">
        <f aca="false">E19</f>
        <v>21600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v>37404</v>
      </c>
      <c r="C67" s="321"/>
      <c r="D67" s="321"/>
      <c r="E67" s="322"/>
      <c r="F67" s="396"/>
      <c r="G67" s="320" t="s">
        <v>23</v>
      </c>
      <c r="H67" s="36" t="n">
        <f aca="false">G18</f>
        <v>37404</v>
      </c>
      <c r="I67" s="321"/>
      <c r="J67" s="321"/>
      <c r="K67" s="322"/>
      <c r="L67" s="396"/>
      <c r="M67" s="320" t="s">
        <v>23</v>
      </c>
      <c r="N67" s="36" t="n">
        <f aca="false">G18</f>
        <v>37404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286</v>
      </c>
      <c r="B68" s="296" t="n">
        <v>0.07</v>
      </c>
      <c r="C68" s="321"/>
      <c r="D68" s="321"/>
      <c r="E68" s="322"/>
      <c r="F68" s="396"/>
      <c r="G68" s="407" t="s">
        <v>286</v>
      </c>
      <c r="H68" s="408" t="n">
        <v>0.07</v>
      </c>
      <c r="I68" s="321"/>
      <c r="J68" s="321"/>
      <c r="K68" s="322"/>
      <c r="L68" s="396"/>
      <c r="M68" s="407" t="s">
        <v>286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287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287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B67*B69</f>
        <v>2618.28</v>
      </c>
      <c r="C70" s="321" t="n">
        <v>10000.0</v>
      </c>
      <c r="D70" s="36" t="n">
        <f aca="false">B70-A149</f>
        <v>2618.28</v>
      </c>
      <c r="E70" s="322" t="n">
        <f aca="false">D70/12</f>
        <v>218.19</v>
      </c>
      <c r="F70" s="396"/>
      <c r="G70" s="375" t="s">
        <v>100</v>
      </c>
      <c r="H70" s="69" t="n">
        <f aca="false">H67*H69</f>
        <v>2618.28</v>
      </c>
      <c r="I70" s="321"/>
      <c r="J70" s="36" t="n">
        <f aca="false">H70-G151</f>
        <v>2618.28</v>
      </c>
      <c r="K70" s="322"/>
      <c r="L70" s="396"/>
      <c r="M70" s="375" t="s">
        <v>100</v>
      </c>
      <c r="N70" s="69" t="n">
        <f aca="false">N67*N69</f>
        <v>2618.28</v>
      </c>
      <c r="O70" s="321"/>
      <c r="P70" s="36" t="n">
        <f aca="false">N70-M151</f>
        <v>2618.28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187.02</v>
      </c>
      <c r="I73" s="321"/>
      <c r="J73" s="36"/>
      <c r="K73" s="322"/>
      <c r="L73" s="396"/>
      <c r="M73" s="375" t="s">
        <v>103</v>
      </c>
      <c r="N73" s="69" t="n">
        <f aca="false">N67*N72</f>
        <v>187.02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200.0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5.0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54</v>
      </c>
      <c r="C79" s="321"/>
      <c r="D79" s="36" t="n">
        <f aca="false">B79+B77</f>
        <v>214</v>
      </c>
      <c r="E79" s="395" t="n">
        <f aca="false">D79+D85+D86</f>
        <v>614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288</v>
      </c>
      <c r="B80" s="91" t="n">
        <v>165.0</v>
      </c>
      <c r="C80" s="321"/>
      <c r="D80" s="321"/>
      <c r="E80" s="395" t="n">
        <f aca="false">E79+D82</f>
        <v>809</v>
      </c>
      <c r="F80" s="396"/>
      <c r="G80" s="407" t="s">
        <v>288</v>
      </c>
      <c r="H80" s="91" t="n">
        <v>150</v>
      </c>
      <c r="I80" s="321"/>
      <c r="J80" s="321"/>
      <c r="K80" s="322"/>
      <c r="L80" s="396"/>
      <c r="M80" s="412" t="s">
        <v>288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289</v>
      </c>
      <c r="B81" s="81" t="n">
        <v>0.0</v>
      </c>
      <c r="C81" s="321"/>
      <c r="D81" s="321"/>
      <c r="E81" s="322" t="n">
        <f aca="false">E80/12</f>
        <v>67.4166666666667</v>
      </c>
      <c r="F81" s="396"/>
      <c r="G81" s="409" t="s">
        <v>289</v>
      </c>
      <c r="H81" s="81" t="n">
        <f aca="false">IF(G18&gt;40000,325,0)</f>
        <v>0</v>
      </c>
      <c r="I81" s="321"/>
      <c r="J81" s="321"/>
      <c r="K81" s="322"/>
      <c r="L81" s="396"/>
      <c r="M81" s="414" t="s">
        <v>289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290</v>
      </c>
      <c r="B82" s="69" t="n">
        <f aca="false">((B80+B81)/12)*(H29+1)</f>
        <v>195</v>
      </c>
      <c r="C82" s="321"/>
      <c r="D82" s="36" t="n">
        <f aca="false">IF(A50="YES",0,B82)</f>
        <v>195</v>
      </c>
      <c r="E82" s="322"/>
      <c r="F82" s="396"/>
      <c r="G82" s="375" t="s">
        <v>290</v>
      </c>
      <c r="H82" s="69" t="n">
        <f aca="false">((H80+H81)/12)*(H29-11)</f>
        <v>12.5</v>
      </c>
      <c r="I82" s="321"/>
      <c r="J82" s="36" t="n">
        <f aca="false">IF(A50="YES",0,H82)</f>
        <v>12.5</v>
      </c>
      <c r="K82" s="322"/>
      <c r="L82" s="396"/>
      <c r="M82" s="416" t="s">
        <v>290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291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291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291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349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292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292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200.0</v>
      </c>
      <c r="C85" s="321"/>
      <c r="D85" s="36" t="n">
        <f aca="false">B85</f>
        <v>300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200.0</v>
      </c>
      <c r="C86" s="321"/>
      <c r="D86" s="36" t="n">
        <f aca="false">B86</f>
        <v>100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4093.94666666667</v>
      </c>
      <c r="C87" s="321"/>
      <c r="D87" s="321"/>
      <c r="E87" s="322"/>
      <c r="F87" s="396"/>
      <c r="G87" s="419" t="s">
        <v>112</v>
      </c>
      <c r="H87" s="420" t="n">
        <f aca="false">SUM(J70:J86)</f>
        <v>5744.78</v>
      </c>
      <c r="I87" s="321"/>
      <c r="J87" s="321"/>
      <c r="K87" s="322"/>
      <c r="L87" s="396"/>
      <c r="M87" s="419" t="s">
        <v>112</v>
      </c>
      <c r="N87" s="420" t="n">
        <f aca="false">SUM(P70:P86)</f>
        <v>5732.28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341.162222222222</v>
      </c>
      <c r="C88" s="321"/>
      <c r="D88" s="321"/>
      <c r="E88" s="322"/>
      <c r="F88" s="396"/>
      <c r="G88" s="320" t="s">
        <v>113</v>
      </c>
      <c r="H88" s="37" t="n">
        <f aca="false">H87/H29</f>
        <v>478.731666666667</v>
      </c>
      <c r="I88" s="321"/>
      <c r="J88" s="321"/>
      <c r="K88" s="322"/>
      <c r="L88" s="396"/>
      <c r="M88" s="320" t="s">
        <v>113</v>
      </c>
      <c r="N88" s="37" t="n">
        <f aca="false">N87/H29</f>
        <v>477.69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286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((B89*H29)+B87)*1.2</f>
        <v>9031.136</v>
      </c>
      <c r="C91" s="321"/>
      <c r="D91" s="321"/>
      <c r="E91" s="322"/>
      <c r="F91" s="396"/>
      <c r="G91" s="404" t="s">
        <v>124</v>
      </c>
      <c r="H91" s="31" t="n">
        <f aca="false">((H89*H29)+H87)*1.2</f>
        <v>6893.736</v>
      </c>
      <c r="I91" s="321"/>
      <c r="J91" s="321"/>
      <c r="K91" s="322"/>
      <c r="L91" s="396"/>
      <c r="M91" s="404" t="s">
        <v>124</v>
      </c>
      <c r="N91" s="31" t="n">
        <f aca="false">((N89*H29)+N87)</f>
        <v>5732.28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63.7534812424365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48.6649374747882</v>
      </c>
      <c r="I92" s="321"/>
      <c r="J92" s="321"/>
      <c r="K92" s="322"/>
      <c r="L92" s="396"/>
      <c r="M92" s="320" t="s">
        <v>125</v>
      </c>
      <c r="N92" s="37" t="n">
        <f aca="false">(N91/(1-N76))*N76</f>
        <v>48.5590480032271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9094.88948124244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8942.40093747479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7780.83904800323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IF(B105=Z104,(((H41*A32)+(H41*A32)*(B111/100))/(B64)),(((H41*A32)+(H41*A32)*(B111/100))/(B63+B64)))*1.2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757.907456770203</v>
      </c>
      <c r="C96" s="321"/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757.907456770203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396"/>
      <c r="G100" s="217" t="s">
        <v>293</v>
      </c>
      <c r="H100" s="217"/>
      <c r="I100" s="217"/>
      <c r="J100" s="217"/>
      <c r="K100" s="217"/>
      <c r="L100" s="396"/>
      <c r="M100" s="217" t="s">
        <v>350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294</v>
      </c>
      <c r="E104" s="322"/>
      <c r="F104" s="396"/>
      <c r="G104" s="320" t="s">
        <v>135</v>
      </c>
      <c r="H104" s="321" t="s">
        <v>32</v>
      </c>
      <c r="I104" s="321"/>
      <c r="J104" s="321" t="s">
        <v>294</v>
      </c>
      <c r="K104" s="322"/>
      <c r="L104" s="396"/>
      <c r="M104" s="320" t="s">
        <v>135</v>
      </c>
      <c r="N104" s="321" t="s">
        <v>32</v>
      </c>
      <c r="O104" s="321"/>
      <c r="P104" s="321" t="s">
        <v>294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273</v>
      </c>
    </row>
    <row r="105" customFormat="false" ht="18.75" hidden="false" customHeight="true" outlineLevel="0" collapsed="false">
      <c r="A105" s="382"/>
      <c r="B105" s="316" t="s">
        <v>138</v>
      </c>
      <c r="C105" s="316"/>
      <c r="D105" s="428" t="n">
        <v>1000.0</v>
      </c>
      <c r="E105" s="428"/>
      <c r="F105" s="396"/>
      <c r="G105" s="382" t="s">
        <v>295</v>
      </c>
      <c r="H105" s="316" t="s">
        <v>278</v>
      </c>
      <c r="I105" s="316"/>
      <c r="J105" s="428" t="n">
        <v>5000</v>
      </c>
      <c r="K105" s="428"/>
      <c r="L105" s="396"/>
      <c r="M105" s="382" t="s">
        <v>295</v>
      </c>
      <c r="N105" s="316" t="s">
        <v>277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274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275</v>
      </c>
    </row>
    <row r="107" customFormat="false" ht="18.75" hidden="false" customHeight="true" outlineLevel="0" collapsed="false">
      <c r="A107" s="320" t="s">
        <v>296</v>
      </c>
      <c r="B107" s="321" t="s">
        <v>297</v>
      </c>
      <c r="C107" s="321"/>
      <c r="D107" s="321" t="s">
        <v>298</v>
      </c>
      <c r="E107" s="322"/>
      <c r="F107" s="396"/>
      <c r="G107" s="320" t="s">
        <v>296</v>
      </c>
      <c r="H107" s="321" t="s">
        <v>297</v>
      </c>
      <c r="I107" s="321"/>
      <c r="J107" s="321" t="s">
        <v>298</v>
      </c>
      <c r="K107" s="322"/>
      <c r="L107" s="396"/>
      <c r="M107" s="320" t="s">
        <v>296</v>
      </c>
      <c r="N107" s="321" t="s">
        <v>297</v>
      </c>
      <c r="O107" s="321"/>
      <c r="P107" s="321" t="s">
        <v>298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400.0</v>
      </c>
      <c r="C108" s="111"/>
      <c r="D108" s="111" t="n">
        <v>200.0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277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278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279</v>
      </c>
    </row>
    <row r="111" customFormat="false" ht="18.75" hidden="false" customHeight="true" outlineLevel="0" collapsed="false">
      <c r="A111" s="397" t="s">
        <v>400</v>
      </c>
      <c r="B111" s="316" t="n">
        <v>30.0</v>
      </c>
      <c r="C111" s="316"/>
      <c r="D111" s="111" t="n">
        <v>200.0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280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351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396"/>
      <c r="G114" s="221" t="s">
        <v>299</v>
      </c>
      <c r="H114" s="221"/>
      <c r="I114" s="221"/>
      <c r="J114" s="221"/>
      <c r="K114" s="221"/>
      <c r="L114" s="396"/>
      <c r="M114" s="221" t="s">
        <v>299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300</v>
      </c>
      <c r="B116" s="397" t="s">
        <v>404</v>
      </c>
      <c r="C116" s="321"/>
      <c r="D116" s="321"/>
      <c r="E116" s="322"/>
      <c r="F116" s="396"/>
      <c r="G116" s="320" t="s">
        <v>300</v>
      </c>
      <c r="H116" s="397" t="s">
        <v>27</v>
      </c>
      <c r="I116" s="321"/>
      <c r="J116" s="321"/>
      <c r="K116" s="322"/>
      <c r="L116" s="396"/>
      <c r="M116" s="320" t="s">
        <v>300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0.0</v>
      </c>
      <c r="E118" s="111" t="n">
        <v>0.0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2000</v>
      </c>
      <c r="E119" s="111" t="n">
        <v>0.0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-2000</v>
      </c>
      <c r="E120" s="171" t="n">
        <f aca="false">E118-E119</f>
        <v>4000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-6000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239.99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301</v>
      </c>
      <c r="B125" s="376"/>
      <c r="C125" s="376"/>
      <c r="D125" s="376"/>
      <c r="E125" s="69" t="n">
        <f aca="false">(E124+E123)-E120</f>
        <v>-2760.01</v>
      </c>
      <c r="F125" s="396"/>
      <c r="G125" s="429" t="s">
        <v>301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301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396"/>
      <c r="G128" s="221" t="s">
        <v>302</v>
      </c>
      <c r="H128" s="221"/>
      <c r="I128" s="221"/>
      <c r="J128" s="221"/>
      <c r="K128" s="221"/>
      <c r="L128" s="396"/>
      <c r="M128" s="221" t="s">
        <v>302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396"/>
      <c r="G130" s="320" t="s">
        <v>192</v>
      </c>
      <c r="H130" s="176" t="n">
        <v>0</v>
      </c>
      <c r="I130" s="176"/>
      <c r="J130" s="321"/>
      <c r="K130" s="322"/>
      <c r="L130" s="396"/>
      <c r="M130" s="320" t="s">
        <v>192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11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11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757.907456770203</v>
      </c>
      <c r="B134" s="325" t="n">
        <f aca="false">IF(A111="YES",B95,0)</f>
        <v>0</v>
      </c>
      <c r="C134" s="329"/>
      <c r="D134" s="325" t="n">
        <f aca="false">B97</f>
        <v>757.907456770203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305</v>
      </c>
      <c r="H135" s="431" t="s">
        <v>306</v>
      </c>
      <c r="I135" s="431"/>
      <c r="J135" s="431" t="s">
        <v>307</v>
      </c>
      <c r="K135" s="322"/>
      <c r="L135" s="396"/>
      <c r="M135" s="430" t="s">
        <v>352</v>
      </c>
      <c r="N135" s="431" t="s">
        <v>262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757.907456770203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310</v>
      </c>
      <c r="H138" s="321" t="s">
        <v>311</v>
      </c>
      <c r="I138" s="321"/>
      <c r="J138" s="321" t="s">
        <v>312</v>
      </c>
      <c r="K138" s="322"/>
      <c r="L138" s="396"/>
      <c r="M138" s="320" t="s">
        <v>353</v>
      </c>
      <c r="N138" s="321" t="s">
        <v>251</v>
      </c>
      <c r="O138" s="321"/>
      <c r="P138" s="321" t="s">
        <v>255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757.907456770203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315</v>
      </c>
      <c r="H141" s="321" t="s">
        <v>316</v>
      </c>
      <c r="I141" s="321"/>
      <c r="J141" s="321" t="s">
        <v>317</v>
      </c>
      <c r="K141" s="322"/>
      <c r="L141" s="396"/>
      <c r="M141" s="320" t="s">
        <v>264</v>
      </c>
      <c r="N141" s="321" t="s">
        <v>265</v>
      </c>
      <c r="O141" s="321"/>
      <c r="P141" s="321" t="s">
        <v>269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757.907456770203</v>
      </c>
      <c r="B143" s="42" t="n">
        <f aca="false">IF(A111="YES",B95,0)</f>
        <v>0</v>
      </c>
      <c r="C143" s="321"/>
      <c r="D143" s="42" t="n">
        <f aca="false">B97</f>
        <v>757.907456770203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318</v>
      </c>
      <c r="H144" s="321" t="s">
        <v>319</v>
      </c>
      <c r="I144" s="321"/>
      <c r="J144" s="321" t="s">
        <v>320</v>
      </c>
      <c r="K144" s="322"/>
      <c r="L144" s="396"/>
      <c r="M144" s="320" t="s">
        <v>149</v>
      </c>
      <c r="N144" s="321" t="s">
        <v>319</v>
      </c>
      <c r="O144" s="321"/>
      <c r="P144" s="321" t="s">
        <v>320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(G18*0.000006)*1.2*100</f>
        <v>26.93088</v>
      </c>
      <c r="B146" s="347" t="n">
        <f aca="false">G18*0.000002*1.2*100</f>
        <v>8.97696</v>
      </c>
      <c r="C146" s="348"/>
      <c r="D146" s="347" t="n">
        <f aca="false">A146+B146</f>
        <v>35.90784</v>
      </c>
      <c r="E146" s="395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322</v>
      </c>
      <c r="H147" s="321" t="s">
        <v>323</v>
      </c>
      <c r="I147" s="321"/>
      <c r="J147" s="321" t="s">
        <v>324</v>
      </c>
      <c r="K147" s="322"/>
      <c r="L147" s="396"/>
      <c r="M147" s="320" t="s">
        <v>322</v>
      </c>
      <c r="N147" s="321" t="s">
        <v>323</v>
      </c>
      <c r="O147" s="321"/>
      <c r="P147" s="321" t="s">
        <v>324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2815.838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2775.84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326</v>
      </c>
      <c r="H150" s="321" t="s">
        <v>327</v>
      </c>
      <c r="I150" s="321"/>
      <c r="J150" s="321"/>
      <c r="K150" s="322"/>
      <c r="L150" s="396"/>
      <c r="M150" s="320" t="s">
        <v>326</v>
      </c>
      <c r="N150" s="321" t="s">
        <v>327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354</v>
      </c>
      <c r="N153" s="43" t="s">
        <v>355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332</v>
      </c>
      <c r="H154" s="321"/>
      <c r="I154" s="321"/>
      <c r="J154" s="356"/>
      <c r="K154" s="357"/>
      <c r="L154" s="396"/>
      <c r="M154" s="432" t="n">
        <f aca="false">H40</f>
        <v>3600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332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757.907456770203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/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757.907456770203</v>
      </c>
      <c r="B177" s="362" t="n">
        <f aca="false">IF(A111="YES",B95,0)</f>
        <v>0</v>
      </c>
      <c r="C177" s="364"/>
      <c r="D177" s="362" t="n">
        <f aca="false">A177+B177</f>
        <v>757.907456770203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757.907456770203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757.907456770203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757.907456770203</v>
      </c>
      <c r="B186" s="107" t="n">
        <f aca="false">IF(A111="YES",B95,0)</f>
        <v>0</v>
      </c>
      <c r="C186" s="360"/>
      <c r="D186" s="107" t="n">
        <f aca="false">B97</f>
        <v>757.907456770203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(G18*0.000006)*1.2*100</f>
        <v>26.93088</v>
      </c>
      <c r="B189" s="372" t="n">
        <f aca="false">G18*0.000002*1.2*100</f>
        <v>8.97696</v>
      </c>
      <c r="C189" s="373"/>
      <c r="D189" s="372" t="n">
        <f aca="false">A189+B189</f>
        <v>35.90784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G201" s="396"/>
      <c r="H201" s="396"/>
      <c r="I201" s="396"/>
      <c r="J201" s="396"/>
      <c r="K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396"/>
      <c r="G202" s="396"/>
      <c r="H202" s="396"/>
      <c r="I202" s="396"/>
      <c r="J202" s="396"/>
      <c r="K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G203" s="396"/>
      <c r="H203" s="396"/>
      <c r="I203" s="396"/>
      <c r="J203" s="396"/>
      <c r="K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G204" s="396"/>
      <c r="H204" s="396"/>
      <c r="I204" s="396"/>
      <c r="J204" s="396"/>
      <c r="K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G205" s="396"/>
      <c r="H205" s="396"/>
      <c r="I205" s="396"/>
      <c r="J205" s="396"/>
      <c r="K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G206" s="396"/>
      <c r="H206" s="396"/>
      <c r="I206" s="396"/>
      <c r="J206" s="396"/>
      <c r="K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396"/>
      <c r="G207" s="396"/>
      <c r="H207" s="396"/>
      <c r="I207" s="396"/>
      <c r="J207" s="396"/>
      <c r="K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G208" s="396"/>
      <c r="H208" s="396"/>
      <c r="I208" s="396"/>
      <c r="J208" s="396"/>
      <c r="K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D70</f>
        <v>2618.28</v>
      </c>
      <c r="E209" s="326"/>
      <c r="F209" s="396"/>
      <c r="G209" s="396"/>
      <c r="H209" s="396"/>
      <c r="I209" s="396"/>
      <c r="J209" s="396"/>
      <c r="K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G210" s="396"/>
      <c r="H210" s="396"/>
      <c r="I210" s="396"/>
      <c r="J210" s="396"/>
      <c r="K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339.991666666667</v>
      </c>
      <c r="E211" s="326"/>
      <c r="F211" s="396"/>
      <c r="G211" s="396"/>
      <c r="H211" s="396"/>
      <c r="I211" s="396"/>
      <c r="J211" s="396"/>
      <c r="K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G212" s="396"/>
      <c r="H212" s="396"/>
      <c r="I212" s="396"/>
      <c r="J212" s="396"/>
      <c r="K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229</v>
      </c>
      <c r="B213" s="325" t="n">
        <f aca="false">E223</f>
        <v>2958.26166666667</v>
      </c>
      <c r="C213" s="329"/>
      <c r="D213" s="325"/>
      <c r="E213" s="326"/>
      <c r="F213" s="396"/>
      <c r="G213" s="396"/>
      <c r="H213" s="396"/>
      <c r="I213" s="396"/>
      <c r="J213" s="396"/>
      <c r="K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G214" s="396"/>
      <c r="H214" s="396"/>
      <c r="I214" s="396"/>
      <c r="J214" s="396"/>
      <c r="K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G216" s="396"/>
      <c r="H216" s="396"/>
      <c r="I216" s="396"/>
      <c r="J216" s="396"/>
      <c r="K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226</v>
      </c>
      <c r="B217" s="108" t="n">
        <f aca="false">D70</f>
        <v>2618.28</v>
      </c>
      <c r="C217" s="383" t="s">
        <v>232</v>
      </c>
      <c r="D217" s="321"/>
      <c r="E217" s="384" t="n">
        <f aca="false">B72</f>
        <v>0</v>
      </c>
      <c r="F217" s="396"/>
      <c r="G217" s="396"/>
      <c r="H217" s="396"/>
      <c r="I217" s="396"/>
      <c r="J217" s="396"/>
      <c r="K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396"/>
      <c r="G219" s="396"/>
      <c r="H219" s="396"/>
      <c r="I219" s="396"/>
      <c r="J219" s="396"/>
      <c r="K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G220" s="396"/>
      <c r="H220" s="396"/>
      <c r="I220" s="396"/>
      <c r="J220" s="396"/>
      <c r="K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396"/>
      <c r="G221" s="396"/>
      <c r="H221" s="396"/>
      <c r="I221" s="396"/>
      <c r="J221" s="396"/>
      <c r="K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G222" s="396"/>
      <c r="H222" s="396"/>
      <c r="I222" s="396"/>
      <c r="J222" s="396"/>
      <c r="K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2958.26166666667</v>
      </c>
      <c r="F223" s="396"/>
      <c r="G223" s="396"/>
      <c r="H223" s="396"/>
      <c r="I223" s="396"/>
      <c r="J223" s="396"/>
      <c r="K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G224" s="396"/>
      <c r="H224" s="396"/>
      <c r="I224" s="396"/>
      <c r="J224" s="396"/>
      <c r="K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396"/>
      <c r="G225" s="396"/>
      <c r="H225" s="396"/>
      <c r="I225" s="396"/>
      <c r="J225" s="396"/>
      <c r="K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G226" s="396"/>
      <c r="H226" s="396"/>
      <c r="I226" s="396"/>
      <c r="J226" s="396"/>
      <c r="K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396"/>
      <c r="G227" s="396"/>
      <c r="H227" s="396"/>
      <c r="I227" s="396"/>
      <c r="J227" s="396"/>
      <c r="K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G228" s="396"/>
      <c r="H228" s="396"/>
      <c r="I228" s="396"/>
      <c r="J228" s="396"/>
      <c r="K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236</v>
      </c>
      <c r="B229" s="108" t="n">
        <f aca="false">B77</f>
        <v>160</v>
      </c>
      <c r="C229" s="340" t="s">
        <v>237</v>
      </c>
      <c r="D229" s="350"/>
      <c r="E229" s="153" t="n">
        <f aca="false">B78</f>
        <v>4.5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214</v>
      </c>
      <c r="F230" s="396"/>
      <c r="G230" s="396"/>
      <c r="H230" s="396"/>
      <c r="I230" s="396"/>
      <c r="J230" s="396"/>
      <c r="K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396"/>
      <c r="G231" s="396"/>
      <c r="H231" s="396"/>
      <c r="I231" s="396"/>
      <c r="J231" s="396"/>
      <c r="K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63.7534812424365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242</v>
      </c>
      <c r="B233" s="108" t="n">
        <f aca="false">B85</f>
        <v>300</v>
      </c>
      <c r="C233" s="389" t="s">
        <v>339</v>
      </c>
      <c r="D233" s="390"/>
      <c r="E233" s="153" t="n">
        <f aca="false">B80</f>
        <v>180</v>
      </c>
      <c r="F233" s="396"/>
      <c r="G233" s="396"/>
      <c r="H233" s="396"/>
      <c r="I233" s="396"/>
      <c r="J233" s="396"/>
      <c r="K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G234" s="396"/>
      <c r="H234" s="396"/>
      <c r="I234" s="396"/>
      <c r="J234" s="396"/>
      <c r="K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243</v>
      </c>
      <c r="B235" s="108" t="n">
        <f aca="false">B86</f>
        <v>100</v>
      </c>
      <c r="C235" s="393" t="s">
        <v>340</v>
      </c>
      <c r="D235" s="393"/>
      <c r="E235" s="153" t="n">
        <f aca="false">B81</f>
        <v>0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G236" s="396"/>
      <c r="H236" s="396"/>
      <c r="I236" s="396"/>
      <c r="J236" s="396"/>
      <c r="K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G237" s="396"/>
      <c r="H237" s="396"/>
      <c r="I237" s="396"/>
      <c r="J237" s="396"/>
      <c r="K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G239" s="396"/>
      <c r="H239" s="396"/>
      <c r="I239" s="396"/>
      <c r="J239" s="396"/>
      <c r="K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G240" s="396"/>
      <c r="H240" s="396"/>
      <c r="I240" s="396"/>
      <c r="J240" s="396"/>
      <c r="K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G241" s="396"/>
      <c r="H241" s="396"/>
      <c r="I241" s="396"/>
      <c r="J241" s="396"/>
      <c r="K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G242" s="396"/>
      <c r="H242" s="396"/>
      <c r="I242" s="396"/>
      <c r="J242" s="396"/>
      <c r="K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96"/>
      <c r="B243" s="396"/>
      <c r="C243" s="396"/>
      <c r="D243" s="396"/>
      <c r="E243" s="396"/>
      <c r="F243" s="396"/>
      <c r="G243" s="396"/>
      <c r="H243" s="396"/>
      <c r="I243" s="396"/>
      <c r="J243" s="396"/>
      <c r="K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396"/>
      <c r="B244" s="396"/>
      <c r="C244" s="396"/>
      <c r="D244" s="396"/>
      <c r="E244" s="396"/>
      <c r="F244" s="396"/>
      <c r="G244" s="396"/>
      <c r="H244" s="396"/>
      <c r="I244" s="396"/>
      <c r="J244" s="396"/>
      <c r="K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96"/>
      <c r="B245" s="396"/>
      <c r="C245" s="396"/>
      <c r="D245" s="396"/>
      <c r="E245" s="396"/>
      <c r="F245" s="396"/>
      <c r="G245" s="396"/>
      <c r="H245" s="396"/>
      <c r="I245" s="396"/>
      <c r="J245" s="396"/>
      <c r="K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96"/>
      <c r="B246" s="396"/>
      <c r="C246" s="396"/>
      <c r="D246" s="396"/>
      <c r="E246" s="396"/>
      <c r="F246" s="396"/>
      <c r="G246" s="396"/>
      <c r="H246" s="396"/>
      <c r="I246" s="396"/>
      <c r="J246" s="396"/>
      <c r="K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396"/>
      <c r="B247" s="396"/>
      <c r="C247" s="396"/>
      <c r="D247" s="396"/>
      <c r="E247" s="396"/>
      <c r="F247" s="396"/>
      <c r="G247" s="396"/>
      <c r="H247" s="396"/>
      <c r="I247" s="396"/>
      <c r="J247" s="396"/>
      <c r="K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96"/>
      <c r="B248" s="396"/>
      <c r="C248" s="396"/>
      <c r="D248" s="396"/>
      <c r="E248" s="396"/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3600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246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248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249</v>
      </c>
      <c r="B29" s="227" t="n">
        <v>12345</v>
      </c>
      <c r="C29" s="227"/>
      <c r="D29" s="398" t="n">
        <f aca="true">TODAY()+1</f>
        <v>45490</v>
      </c>
      <c r="E29" s="398"/>
      <c r="F29" s="396"/>
      <c r="G29" s="33" t="s">
        <v>37</v>
      </c>
      <c r="H29" s="41" t="n">
        <f aca="false">A32</f>
        <v>12</v>
      </c>
      <c r="I29" s="396" t="n">
        <f aca="false">ISNUMBER(I31)</f>
        <v>0</v>
      </c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12.0</v>
      </c>
      <c r="B32" s="227" t="n">
        <v>5000.0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346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21600</v>
      </c>
      <c r="B35" s="227" t="s">
        <v>416</v>
      </c>
      <c r="C35" s="227"/>
      <c r="D35" s="282" t="n">
        <f aca="false">A35-B35</f>
        <v>20600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6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411</v>
      </c>
      <c r="B38" s="245" t="n">
        <f aca="false">A32-1</f>
        <v>11</v>
      </c>
      <c r="C38" s="245"/>
      <c r="D38" s="108" t="s">
        <v>409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</v>
      </c>
      <c r="G40" s="7" t="s">
        <v>67</v>
      </c>
      <c r="H40" s="7" t="n">
        <f aca="false">C15</f>
        <v>3600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410</v>
      </c>
      <c r="B41" s="108" t="s">
        <v>420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 t="s">
        <v>6</v>
      </c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6</v>
      </c>
      <c r="D43" s="244" t="s">
        <v>220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n">
        <v>0.0</v>
      </c>
      <c r="B44" s="108" t="s">
        <v>412</v>
      </c>
      <c r="C44" s="108"/>
      <c r="D44" s="108" t="n">
        <v>0.0</v>
      </c>
      <c r="E44" s="108"/>
      <c r="F44" s="396"/>
      <c r="G44" s="7" t="s">
        <v>74</v>
      </c>
      <c r="H44" s="7" t="n">
        <f aca="false">((H40-(((H42/(1.2))*0.2)))/(H43))</f>
        <v>216.666666666667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283.333333333333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346</v>
      </c>
      <c r="B46" s="234" t="s">
        <v>347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346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286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114"/>
      <c r="B50" s="234"/>
      <c r="C50" s="234"/>
      <c r="D50" s="234"/>
      <c r="E50" s="247"/>
      <c r="F50" s="396"/>
      <c r="G50" s="7" t="s">
        <v>348</v>
      </c>
      <c r="H50" s="7" t="n">
        <f aca="false">H49-H41</f>
        <v>286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/>
      <c r="B52" s="78"/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346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286</v>
      </c>
      <c r="C58" s="78"/>
      <c r="D58" s="434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9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3</v>
      </c>
      <c r="C64" s="321" t="s">
        <v>6</v>
      </c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285</v>
      </c>
      <c r="B66" s="219" t="n">
        <f aca="false">E19</f>
        <v>21600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v>37404</v>
      </c>
      <c r="C67" s="321"/>
      <c r="D67" s="321"/>
      <c r="E67" s="322"/>
      <c r="F67" s="396"/>
      <c r="G67" s="320" t="s">
        <v>23</v>
      </c>
      <c r="H67" s="36" t="n">
        <f aca="false">G18</f>
        <v>37404</v>
      </c>
      <c r="I67" s="321"/>
      <c r="J67" s="321"/>
      <c r="K67" s="322"/>
      <c r="L67" s="396"/>
      <c r="M67" s="320" t="s">
        <v>23</v>
      </c>
      <c r="N67" s="36" t="n">
        <f aca="false">G18</f>
        <v>37404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286</v>
      </c>
      <c r="B68" s="296" t="n">
        <v>0.07</v>
      </c>
      <c r="C68" s="321"/>
      <c r="D68" s="321"/>
      <c r="E68" s="322"/>
      <c r="F68" s="396"/>
      <c r="G68" s="407" t="s">
        <v>286</v>
      </c>
      <c r="H68" s="408" t="n">
        <v>0.07</v>
      </c>
      <c r="I68" s="321"/>
      <c r="J68" s="321"/>
      <c r="K68" s="322"/>
      <c r="L68" s="396"/>
      <c r="M68" s="407" t="s">
        <v>286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287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287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B67*B69</f>
        <v>2618.28</v>
      </c>
      <c r="C70" s="321" t="n">
        <v>10000.0</v>
      </c>
      <c r="D70" s="36" t="n">
        <f aca="false">B70-A149</f>
        <v>2618.28</v>
      </c>
      <c r="E70" s="322" t="n">
        <f aca="false">D70/12</f>
        <v>218.19</v>
      </c>
      <c r="F70" s="396"/>
      <c r="G70" s="375" t="s">
        <v>100</v>
      </c>
      <c r="H70" s="69" t="n">
        <f aca="false">H67*H69</f>
        <v>2618.28</v>
      </c>
      <c r="I70" s="321"/>
      <c r="J70" s="36" t="n">
        <f aca="false">H70-G151</f>
        <v>2618.28</v>
      </c>
      <c r="K70" s="322"/>
      <c r="L70" s="396"/>
      <c r="M70" s="375" t="s">
        <v>100</v>
      </c>
      <c r="N70" s="69" t="n">
        <f aca="false">N67*N69</f>
        <v>2618.28</v>
      </c>
      <c r="O70" s="321"/>
      <c r="P70" s="36" t="n">
        <f aca="false">N70-M151</f>
        <v>2618.28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187.02</v>
      </c>
      <c r="I73" s="321"/>
      <c r="J73" s="36"/>
      <c r="K73" s="322"/>
      <c r="L73" s="396"/>
      <c r="M73" s="375" t="s">
        <v>103</v>
      </c>
      <c r="N73" s="69" t="n">
        <f aca="false">N67*N72</f>
        <v>187.02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200.0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5.0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288</v>
      </c>
      <c r="B80" s="91" t="n">
        <v>165.0</v>
      </c>
      <c r="C80" s="321"/>
      <c r="D80" s="321"/>
      <c r="E80" s="395" t="n">
        <f aca="false">E79+D82</f>
        <v>838.75</v>
      </c>
      <c r="F80" s="396"/>
      <c r="G80" s="407" t="s">
        <v>288</v>
      </c>
      <c r="H80" s="91" t="n">
        <v>150</v>
      </c>
      <c r="I80" s="321"/>
      <c r="J80" s="321"/>
      <c r="K80" s="322"/>
      <c r="L80" s="396"/>
      <c r="M80" s="412" t="s">
        <v>288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289</v>
      </c>
      <c r="B81" s="81" t="n">
        <v>0.0</v>
      </c>
      <c r="C81" s="321"/>
      <c r="D81" s="321"/>
      <c r="E81" s="322" t="n">
        <f aca="false">E80/12</f>
        <v>69.8958333333333</v>
      </c>
      <c r="F81" s="396"/>
      <c r="G81" s="409" t="s">
        <v>289</v>
      </c>
      <c r="H81" s="81" t="n">
        <f aca="false">IF(G18&gt;40000,325,0)</f>
        <v>0</v>
      </c>
      <c r="I81" s="321"/>
      <c r="J81" s="321"/>
      <c r="K81" s="322"/>
      <c r="L81" s="396"/>
      <c r="M81" s="414" t="s">
        <v>289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290</v>
      </c>
      <c r="B82" s="69" t="n">
        <f aca="false">((B80+B81)/12)*(H29+1)</f>
        <v>178.75</v>
      </c>
      <c r="C82" s="321"/>
      <c r="D82" s="36" t="n">
        <f aca="false">IF(A50="YES",0,B82)</f>
        <v>178.75</v>
      </c>
      <c r="E82" s="322"/>
      <c r="F82" s="396"/>
      <c r="G82" s="375" t="s">
        <v>290</v>
      </c>
      <c r="H82" s="69" t="n">
        <f aca="false">((H80+H81)/12)*(H29-11)</f>
        <v>12.5</v>
      </c>
      <c r="I82" s="321"/>
      <c r="J82" s="36" t="n">
        <f aca="false">IF(A50="YES",0,H82)</f>
        <v>12.5</v>
      </c>
      <c r="K82" s="322"/>
      <c r="L82" s="396"/>
      <c r="M82" s="416" t="s">
        <v>290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291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291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291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349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292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292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200.0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200.0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4123.69666666667</v>
      </c>
      <c r="C87" s="321"/>
      <c r="D87" s="321"/>
      <c r="E87" s="322"/>
      <c r="F87" s="396"/>
      <c r="G87" s="419" t="s">
        <v>112</v>
      </c>
      <c r="H87" s="420" t="n">
        <f aca="false">SUM(J70:J86)</f>
        <v>5744.78</v>
      </c>
      <c r="I87" s="321"/>
      <c r="J87" s="321"/>
      <c r="K87" s="322"/>
      <c r="L87" s="396"/>
      <c r="M87" s="419" t="s">
        <v>112</v>
      </c>
      <c r="N87" s="420" t="n">
        <f aca="false">SUM(P70:P86)</f>
        <v>5732.28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343.641388888889</v>
      </c>
      <c r="C88" s="321"/>
      <c r="D88" s="321"/>
      <c r="E88" s="322"/>
      <c r="F88" s="396"/>
      <c r="G88" s="320" t="s">
        <v>113</v>
      </c>
      <c r="H88" s="37" t="n">
        <f aca="false">H87/H29</f>
        <v>478.731666666667</v>
      </c>
      <c r="I88" s="321"/>
      <c r="J88" s="321"/>
      <c r="K88" s="322"/>
      <c r="L88" s="396"/>
      <c r="M88" s="320" t="s">
        <v>113</v>
      </c>
      <c r="N88" s="37" t="n">
        <f aca="false">N87/H29</f>
        <v>477.69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286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</f>
        <v>7555.69666666667</v>
      </c>
      <c r="C91" s="321"/>
      <c r="D91" s="321"/>
      <c r="E91" s="322"/>
      <c r="F91" s="396"/>
      <c r="G91" s="404" t="s">
        <v>124</v>
      </c>
      <c r="H91" s="31" t="n">
        <f aca="false">((H89*H29)+H87)*1.2</f>
        <v>6893.736</v>
      </c>
      <c r="I91" s="321"/>
      <c r="J91" s="321"/>
      <c r="K91" s="322"/>
      <c r="L91" s="396"/>
      <c r="M91" s="404" t="s">
        <v>124</v>
      </c>
      <c r="N91" s="31" t="n">
        <f aca="false">((N89*H29)+N87)</f>
        <v>5732.28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64.0054981847519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48.6649374747882</v>
      </c>
      <c r="I92" s="321"/>
      <c r="J92" s="321"/>
      <c r="K92" s="322"/>
      <c r="L92" s="396"/>
      <c r="M92" s="320" t="s">
        <v>125</v>
      </c>
      <c r="N92" s="37" t="n">
        <f aca="false">(N91/(1-N76))*N76</f>
        <v>48.5590480032271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7619.70216485142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8942.40093747479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7780.83904800323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634.975180404285</v>
      </c>
      <c r="C96" s="321" t="s">
        <v>6</v>
      </c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634.975180404285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396"/>
      <c r="G100" s="217" t="s">
        <v>293</v>
      </c>
      <c r="H100" s="217"/>
      <c r="I100" s="217"/>
      <c r="J100" s="217"/>
      <c r="K100" s="217"/>
      <c r="L100" s="396"/>
      <c r="M100" s="217" t="s">
        <v>350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294</v>
      </c>
      <c r="E104" s="322"/>
      <c r="F104" s="396"/>
      <c r="G104" s="320" t="s">
        <v>135</v>
      </c>
      <c r="H104" s="321" t="s">
        <v>32</v>
      </c>
      <c r="I104" s="321"/>
      <c r="J104" s="321" t="s">
        <v>294</v>
      </c>
      <c r="K104" s="322"/>
      <c r="L104" s="396"/>
      <c r="M104" s="320" t="s">
        <v>135</v>
      </c>
      <c r="N104" s="321" t="s">
        <v>32</v>
      </c>
      <c r="O104" s="321"/>
      <c r="P104" s="321" t="s">
        <v>294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273</v>
      </c>
    </row>
    <row r="105" customFormat="false" ht="18.75" hidden="false" customHeight="true" outlineLevel="0" collapsed="false">
      <c r="A105" s="382"/>
      <c r="B105" s="316" t="s">
        <v>360</v>
      </c>
      <c r="C105" s="316"/>
      <c r="D105" s="428" t="n">
        <v>1000.0</v>
      </c>
      <c r="E105" s="428"/>
      <c r="F105" s="396"/>
      <c r="G105" s="382" t="s">
        <v>295</v>
      </c>
      <c r="H105" s="316" t="s">
        <v>278</v>
      </c>
      <c r="I105" s="316"/>
      <c r="J105" s="428" t="n">
        <v>5000</v>
      </c>
      <c r="K105" s="428"/>
      <c r="L105" s="396"/>
      <c r="M105" s="382" t="s">
        <v>295</v>
      </c>
      <c r="N105" s="316" t="s">
        <v>277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274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275</v>
      </c>
    </row>
    <row r="107" customFormat="false" ht="18.75" hidden="false" customHeight="true" outlineLevel="0" collapsed="false">
      <c r="A107" s="320" t="s">
        <v>296</v>
      </c>
      <c r="B107" s="321" t="s">
        <v>297</v>
      </c>
      <c r="C107" s="321"/>
      <c r="D107" s="321" t="s">
        <v>298</v>
      </c>
      <c r="E107" s="322"/>
      <c r="F107" s="396"/>
      <c r="G107" s="320" t="s">
        <v>296</v>
      </c>
      <c r="H107" s="321" t="s">
        <v>297</v>
      </c>
      <c r="I107" s="321"/>
      <c r="J107" s="321" t="s">
        <v>298</v>
      </c>
      <c r="K107" s="322"/>
      <c r="L107" s="396"/>
      <c r="M107" s="320" t="s">
        <v>296</v>
      </c>
      <c r="N107" s="321" t="s">
        <v>297</v>
      </c>
      <c r="O107" s="321"/>
      <c r="P107" s="321" t="s">
        <v>298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277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278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279</v>
      </c>
    </row>
    <row r="111" customFormat="false" ht="18.75" hidden="false" customHeight="true" outlineLevel="0" collapsed="false">
      <c r="A111" s="397" t="s">
        <v>404</v>
      </c>
      <c r="B111" s="316" t="n">
        <v>0.0</v>
      </c>
      <c r="C111" s="316"/>
      <c r="D111" s="111" t="s">
        <v>424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280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351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396"/>
      <c r="G114" s="221" t="s">
        <v>299</v>
      </c>
      <c r="H114" s="221"/>
      <c r="I114" s="221"/>
      <c r="J114" s="221"/>
      <c r="K114" s="221"/>
      <c r="L114" s="396"/>
      <c r="M114" s="221" t="s">
        <v>299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300</v>
      </c>
      <c r="B116" s="397" t="s">
        <v>404</v>
      </c>
      <c r="C116" s="321"/>
      <c r="D116" s="321"/>
      <c r="E116" s="322"/>
      <c r="F116" s="396"/>
      <c r="G116" s="320" t="s">
        <v>300</v>
      </c>
      <c r="H116" s="397" t="s">
        <v>27</v>
      </c>
      <c r="I116" s="321"/>
      <c r="J116" s="321"/>
      <c r="K116" s="322"/>
      <c r="L116" s="396"/>
      <c r="M116" s="320" t="s">
        <v>300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0.0</v>
      </c>
      <c r="E118" s="111" t="n">
        <v>0.0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2000</v>
      </c>
      <c r="E119" s="111" t="n">
        <v>0.0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-2000</v>
      </c>
      <c r="E120" s="171" t="n">
        <f aca="false">E118-E119</f>
        <v>4000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-6000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199.99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301</v>
      </c>
      <c r="B125" s="376"/>
      <c r="C125" s="376"/>
      <c r="D125" s="376"/>
      <c r="E125" s="69" t="n">
        <f aca="false">((E124*1.2)+E123)-E120</f>
        <v>-2760.012</v>
      </c>
      <c r="F125" s="396"/>
      <c r="G125" s="429" t="s">
        <v>301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301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396"/>
      <c r="G128" s="221" t="s">
        <v>302</v>
      </c>
      <c r="H128" s="221"/>
      <c r="I128" s="221"/>
      <c r="J128" s="221"/>
      <c r="K128" s="221"/>
      <c r="L128" s="396"/>
      <c r="M128" s="221" t="s">
        <v>302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396"/>
      <c r="G130" s="320" t="s">
        <v>192</v>
      </c>
      <c r="H130" s="176" t="n">
        <v>0</v>
      </c>
      <c r="I130" s="176"/>
      <c r="J130" s="321"/>
      <c r="K130" s="322"/>
      <c r="L130" s="396"/>
      <c r="M130" s="320" t="s">
        <v>192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3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3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634.975180404285</v>
      </c>
      <c r="B134" s="325" t="n">
        <f aca="false">IF(A111="YES",B95,0)</f>
        <v>0</v>
      </c>
      <c r="C134" s="330"/>
      <c r="D134" s="325" t="n">
        <f aca="false">B97</f>
        <v>634.975180404285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305</v>
      </c>
      <c r="H135" s="431" t="s">
        <v>306</v>
      </c>
      <c r="I135" s="431"/>
      <c r="J135" s="431" t="s">
        <v>307</v>
      </c>
      <c r="K135" s="322"/>
      <c r="L135" s="396"/>
      <c r="M135" s="430" t="s">
        <v>352</v>
      </c>
      <c r="N135" s="431" t="s">
        <v>262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 Terminal pause with 9 down </v>
      </c>
      <c r="B137" s="42" t="n">
        <f aca="false">B96*B63</f>
        <v>5714.77662363857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310</v>
      </c>
      <c r="H138" s="321" t="s">
        <v>311</v>
      </c>
      <c r="I138" s="321"/>
      <c r="J138" s="321" t="s">
        <v>312</v>
      </c>
      <c r="K138" s="322"/>
      <c r="L138" s="396"/>
      <c r="M138" s="320" t="s">
        <v>353</v>
      </c>
      <c r="N138" s="321" t="s">
        <v>251</v>
      </c>
      <c r="O138" s="321"/>
      <c r="P138" s="321" t="s">
        <v>255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5714.77662363857</v>
      </c>
      <c r="B140" s="42" t="n">
        <f aca="false">E120</f>
        <v>4000</v>
      </c>
      <c r="C140" s="321"/>
      <c r="D140" s="341" t="n">
        <f aca="false">B64</f>
        <v>3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315</v>
      </c>
      <c r="H141" s="321" t="s">
        <v>316</v>
      </c>
      <c r="I141" s="321"/>
      <c r="J141" s="321" t="s">
        <v>317</v>
      </c>
      <c r="K141" s="322"/>
      <c r="L141" s="396"/>
      <c r="M141" s="320" t="s">
        <v>264</v>
      </c>
      <c r="N141" s="321" t="s">
        <v>265</v>
      </c>
      <c r="O141" s="321"/>
      <c r="P141" s="321" t="s">
        <v>269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634.975180404285</v>
      </c>
      <c r="B143" s="42" t="n">
        <f aca="false">IF(A111="YES",B95,0)</f>
        <v>0</v>
      </c>
      <c r="C143" s="321"/>
      <c r="D143" s="42" t="n">
        <f aca="false">B97</f>
        <v>634.975180404285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318</v>
      </c>
      <c r="H144" s="321" t="s">
        <v>319</v>
      </c>
      <c r="I144" s="321"/>
      <c r="J144" s="321" t="s">
        <v>320</v>
      </c>
      <c r="K144" s="322"/>
      <c r="L144" s="396"/>
      <c r="M144" s="320" t="s">
        <v>149</v>
      </c>
      <c r="N144" s="321" t="s">
        <v>319</v>
      </c>
      <c r="O144" s="321"/>
      <c r="P144" s="321" t="s">
        <v>320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322</v>
      </c>
      <c r="H147" s="321" t="s">
        <v>323</v>
      </c>
      <c r="I147" s="321"/>
      <c r="J147" s="321" t="s">
        <v>324</v>
      </c>
      <c r="K147" s="322"/>
      <c r="L147" s="396"/>
      <c r="M147" s="320" t="s">
        <v>322</v>
      </c>
      <c r="N147" s="321" t="s">
        <v>323</v>
      </c>
      <c r="O147" s="321"/>
      <c r="P147" s="321" t="s">
        <v>324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2815.838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2775.84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326</v>
      </c>
      <c r="H150" s="321" t="s">
        <v>327</v>
      </c>
      <c r="I150" s="321"/>
      <c r="J150" s="321"/>
      <c r="K150" s="322"/>
      <c r="L150" s="396"/>
      <c r="M150" s="320" t="s">
        <v>326</v>
      </c>
      <c r="N150" s="321" t="s">
        <v>327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354</v>
      </c>
      <c r="N153" s="43" t="s">
        <v>355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332</v>
      </c>
      <c r="H154" s="321"/>
      <c r="I154" s="321"/>
      <c r="J154" s="356"/>
      <c r="K154" s="357"/>
      <c r="L154" s="396"/>
      <c r="M154" s="432" t="n">
        <f aca="false">H40</f>
        <v>3600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332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634.975180404285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 t="n">
        <f aca="false">ISNUMBER(B183)</f>
        <v>1</v>
      </c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634.975180404285</v>
      </c>
      <c r="B177" s="362" t="n">
        <f aca="false">IF(A111="YES",B95,0)</f>
        <v>0</v>
      </c>
      <c r="C177" s="365"/>
      <c r="D177" s="362" t="n">
        <f aca="false">B91</f>
        <v>7555.69666666667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 Terminal pause with 9 down </v>
      </c>
      <c r="B180" s="107" t="n">
        <f aca="false">B96*B63</f>
        <v>5714.77662363857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5714.77662363857</v>
      </c>
      <c r="B183" s="107" t="n">
        <f aca="false">E120</f>
        <v>4000</v>
      </c>
      <c r="C183" s="360"/>
      <c r="D183" s="368" t="n">
        <f aca="false">B64</f>
        <v>3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634.975180404285</v>
      </c>
      <c r="B186" s="107" t="n">
        <f aca="false">IF(A111="YES",B95,0)</f>
        <v>0</v>
      </c>
      <c r="C186" s="360"/>
      <c r="D186" s="107" t="n">
        <f aca="false">B97</f>
        <v>634.975180404285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D70</f>
        <v>2618.28</v>
      </c>
      <c r="E209" s="326"/>
      <c r="F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229</v>
      </c>
      <c r="B213" s="325" t="n">
        <f aca="false">E223</f>
        <v>2958.26</v>
      </c>
      <c r="C213" s="329"/>
      <c r="D213" s="325"/>
      <c r="E213" s="326"/>
      <c r="F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226</v>
      </c>
      <c r="B217" s="108" t="n">
        <f aca="false">D70</f>
        <v>2618.28</v>
      </c>
      <c r="C217" s="383" t="s">
        <v>232</v>
      </c>
      <c r="D217" s="321"/>
      <c r="E217" s="384" t="n">
        <f aca="false">B72</f>
        <v>0</v>
      </c>
      <c r="F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2958.26</v>
      </c>
      <c r="F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64.0054981847519</v>
      </c>
      <c r="F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20"/>
      <c r="B243" s="321"/>
      <c r="C243" s="321"/>
      <c r="D243" s="321"/>
      <c r="E243" s="322"/>
      <c r="F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115"/>
      <c r="B244" s="42"/>
      <c r="C244" s="42"/>
      <c r="D244" s="42"/>
      <c r="E244" s="109"/>
      <c r="F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20"/>
      <c r="B245" s="321"/>
      <c r="C245" s="321"/>
      <c r="D245" s="321"/>
      <c r="E245" s="322"/>
      <c r="F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20"/>
      <c r="B246" s="321"/>
      <c r="C246" s="321"/>
      <c r="D246" s="321"/>
      <c r="E246" s="322"/>
      <c r="F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115"/>
      <c r="B247" s="42"/>
      <c r="C247" s="321"/>
      <c r="D247" s="321"/>
      <c r="E247" s="322"/>
      <c r="F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75"/>
      <c r="B248" s="376"/>
      <c r="C248" s="376"/>
      <c r="D248" s="376"/>
      <c r="E248" s="377"/>
      <c r="F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B70" activeCellId="0" sqref="B70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18125</v>
      </c>
      <c r="C2" s="9" t="s">
        <v>12</v>
      </c>
      <c r="D2" s="10" t="n">
        <f aca="false">C9</f>
        <v>3625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21750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3625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18125</v>
      </c>
      <c r="C15" s="14" t="n">
        <f aca="false">SUM(C9:C13)</f>
        <v>3625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21750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18125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60</v>
      </c>
      <c r="E32" s="230"/>
      <c r="F32" s="67"/>
      <c r="G32" s="231" t="s">
        <v>253</v>
      </c>
      <c r="H32" s="229" t="str">
        <f aca="false">A41</f>
        <v>60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560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401</v>
      </c>
      <c r="B41" s="245" t="n">
        <f aca="false">IF(B38="YES",D38+A41,D38)</f>
        <v>560</v>
      </c>
      <c r="C41" s="245"/>
      <c r="D41" s="108" t="s">
        <v>410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108" t="s">
        <v>412</v>
      </c>
      <c r="C44" s="108"/>
      <c r="D44" s="108" t="s">
        <v>401</v>
      </c>
      <c r="E44" s="108"/>
      <c r="F44" s="67"/>
      <c r="G44" s="67" t="s">
        <v>267</v>
      </c>
      <c r="H44" s="242" t="str">
        <f aca="false">H32</f>
        <v>60</v>
      </c>
      <c r="I44" s="402" t="n">
        <f aca="false">((A41*(B35-1))+D32)/B35</f>
        <v>60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561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414</v>
      </c>
      <c r="C47" s="435"/>
      <c r="D47" s="108" t="s">
        <v>414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561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347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21750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37405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1522.5</v>
      </c>
      <c r="C70" s="219" t="n">
        <v>10000.0</v>
      </c>
      <c r="D70" s="294" t="n">
        <f aca="false">B70-A149</f>
        <v>1522.5</v>
      </c>
      <c r="E70" s="220" t="n">
        <f aca="false">D70/12</f>
        <v>126.875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392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393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288</v>
      </c>
      <c r="B80" s="438" t="n">
        <v>0.0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289</v>
      </c>
      <c r="B81" s="440" t="n">
        <v>0.0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0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2849.16666666667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237.430555555556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8861.16666666667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75.0643404598629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8936.23100712653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72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744.685917260544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744.685917260544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359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404</v>
      </c>
      <c r="B111" s="318" t="n">
        <v>0.0</v>
      </c>
      <c r="C111" s="318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744.685917260544</v>
      </c>
      <c r="B134" s="325" t="n">
        <f aca="false">IF(A111="YES",B95,0)</f>
        <v>0</v>
      </c>
      <c r="C134" s="330"/>
      <c r="D134" s="325" t="n">
        <f aca="false">B97</f>
        <v>744.685917260544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744.685917260544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744.685917260544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744.685917260544</v>
      </c>
      <c r="B143" s="42" t="n">
        <f aca="false">IF(A111="YES",B95,0)</f>
        <v>0</v>
      </c>
      <c r="C143" s="321"/>
      <c r="D143" s="42" t="n">
        <f aca="false">B97</f>
        <v>744.685917260544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14.4</v>
      </c>
      <c r="H148" s="107" t="n">
        <f aca="false">G108-100</f>
        <v>139.988</v>
      </c>
      <c r="I148" s="107"/>
      <c r="J148" s="107" t="n">
        <f aca="false">(H145+J145+G148+H148)-H151</f>
        <v>1390.238</v>
      </c>
      <c r="K148" s="109"/>
      <c r="L148" s="67"/>
      <c r="M148" s="115" t="n">
        <f aca="false">IF(M111="YES",((A41*N111)*0.1)*(M133),0)</f>
        <v>14.4</v>
      </c>
      <c r="N148" s="107" t="n">
        <f aca="false">M108-100</f>
        <v>99.99</v>
      </c>
      <c r="O148" s="107"/>
      <c r="P148" s="107" t="n">
        <f aca="false">(N145+P145+M148+N148)-N151</f>
        <v>1350.24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107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599.99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744.685917260544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744.685917260544</v>
      </c>
      <c r="B177" s="362" t="n">
        <f aca="false">IF(A111="YES",B95,0)</f>
        <v>0</v>
      </c>
      <c r="C177" s="365"/>
      <c r="D177" s="362" t="n">
        <f aca="false">B91</f>
        <v>8861.16666666667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744.685917260544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744.685917260544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744.685917260544</v>
      </c>
      <c r="B186" s="107" t="n">
        <f aca="false">IF(A111="YES",B95,0)</f>
        <v>0</v>
      </c>
      <c r="C186" s="360"/>
      <c r="D186" s="107" t="n">
        <f aca="false">B97</f>
        <v>744.685917260544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599.99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1522.5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1762.49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1522.5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1762.49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75.0643404598629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401</v>
      </c>
      <c r="B41" s="245" t="str">
        <f aca="false">IF(B38="YES",D38+A41,D38)</f>
        <v>500</v>
      </c>
      <c r="C41" s="245"/>
      <c r="D41" s="108" t="s">
        <v>410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108" t="s">
        <v>412</v>
      </c>
      <c r="C44" s="108"/>
      <c r="D44" s="108" t="s">
        <v>401</v>
      </c>
      <c r="E44" s="108"/>
      <c r="F44" s="67"/>
      <c r="G44" s="67" t="s">
        <v>267</v>
      </c>
      <c r="H44" s="242" t="str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414</v>
      </c>
      <c r="C47" s="435"/>
      <c r="D47" s="108" t="s">
        <v>414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10000.0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165.0</v>
      </c>
      <c r="C80" s="219"/>
      <c r="D80" s="219"/>
      <c r="E80" s="436" t="n">
        <f aca="false">E79+D82</f>
        <v>838.75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0.0</v>
      </c>
      <c r="C81" s="219"/>
      <c r="D81" s="219"/>
      <c r="E81" s="220" t="n">
        <f aca="false">E80/12</f>
        <v>69.8958333333333</v>
      </c>
      <c r="F81" s="67"/>
      <c r="G81" s="299" t="s">
        <v>289</v>
      </c>
      <c r="H81" s="303" t="n">
        <f aca="false">IF(G18&gt;40000,325,0)</f>
        <v>0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290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3017.41666666667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251.451388888889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10835.3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76.4896127470755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10911.7896127471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909.315801062256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909.315801062256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293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404</v>
      </c>
      <c r="B111" s="316" t="n">
        <v>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-2760.01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909.315801062256</v>
      </c>
      <c r="B134" s="325" t="n">
        <f aca="false">IF(A111="YES",B95,0)</f>
        <v>0</v>
      </c>
      <c r="C134" s="330"/>
      <c r="D134" s="325" t="n">
        <f aca="false">B97</f>
        <v>909.315801062256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909.315801062256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909.315801062256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909.315801062256</v>
      </c>
      <c r="B143" s="42" t="n">
        <f aca="false">IF(A111="YES",B95,0)</f>
        <v>0</v>
      </c>
      <c r="C143" s="321"/>
      <c r="D143" s="42" t="n">
        <f aca="false">B97</f>
        <v>909.315801062256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26.93088</v>
      </c>
      <c r="B146" s="347" t="n">
        <f aca="false">G18*0.000002*1.2*100</f>
        <v>8.97696</v>
      </c>
      <c r="C146" s="348"/>
      <c r="D146" s="347" t="n">
        <f aca="false">A146+B146</f>
        <v>35.90784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909.315801062256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909.315801062256</v>
      </c>
      <c r="B177" s="362" t="n">
        <f aca="false">IF(A111="YES",B95,0)</f>
        <v>0</v>
      </c>
      <c r="C177" s="365"/>
      <c r="D177" s="362" t="n">
        <f aca="false">B97</f>
        <v>909.315801062256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909.315801062256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909.315801062256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909.315801062256</v>
      </c>
      <c r="B186" s="107" t="n">
        <f aca="false">IF(A111="YES",B95,0)</f>
        <v>0</v>
      </c>
      <c r="C186" s="360"/>
      <c r="D186" s="107" t="n">
        <f aca="false">B97</f>
        <v>909.315801062256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26.93088</v>
      </c>
      <c r="B189" s="372" t="n">
        <f aca="false">G18*0.000002*1.2*100</f>
        <v>8.97696</v>
      </c>
      <c r="C189" s="373"/>
      <c r="D189" s="372" t="n">
        <f aca="false">A189+B189</f>
        <v>35.90784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1851.98166666667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1512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1851.98166666667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76.4896127470755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253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417</v>
      </c>
      <c r="B41" s="245" t="n">
        <f aca="false">IF(B38="YES",D38+A41,D38)</f>
        <v>550</v>
      </c>
      <c r="C41" s="245"/>
      <c r="D41" s="108" t="s">
        <v>410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108" t="s">
        <v>412</v>
      </c>
      <c r="C44" s="108"/>
      <c r="D44" s="108" t="s">
        <v>414</v>
      </c>
      <c r="E44" s="108"/>
      <c r="F44" s="67"/>
      <c r="G44" s="67" t="s">
        <v>267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414</v>
      </c>
      <c r="C47" s="435"/>
      <c r="D47" s="108" t="s">
        <v>414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10000.0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165.0</v>
      </c>
      <c r="C80" s="219"/>
      <c r="D80" s="219"/>
      <c r="E80" s="436" t="n">
        <f aca="false">E79+D82</f>
        <v>838.75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0.0</v>
      </c>
      <c r="C81" s="219"/>
      <c r="D81" s="219"/>
      <c r="E81" s="220" t="n">
        <f aca="false">E80/12</f>
        <v>69.8958333333333</v>
      </c>
      <c r="F81" s="67"/>
      <c r="G81" s="299" t="s">
        <v>289</v>
      </c>
      <c r="H81" s="303" t="n">
        <f aca="false">IF(G18&gt;40000,325,0)</f>
        <v>0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290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3017.41666666667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251.451388888889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9029.41666666667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76.4896127470755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9105.90627941374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60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758.825523284479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758.825523284479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404</v>
      </c>
      <c r="B111" s="316" t="n">
        <v>20.0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-2760.012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758.825523284479</v>
      </c>
      <c r="B134" s="325" t="n">
        <f aca="false">IF(A111="YES",B95,0)</f>
        <v>0</v>
      </c>
      <c r="C134" s="330"/>
      <c r="D134" s="325" t="n">
        <f aca="false">B97</f>
        <v>758.825523284479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758.825523284479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758.825523284479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758.825523284479</v>
      </c>
      <c r="B143" s="42" t="n">
        <f aca="false">IF(A111="YES",B95,0)</f>
        <v>0</v>
      </c>
      <c r="C143" s="321"/>
      <c r="D143" s="42" t="n">
        <f aca="false">B97</f>
        <v>758.825523284479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1387.838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1347.84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758.825523284479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758.825523284479</v>
      </c>
      <c r="B177" s="362" t="n">
        <f aca="false">IF(A111="YES",B95,0)</f>
        <v>0</v>
      </c>
      <c r="C177" s="365"/>
      <c r="D177" s="362" t="n">
        <f aca="false">B91</f>
        <v>9029.41666666667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758.825523284479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758.825523284479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758.825523284479</v>
      </c>
      <c r="B186" s="107" t="n">
        <f aca="false">IF(A111="YES",B95,0)</f>
        <v>0</v>
      </c>
      <c r="C186" s="360"/>
      <c r="D186" s="107" t="n">
        <f aca="false">B97</f>
        <v>758.825523284479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B154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1851.98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1512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1851.98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76.4896127470755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0.00</v>
      </c>
      <c r="E32" s="230"/>
      <c r="F32" s="67"/>
      <c r="G32" s="231" t="s">
        <v>253</v>
      </c>
      <c r="H32" s="229" t="str">
        <f aca="false">A41</f>
        <v>0.00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418</v>
      </c>
      <c r="B41" s="245" t="n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str">
        <f aca="false">H32</f>
        <v>0.00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10000.0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288</v>
      </c>
      <c r="B80" s="438" t="n">
        <v>0.0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289</v>
      </c>
      <c r="B81" s="440" t="n">
        <v>0.0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0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2838.66666666667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236.555555555556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8850.66666666667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74.9753933037515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8925.64205997042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743.803504997535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743.803504997535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350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404</v>
      </c>
      <c r="B111" s="316" t="n">
        <v>20.0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-2760.012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743.803504997535</v>
      </c>
      <c r="B134" s="325" t="n">
        <f aca="false">IF(A111="YES",B95,0)</f>
        <v>0</v>
      </c>
      <c r="C134" s="330"/>
      <c r="D134" s="325" t="n">
        <f aca="false">B97</f>
        <v>743.803504997535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743.803504997535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743.803504997535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743.803504997535</v>
      </c>
      <c r="B143" s="42" t="n">
        <f aca="false">IF(A111="YES",B95,0)</f>
        <v>0</v>
      </c>
      <c r="C143" s="321"/>
      <c r="D143" s="42" t="n">
        <f aca="false">B97</f>
        <v>743.803504997535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743.803504997535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743.803504997535</v>
      </c>
      <c r="B177" s="362" t="n">
        <f aca="false">IF(A111="YES",B95,0)</f>
        <v>0</v>
      </c>
      <c r="C177" s="365"/>
      <c r="D177" s="362" t="n">
        <f aca="false">B91</f>
        <v>8850.66666666667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743.803504997535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743.803504997535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743.803504997535</v>
      </c>
      <c r="B186" s="107" t="n">
        <f aca="false">IF(A111="YES",B95,0)</f>
        <v>0</v>
      </c>
      <c r="C186" s="360"/>
      <c r="D186" s="107" t="n">
        <f aca="false">B97</f>
        <v>743.803504997535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1851.98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1512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1851.98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74.9753933037515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0.0</v>
      </c>
      <c r="B41" s="245" t="str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10000.0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165.0</v>
      </c>
      <c r="C80" s="219"/>
      <c r="D80" s="219"/>
      <c r="E80" s="436" t="n">
        <f aca="false">E79+D82</f>
        <v>838.75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0.0</v>
      </c>
      <c r="C81" s="219"/>
      <c r="D81" s="219"/>
      <c r="E81" s="220" t="n">
        <f aca="false">E80/12</f>
        <v>69.8958333333333</v>
      </c>
      <c r="F81" s="67"/>
      <c r="G81" s="299" t="s">
        <v>289</v>
      </c>
      <c r="H81" s="303" t="n">
        <f aca="false">IF(G18&gt;40000,325,0)</f>
        <v>0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290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3017.41666666667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251.451388888889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10835.3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76.4896127470755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10911.7896127471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909.315801062256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909.315801062256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293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404</v>
      </c>
      <c r="B111" s="316" t="n">
        <v>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-2760.01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909.315801062256</v>
      </c>
      <c r="B134" s="325" t="n">
        <f aca="false">IF(A111="YES",B95,0)</f>
        <v>0</v>
      </c>
      <c r="C134" s="330"/>
      <c r="D134" s="325" t="n">
        <f aca="false">B97</f>
        <v>909.315801062256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909.315801062256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909.315801062256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909.315801062256</v>
      </c>
      <c r="B143" s="42" t="n">
        <f aca="false">IF(A111="YES",B95,0)</f>
        <v>0</v>
      </c>
      <c r="C143" s="321"/>
      <c r="D143" s="42" t="n">
        <f aca="false">B97</f>
        <v>909.315801062256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26.93088</v>
      </c>
      <c r="B146" s="347" t="n">
        <f aca="false">G18*0.000002*1.2*100</f>
        <v>8.97696</v>
      </c>
      <c r="C146" s="348"/>
      <c r="D146" s="347" t="n">
        <f aca="false">A146+B146</f>
        <v>35.90784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909.315801062256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909.315801062256</v>
      </c>
      <c r="B177" s="362" t="n">
        <f aca="false">IF(A111="YES",B95,0)</f>
        <v>0</v>
      </c>
      <c r="C177" s="365"/>
      <c r="D177" s="362" t="n">
        <f aca="false">B91</f>
        <v>10835.3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909.315801062256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909.315801062256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909.315801062256</v>
      </c>
      <c r="B186" s="107" t="n">
        <f aca="false">IF(A111="YES",B95,0)</f>
        <v>0</v>
      </c>
      <c r="C186" s="360"/>
      <c r="D186" s="107" t="n">
        <f aca="false">B97</f>
        <v>909.315801062256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26.93088</v>
      </c>
      <c r="B189" s="372" t="n">
        <f aca="false">G18*0.000002*1.2*100</f>
        <v>8.97696</v>
      </c>
      <c r="C189" s="373"/>
      <c r="D189" s="372" t="n">
        <f aca="false">A189+B189</f>
        <v>35.90784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1851.98166666667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1512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1851.98166666667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76.4896127470755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60000</v>
      </c>
      <c r="C2" s="9" t="s">
        <v>12</v>
      </c>
      <c r="D2" s="10" t="n">
        <f aca="false">C9</f>
        <v>12000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72000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60000.0</v>
      </c>
      <c r="C9" s="14" t="n">
        <f aca="false">B9*0.2</f>
        <v>12000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60000</v>
      </c>
      <c r="C15" s="14" t="n">
        <f aca="false">SUM(C9:C13)</f>
        <v>12000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72000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60000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0.00</v>
      </c>
      <c r="E32" s="230"/>
      <c r="F32" s="67"/>
      <c r="G32" s="231" t="s">
        <v>253</v>
      </c>
      <c r="H32" s="229" t="str">
        <f aca="false">A41</f>
        <v>0.00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418</v>
      </c>
      <c r="B41" s="245" t="n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str">
        <f aca="false">H32</f>
        <v>0.00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72000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5040</v>
      </c>
      <c r="C70" s="219" t="n">
        <v>10000.0</v>
      </c>
      <c r="D70" s="294" t="n">
        <f aca="false">B70-A149</f>
        <v>5040</v>
      </c>
      <c r="E70" s="220" t="n">
        <f aca="false">D70/12</f>
        <v>420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165.0</v>
      </c>
      <c r="C80" s="219"/>
      <c r="D80" s="219"/>
      <c r="E80" s="436" t="n">
        <f aca="false">E79+D82</f>
        <v>838.75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0.0</v>
      </c>
      <c r="C81" s="219"/>
      <c r="D81" s="219"/>
      <c r="E81" s="220" t="n">
        <f aca="false">E80/12</f>
        <v>69.8958333333333</v>
      </c>
      <c r="F81" s="67"/>
      <c r="G81" s="299" t="s">
        <v>289</v>
      </c>
      <c r="H81" s="303" t="n">
        <f aca="false">IF(G18&gt;40000,325,0)</f>
        <v>0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290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6545.41666666667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545.451388888889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12557.4166666667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106.375857200484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12663.7925238672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1055.3160436556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1055.3160436556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404</v>
      </c>
      <c r="B111" s="316" t="n">
        <v>20.0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-2760.012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1055.3160436556</v>
      </c>
      <c r="B134" s="325" t="n">
        <f aca="false">IF(A111="YES",B95,0)</f>
        <v>0</v>
      </c>
      <c r="C134" s="330"/>
      <c r="D134" s="325" t="n">
        <f aca="false">B97</f>
        <v>1055.3160436556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1055.3160436556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1055.3160436556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1055.3160436556</v>
      </c>
      <c r="B143" s="42" t="n">
        <f aca="false">IF(A111="YES",B95,0)</f>
        <v>0</v>
      </c>
      <c r="C143" s="321"/>
      <c r="D143" s="42" t="n">
        <f aca="false">B97</f>
        <v>1055.3160436556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 t="n">
        <f aca="false">(G18*0.000006)*100</f>
        <v>22.4424</v>
      </c>
      <c r="B146" s="350" t="n">
        <f aca="false">G18*0.000002*100</f>
        <v>7.4808</v>
      </c>
      <c r="C146" s="321"/>
      <c r="D146" s="350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1055.3160436556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1055.3160436556</v>
      </c>
      <c r="B177" s="362" t="n">
        <f aca="false">IF(A111="YES",B95,0)</f>
        <v>0</v>
      </c>
      <c r="C177" s="365"/>
      <c r="D177" s="362" t="n">
        <f aca="false">B91</f>
        <v>12557.4166666667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1055.3160436556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1055.3160436556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1055.3160436556</v>
      </c>
      <c r="B186" s="107" t="n">
        <f aca="false">IF(A111="YES",B95,0)</f>
        <v>0</v>
      </c>
      <c r="C186" s="360"/>
      <c r="D186" s="107" t="n">
        <f aca="false">B97</f>
        <v>1055.3160436556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 t="n">
        <f aca="false">(G18*0.000006)*100</f>
        <v>22.4424</v>
      </c>
      <c r="B189" s="374" t="n">
        <f aca="false">G18*0.000002*100</f>
        <v>7.4808</v>
      </c>
      <c r="C189" s="360"/>
      <c r="D189" s="374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5040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5379.98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5040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5379.98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106.375857200484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2" colorId="64" zoomScale="95" zoomScaleNormal="95" zoomScalePageLayoutView="100" workbookViewId="0">
      <selection pane="topLeft" activeCell="G158" activeCellId="0" sqref="G158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18125.0</v>
      </c>
      <c r="C9" s="14" t="n">
        <f aca="false">B9*0.2</f>
        <v>3775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404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36.0</v>
      </c>
      <c r="P29" s="216"/>
    </row>
    <row r="30" customFormat="false" ht="19.5" hidden="false" customHeight="false" outlineLevel="0" collapsed="false">
      <c r="A30" s="35" t="s">
        <v>192</v>
      </c>
      <c r="B30" s="108" t="s">
        <v>401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13975.0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0.0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340.766287249849</v>
      </c>
      <c r="F33" s="236"/>
      <c r="G33" s="236"/>
      <c r="H33" s="51"/>
      <c r="I33" s="7"/>
      <c r="J33" s="38" t="s">
        <v>365</v>
      </c>
      <c r="K33" s="52" t="n">
        <f aca="false">E21</f>
        <v>18875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0.065</v>
      </c>
      <c r="P35" s="216"/>
    </row>
    <row r="36" customFormat="false" ht="18.75" hidden="false" customHeight="false" outlineLevel="0" collapsed="false">
      <c r="A36" s="189" t="n">
        <f aca="false">K47</f>
        <v>290.766287249849</v>
      </c>
      <c r="B36" s="236" t="n">
        <f aca="false">IF(B26="YES",K42,"0.00")</f>
        <v>50</v>
      </c>
      <c r="C36" s="236"/>
      <c r="D36" s="236"/>
      <c r="E36" s="236" t="n">
        <f aca="false">K31</f>
        <v>14075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18875</v>
      </c>
      <c r="L39" s="7" t="n">
        <f aca="false">(L47*K46)+K44</f>
        <v>33747.9563129743</v>
      </c>
      <c r="N39" s="6" t="n">
        <f aca="false">K39-L39</f>
        <v>-14872.9563129743</v>
      </c>
      <c r="P39" s="216"/>
    </row>
    <row r="40" customFormat="false" ht="19.5" hidden="false" customHeight="false" outlineLevel="0" collapsed="false">
      <c r="A40" s="111" t="n">
        <f aca="false">E36*A45/100</f>
        <v>14075</v>
      </c>
      <c r="B40" s="111" t="n">
        <f aca="false">IF(B26="YES",K42,"0.00")</f>
        <v>50</v>
      </c>
      <c r="C40" s="111"/>
      <c r="D40" s="111"/>
      <c r="E40" s="186" t="n">
        <f aca="false">K32</f>
        <v>1800</v>
      </c>
      <c r="F40" s="190"/>
      <c r="G40" s="190"/>
      <c r="H40" s="51"/>
      <c r="J40" s="7" t="s">
        <v>116</v>
      </c>
      <c r="K40" s="7" t="n">
        <f aca="false">(A40)/1.2</f>
        <v>11729.1666666667</v>
      </c>
      <c r="L40" s="7" t="n">
        <f aca="false">K39-L39</f>
        <v>-14872.9563129743</v>
      </c>
      <c r="N40" s="6" t="n">
        <f aca="false">N38-N39</f>
        <v>17784.6363129743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50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9458.10797424941</v>
      </c>
      <c r="L44" s="7"/>
      <c r="P44" s="216"/>
    </row>
    <row r="45" customFormat="false" ht="19.5" hidden="false" customHeight="false" outlineLevel="0" collapsed="false">
      <c r="A45" s="456" t="n">
        <v>100.0</v>
      </c>
      <c r="B45" s="97"/>
      <c r="C45" s="66" t="n">
        <v>60.0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9416.89202575059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290.766287249849</v>
      </c>
      <c r="L47" s="7" t="n">
        <f aca="false">L49-K42</f>
        <v>750</v>
      </c>
      <c r="M47" s="6" t="n">
        <f aca="false">K47-L47</f>
        <v>-459.233712750151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340.766287249849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340.766287249849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0.065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0.072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7577.89409730753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104.16665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290.766287249849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290.766287249849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340.766287249849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340.766287249849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24999.996</v>
      </c>
      <c r="C81" s="97"/>
      <c r="D81" s="97"/>
      <c r="E81" s="117"/>
      <c r="F81" s="29" t="s">
        <v>115</v>
      </c>
      <c r="G81" s="31" t="n">
        <f aca="false">G158</f>
        <v>24999.996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14075</v>
      </c>
      <c r="C82" s="97"/>
      <c r="D82" s="97"/>
      <c r="E82" s="117"/>
      <c r="F82" s="35" t="s">
        <v>116</v>
      </c>
      <c r="G82" s="37" t="n">
        <f aca="false">IF(A111="YES",A40,0)</f>
        <v>14075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14075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14075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9837.36866600367</v>
      </c>
      <c r="C86" s="97"/>
      <c r="D86" s="97"/>
      <c r="E86" s="117"/>
      <c r="F86" s="35" t="s">
        <v>120</v>
      </c>
      <c r="G86" s="37" t="n">
        <f aca="false">(G82/((1+G84)^(G85+1)))</f>
        <v>11415.936324919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9521.28495536016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9521.28495536016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15162.6273339963</v>
      </c>
      <c r="C88" s="97"/>
      <c r="D88" s="97"/>
      <c r="E88" s="117"/>
      <c r="F88" s="35" t="s">
        <v>122</v>
      </c>
      <c r="G88" s="37" t="n">
        <f aca="false">G81-G86</f>
        <v>13584.059675081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515.58515538006</v>
      </c>
      <c r="C89" s="97"/>
      <c r="D89" s="97"/>
      <c r="E89" s="117"/>
      <c r="F89" s="35" t="s">
        <v>123</v>
      </c>
      <c r="G89" s="37" t="n">
        <f aca="false">(G88/G87)</f>
        <v>430.210414297145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18045.4804383021</v>
      </c>
      <c r="C90" s="97"/>
      <c r="D90" s="97"/>
      <c r="E90" s="117"/>
      <c r="F90" s="35" t="s">
        <v>124</v>
      </c>
      <c r="G90" s="37" t="n">
        <f aca="false">((G89*(G85))+G77)</f>
        <v>15057.3645004001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18045.4804383021</v>
      </c>
      <c r="C92" s="97"/>
      <c r="D92" s="97"/>
      <c r="E92" s="117"/>
      <c r="F92" s="60" t="s">
        <v>126</v>
      </c>
      <c r="G92" s="69" t="n">
        <f aca="false">(G90+G91)</f>
        <v>15057.3645004001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IF(B26="YES",((E40/B85)*(1+A108)*1.2*(C45/100)),"0")</f>
        <v>80.2285714285714</v>
      </c>
      <c r="C94" s="97"/>
      <c r="D94" s="97"/>
      <c r="E94" s="117"/>
      <c r="F94" s="93" t="s">
        <v>127</v>
      </c>
      <c r="G94" s="98" t="n">
        <f aca="false">IF(B26="YES",((E40/B85)*(1+A108)*(C45/100)),"0")</f>
        <v>66.8571428571429</v>
      </c>
      <c r="H94" s="37"/>
      <c r="J94" s="93" t="s">
        <v>127</v>
      </c>
      <c r="K94" s="94" t="n">
        <f aca="false">((E40/K85)*(1+J108))*1.2</f>
        <v>78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61.7142857142857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74.0571428571429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515.58515538006</v>
      </c>
      <c r="C95" s="97"/>
      <c r="D95" s="97"/>
      <c r="E95" s="117"/>
      <c r="F95" s="99" t="s">
        <v>128</v>
      </c>
      <c r="G95" s="100" t="n">
        <f aca="false">G92/(G85)</f>
        <v>430.210414297145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595.813726808631</v>
      </c>
      <c r="C96" s="97"/>
      <c r="D96" s="97"/>
      <c r="E96" s="117"/>
      <c r="F96" s="101" t="s">
        <v>129</v>
      </c>
      <c r="G96" s="102" t="n">
        <f aca="false">G94+G95</f>
        <v>497.067557154288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404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0.0</v>
      </c>
      <c r="C108" s="111"/>
      <c r="D108" s="111" t="n">
        <v>0.0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1000.0</v>
      </c>
      <c r="C111" s="111"/>
      <c r="D111" s="111"/>
      <c r="E111" s="111" t="n">
        <v>1000.0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1000</v>
      </c>
      <c r="B114" s="111" t="s">
        <v>407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18875</v>
      </c>
      <c r="C121" s="125" t="n">
        <v>20000.0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22650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22650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22650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18875</v>
      </c>
      <c r="C125" s="137" t="n">
        <f aca="false">C121-C124</f>
        <v>20833.33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18875</v>
      </c>
      <c r="H135" s="157" t="n">
        <f aca="false">C125+E125+G125+H128</f>
        <v>20833.33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3775</v>
      </c>
      <c r="H137" s="37" t="n">
        <f aca="false">(H135+H136)*20%</f>
        <v>4166.666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22650</v>
      </c>
      <c r="H141" s="161" t="n">
        <f aca="false">(H135+H136+H139+H140+H137)-H138</f>
        <v>24999.996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22650</v>
      </c>
      <c r="H147" s="168" t="n">
        <f aca="false">H141-((H144*1.2)+(H145*1.2)+(H146*1.2)+(H142*1.2))</f>
        <v>24999.996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1958.33</v>
      </c>
      <c r="I148" s="6" t="n">
        <f aca="false">(H148-G81)/1.2</f>
        <v>-19201.3883333333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97"/>
      <c r="C156" s="97"/>
      <c r="D156" s="27"/>
      <c r="E156" s="97"/>
      <c r="F156" s="27"/>
      <c r="G156" s="27"/>
      <c r="H156" s="44" t="n">
        <v>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1000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24999.996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515.58515538006</v>
      </c>
      <c r="B167" s="181" t="n">
        <f aca="false">B94</f>
        <v>80.2285714285714</v>
      </c>
      <c r="C167" s="178"/>
      <c r="D167" s="178"/>
      <c r="E167" s="181" t="n">
        <f aca="false">B96</f>
        <v>595.813726808631</v>
      </c>
      <c r="F167" s="27"/>
      <c r="G167" s="27" t="n">
        <f aca="false">ROUND(G95,2)</f>
        <v>430.21</v>
      </c>
      <c r="H167" s="37"/>
      <c r="J167" s="180" t="e">
        <f aca="false">K95</f>
        <v>#VALUE!</v>
      </c>
      <c r="K167" s="181" t="n">
        <f aca="false">K94</f>
        <v>78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61.7142857142857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74.0571428571429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14075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14075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14075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14075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20833.33</v>
      </c>
      <c r="B173" s="107" t="n">
        <f aca="false">H137</f>
        <v>4166.666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24999.996</v>
      </c>
      <c r="B176" s="107" t="n">
        <f aca="false">B111</f>
        <v>1000</v>
      </c>
      <c r="C176" s="107"/>
      <c r="D176" s="27"/>
      <c r="E176" s="107" t="n">
        <f aca="false">E111</f>
        <v>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7.35" hidden="false" customHeight="false" outlineLevel="0" collapsed="false">
      <c r="A179" s="115" t="n">
        <f aca="false">B176+E176</f>
        <v>1000</v>
      </c>
      <c r="B179" s="107" t="n">
        <f aca="false">G154</f>
        <v>0</v>
      </c>
      <c r="C179" s="107"/>
      <c r="D179" s="27"/>
      <c r="E179" s="107" t="n">
        <f aca="false">G158</f>
        <v>24999.996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7120.48443830208</v>
      </c>
      <c r="B182" s="107" t="str">
        <f aca="false">B114</f>
        <v>239.99</v>
      </c>
      <c r="C182" s="107"/>
      <c r="D182" s="27"/>
      <c r="E182" s="107" t="n">
        <f aca="false">E179+A182+B182+A185</f>
        <v>32370.4704383021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A179+B182</f>
        <v>1239.99</v>
      </c>
      <c r="C185" s="107"/>
      <c r="D185" s="27"/>
      <c r="E185" s="107" t="n">
        <f aca="false">IF(A40=0,(E167+A185),(E170+A185))</f>
        <v>14085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14095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14085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14085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</f>
        <v>7.481</v>
      </c>
      <c r="B188" s="107" t="n">
        <f aca="false">(G158*B67)/1.2</f>
        <v>104.16665</v>
      </c>
      <c r="C188" s="97"/>
      <c r="D188" s="97"/>
      <c r="E188" s="107" t="n">
        <f aca="false">(E40*A108)*0.1*(C45/100)</f>
        <v>54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54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36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36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258.158316666667</v>
      </c>
      <c r="C191" s="97"/>
      <c r="D191" s="97"/>
      <c r="E191" s="107" t="n">
        <f aca="false">H148</f>
        <v>1958.33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595.813726808631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4132.354</v>
      </c>
      <c r="B201" s="190" t="n">
        <f aca="false">E179+A201+B182+A185</f>
        <v>29382.34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515.58515538006</v>
      </c>
      <c r="B212" s="181" t="n">
        <f aca="false">B167</f>
        <v>80.2285714285714</v>
      </c>
      <c r="C212" s="178"/>
      <c r="D212" s="178"/>
      <c r="E212" s="181" t="n">
        <f aca="false">E167</f>
        <v>595.813726808631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20833.33</v>
      </c>
      <c r="B215" s="107" t="n">
        <f aca="false">B173</f>
        <v>4166.666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24999.996</v>
      </c>
      <c r="B218" s="107" t="n">
        <f aca="false">B176</f>
        <v>1000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1000</v>
      </c>
      <c r="B221" s="107" t="n">
        <f aca="false">B179</f>
        <v>0</v>
      </c>
      <c r="C221" s="107"/>
      <c r="D221" s="117"/>
      <c r="E221" s="107" t="n">
        <f aca="false">E179</f>
        <v>24999.996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7120.48443830208</v>
      </c>
      <c r="B224" s="107" t="str">
        <f aca="false">B182</f>
        <v>239.99</v>
      </c>
      <c r="C224" s="107"/>
      <c r="D224" s="117"/>
      <c r="E224" s="107" t="n">
        <f aca="false">E182</f>
        <v>32370.4704383021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1239.99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515.58515538006</v>
      </c>
      <c r="B230" s="107" t="n">
        <f aca="false">B167</f>
        <v>80.2285714285714</v>
      </c>
      <c r="C230" s="190"/>
      <c r="D230" s="190"/>
      <c r="E230" s="107" t="n">
        <f aca="false">E167</f>
        <v>595.813726808631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14075</v>
      </c>
      <c r="B233" s="107" t="n">
        <f aca="false">E185</f>
        <v>14085</v>
      </c>
      <c r="C233" s="97"/>
      <c r="D233" s="97"/>
      <c r="E233" s="107" t="n">
        <f aca="false">J18*0.000006*100*1.2</f>
        <v>26.9316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IF(E105="YES",J18*0.000002,0)*100*1.2</f>
        <v>8.9772</v>
      </c>
      <c r="B236" s="107" t="n">
        <f aca="false">E233+A236</f>
        <v>35.9088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1958.33</v>
      </c>
      <c r="B240" s="107" t="n">
        <f aca="false">B68</f>
        <v>104.16665</v>
      </c>
      <c r="C240" s="97"/>
      <c r="D240" s="97"/>
      <c r="E240" s="107" t="n">
        <f aca="false">E188</f>
        <v>54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2216.48831666667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2998.13043830209</v>
      </c>
      <c r="C254" s="201"/>
      <c r="D254" s="202" t="s">
        <v>227</v>
      </c>
      <c r="E254" s="202"/>
      <c r="F254" s="204" t="n">
        <f aca="false">F261+F267+F269+B270+B271</f>
        <v>124.99998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639.991666666667</v>
      </c>
      <c r="C255" s="201"/>
      <c r="D255" s="202" t="s">
        <v>229</v>
      </c>
      <c r="E255" s="202"/>
      <c r="F255" s="204" t="n">
        <f aca="false">(B254-F254)+B255</f>
        <v>3513.12212496875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</v>
      </c>
      <c r="C260" s="47"/>
      <c r="D260" s="170" t="s">
        <v>226</v>
      </c>
      <c r="E260" s="170"/>
      <c r="F260" s="150" t="n">
        <f aca="false">B254</f>
        <v>2998.13043830209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124.99998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0.3</v>
      </c>
      <c r="C262" s="36"/>
      <c r="D262" s="170" t="s">
        <v>233</v>
      </c>
      <c r="E262" s="170"/>
      <c r="F262" s="150" t="n">
        <f aca="false">E240*10</f>
        <v>540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3513.12212496875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2" colorId="64" zoomScale="95" zoomScaleNormal="95" zoomScalePageLayoutView="100" workbookViewId="0">
      <selection pane="topLeft" activeCell="A156" activeCellId="0" sqref="A156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18125.0</v>
      </c>
      <c r="C9" s="14" t="n">
        <f aca="false">B9*0.2</f>
        <v>3775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404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36.0</v>
      </c>
      <c r="P29" s="216"/>
    </row>
    <row r="30" customFormat="false" ht="19.5" hidden="false" customHeight="false" outlineLevel="0" collapsed="false">
      <c r="A30" s="35" t="s">
        <v>192</v>
      </c>
      <c r="B30" s="108" t="s">
        <v>401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13975.0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0.0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340.766287249849</v>
      </c>
      <c r="F33" s="236"/>
      <c r="G33" s="236"/>
      <c r="H33" s="51"/>
      <c r="I33" s="7"/>
      <c r="J33" s="38" t="s">
        <v>365</v>
      </c>
      <c r="K33" s="52" t="n">
        <f aca="false">E21</f>
        <v>18875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290.766287249849</v>
      </c>
      <c r="B36" s="236" t="n">
        <f aca="false">IF(B26="YES",K42,"0.00")</f>
        <v>50</v>
      </c>
      <c r="C36" s="236"/>
      <c r="D36" s="236"/>
      <c r="E36" s="236" t="n">
        <f aca="false">K31</f>
        <v>14075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18875</v>
      </c>
      <c r="L39" s="7" t="n">
        <f aca="false">(L47*K46)+K44</f>
        <v>33747.9563129743</v>
      </c>
      <c r="N39" s="6" t="n">
        <f aca="false">K39-L39</f>
        <v>-14872.9563129743</v>
      </c>
      <c r="P39" s="216"/>
    </row>
    <row r="40" customFormat="false" ht="19.5" hidden="false" customHeight="false" outlineLevel="0" collapsed="false">
      <c r="A40" s="111" t="n">
        <f aca="false">E36*A45/100</f>
        <v>13975.0</v>
      </c>
      <c r="B40" s="111" t="n">
        <f aca="false">IF(B26="YES",K42,"0.00")</f>
        <v>50</v>
      </c>
      <c r="C40" s="111"/>
      <c r="D40" s="111"/>
      <c r="E40" s="186" t="n">
        <f aca="false">K32</f>
        <v>1800</v>
      </c>
      <c r="F40" s="190"/>
      <c r="G40" s="190"/>
      <c r="H40" s="51"/>
      <c r="J40" s="7" t="s">
        <v>116</v>
      </c>
      <c r="K40" s="7" t="n">
        <f aca="false">(A40)/1.2</f>
        <v>11729.1666666667</v>
      </c>
      <c r="L40" s="7" t="n">
        <f aca="false">K39-L39</f>
        <v>-14872.9563129743</v>
      </c>
      <c r="N40" s="6" t="n">
        <f aca="false">N38-N39</f>
        <v>17784.6363129743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50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9458.10797424941</v>
      </c>
      <c r="L44" s="7"/>
      <c r="P44" s="216"/>
    </row>
    <row r="45" customFormat="false" ht="19.5" hidden="false" customHeight="false" outlineLevel="0" collapsed="false">
      <c r="A45" s="456" t="n">
        <v>100.0</v>
      </c>
      <c r="B45" s="97"/>
      <c r="C45" s="66" t="n">
        <v>100.0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9416.89202575059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290.766287249849</v>
      </c>
      <c r="L47" s="7" t="n">
        <f aca="false">L49-K42</f>
        <v>750</v>
      </c>
      <c r="M47" s="6" t="n">
        <f aca="false">K47-L47</f>
        <v>-459.233712750151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340.766287249849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340.766287249849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7577.89409730753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104.16665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290.766287249849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290.766287249849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340.766287249849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340.766287249849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24999.996</v>
      </c>
      <c r="C81" s="97"/>
      <c r="D81" s="97"/>
      <c r="E81" s="117"/>
      <c r="F81" s="29" t="s">
        <v>115</v>
      </c>
      <c r="G81" s="31" t="n">
        <f aca="false">G158</f>
        <v>24999.996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14075</v>
      </c>
      <c r="C82" s="97"/>
      <c r="D82" s="97"/>
      <c r="E82" s="117"/>
      <c r="F82" s="35" t="s">
        <v>116</v>
      </c>
      <c r="G82" s="37" t="n">
        <f aca="false">IF(A111="YES",A40,0)</f>
        <v>14075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14075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14075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35</v>
      </c>
      <c r="C85" s="97"/>
      <c r="D85" s="97"/>
      <c r="E85" s="117"/>
      <c r="F85" s="35" t="s">
        <v>119</v>
      </c>
      <c r="G85" s="37" t="n">
        <f aca="false">B59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9837.36866600367</v>
      </c>
      <c r="C86" s="97"/>
      <c r="D86" s="97"/>
      <c r="E86" s="117"/>
      <c r="F86" s="35" t="s">
        <v>120</v>
      </c>
      <c r="G86" s="37" t="n">
        <f aca="false">(G82/((1+G84)^(G85+1)))</f>
        <v>11415.936324919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9521.28495536016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9521.28495536016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15162.6273339963</v>
      </c>
      <c r="C88" s="97"/>
      <c r="D88" s="97"/>
      <c r="E88" s="117"/>
      <c r="F88" s="35" t="s">
        <v>122</v>
      </c>
      <c r="G88" s="37" t="n">
        <f aca="false">G81-G86</f>
        <v>13584.059675081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515.58515538006</v>
      </c>
      <c r="C89" s="97"/>
      <c r="D89" s="97"/>
      <c r="E89" s="117"/>
      <c r="F89" s="35" t="s">
        <v>123</v>
      </c>
      <c r="G89" s="37" t="n">
        <f aca="false">(G88/G87)</f>
        <v>430.210414297145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18045.4804383021</v>
      </c>
      <c r="C90" s="97"/>
      <c r="D90" s="97"/>
      <c r="E90" s="117"/>
      <c r="F90" s="35" t="s">
        <v>124</v>
      </c>
      <c r="G90" s="37" t="n">
        <f aca="false">((G89*(G85))+G77)</f>
        <v>15057.3645004001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18045.4804383021</v>
      </c>
      <c r="C92" s="97"/>
      <c r="D92" s="97"/>
      <c r="E92" s="117"/>
      <c r="F92" s="60" t="s">
        <v>126</v>
      </c>
      <c r="G92" s="69" t="n">
        <f aca="false">(G90+G91)</f>
        <v>15057.3645004001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61.7142857142857</v>
      </c>
      <c r="C94" s="97"/>
      <c r="D94" s="97"/>
      <c r="E94" s="117"/>
      <c r="F94" s="93" t="s">
        <v>127</v>
      </c>
      <c r="G94" s="98" t="n">
        <f aca="false">IF(B26="YES",((E40/B85)*(1+A108)*(C45/100)),"0")</f>
        <v>61.7142857142857</v>
      </c>
      <c r="H94" s="37"/>
      <c r="J94" s="93" t="s">
        <v>127</v>
      </c>
      <c r="K94" s="94" t="n">
        <f aca="false">((E40/K85)*(1+J108))*1.2</f>
        <v>78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61.7142857142857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74.0571428571429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515.58515538006</v>
      </c>
      <c r="C95" s="97"/>
      <c r="D95" s="97"/>
      <c r="E95" s="117"/>
      <c r="F95" s="99" t="s">
        <v>128</v>
      </c>
      <c r="G95" s="100" t="n">
        <f aca="false">G92/(G85)</f>
        <v>430.210414297145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577.299441094345</v>
      </c>
      <c r="C96" s="97"/>
      <c r="D96" s="97"/>
      <c r="E96" s="117"/>
      <c r="F96" s="101" t="s">
        <v>129</v>
      </c>
      <c r="G96" s="102" t="n">
        <f aca="false">G94+G95</f>
        <v>491.924700011431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404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0.0</v>
      </c>
      <c r="C108" s="111"/>
      <c r="D108" s="111" t="n">
        <v>0.0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1000.0</v>
      </c>
      <c r="C111" s="111"/>
      <c r="D111" s="111"/>
      <c r="E111" s="111" t="n">
        <v>1000.0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1000</v>
      </c>
      <c r="B114" s="111" t="s">
        <v>403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18875</v>
      </c>
      <c r="C121" s="125" t="n">
        <v>20000.0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22650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22650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22650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18875</v>
      </c>
      <c r="C125" s="137" t="n">
        <f aca="false">C121-C124</f>
        <v>20833.33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18875</v>
      </c>
      <c r="H135" s="157" t="n">
        <f aca="false">C125+E125+G125+H128</f>
        <v>20833.33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3775</v>
      </c>
      <c r="H137" s="37" t="n">
        <f aca="false">(H135+H136)*20%</f>
        <v>4166.666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22650</v>
      </c>
      <c r="H141" s="161" t="n">
        <f aca="false">(H135+H136+H139+H140+H137)-H138</f>
        <v>24999.996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22650</v>
      </c>
      <c r="H147" s="168" t="n">
        <f aca="false">H141-((H144*1.2)+(H145*1.2)+(H146*1.2)+(H142*1.2))</f>
        <v>24999.996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1958.33</v>
      </c>
      <c r="I148" s="6" t="n">
        <f aca="false">(H148-G81)/1.2</f>
        <v>-19201.3883333333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97"/>
      <c r="C156" s="97"/>
      <c r="D156" s="27"/>
      <c r="E156" s="97"/>
      <c r="F156" s="27"/>
      <c r="G156" s="27"/>
      <c r="H156" s="44" t="n">
        <v>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1000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24999.996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515.58515538006</v>
      </c>
      <c r="B167" s="181" t="n">
        <f aca="false">B94</f>
        <v>61.7142857142857</v>
      </c>
      <c r="C167" s="178"/>
      <c r="D167" s="178"/>
      <c r="E167" s="181" t="n">
        <f aca="false">B96</f>
        <v>577.299441094345</v>
      </c>
      <c r="F167" s="27"/>
      <c r="G167" s="27" t="n">
        <f aca="false">ROUND(G95,2)</f>
        <v>430.21</v>
      </c>
      <c r="H167" s="37"/>
      <c r="J167" s="180" t="e">
        <f aca="false">K95</f>
        <v>#VALUE!</v>
      </c>
      <c r="K167" s="181" t="n">
        <f aca="false">K94</f>
        <v>78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61.7142857142857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74.0571428571429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14075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14075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14075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14075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20833.33</v>
      </c>
      <c r="B173" s="107" t="n">
        <f aca="false">H137</f>
        <v>4166.666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24999.996</v>
      </c>
      <c r="B176" s="107" t="n">
        <f aca="false">B111</f>
        <v>1000</v>
      </c>
      <c r="C176" s="107"/>
      <c r="D176" s="27"/>
      <c r="E176" s="107" t="n">
        <f aca="false">E111</f>
        <v>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1000</v>
      </c>
      <c r="B179" s="107" t="n">
        <f aca="false">G154</f>
        <v>0</v>
      </c>
      <c r="C179" s="107"/>
      <c r="D179" s="27"/>
      <c r="E179" s="107" t="n">
        <f aca="false">G158</f>
        <v>24999.996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7120.48443830208</v>
      </c>
      <c r="B182" s="107" t="str">
        <f aca="false">B114</f>
        <v>199.99</v>
      </c>
      <c r="C182" s="107"/>
      <c r="D182" s="27"/>
      <c r="E182" s="107" t="n">
        <f aca="false">E179+A182+(B182*1.2)+A185</f>
        <v>32370.4684383021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A179+(B182*1.2)</f>
        <v>1239.988</v>
      </c>
      <c r="C185" s="107"/>
      <c r="D185" s="27"/>
      <c r="E185" s="107" t="n">
        <f aca="false">IF(A40=0,(E167+A185),(E170+A185))</f>
        <v>14085</v>
      </c>
      <c r="F185" s="27"/>
      <c r="G185" s="10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14095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14085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14085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</f>
        <v>7.481</v>
      </c>
      <c r="B188" s="107" t="n">
        <f aca="false">(G158*B67)/1.2</f>
        <v>104.16665</v>
      </c>
      <c r="C188" s="97"/>
      <c r="D188" s="97"/>
      <c r="E188" s="107" t="n">
        <f aca="false">(E40*A108)*0.1*(C45/100)</f>
        <v>36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54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36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36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240.15665</v>
      </c>
      <c r="C191" s="97"/>
      <c r="D191" s="97"/>
      <c r="E191" s="107" t="n">
        <f aca="false">H148</f>
        <v>1958.33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577.299441094345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4132.354</v>
      </c>
      <c r="B201" s="190" t="n">
        <f aca="false">E179+A201+(B182*1.2)+A185</f>
        <v>29382.338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515.58515538006</v>
      </c>
      <c r="B212" s="181" t="n">
        <f aca="false">B167</f>
        <v>61.7142857142857</v>
      </c>
      <c r="C212" s="178"/>
      <c r="D212" s="178"/>
      <c r="E212" s="181" t="n">
        <f aca="false">E167</f>
        <v>577.299441094345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20833.33</v>
      </c>
      <c r="B215" s="107" t="n">
        <f aca="false">B173</f>
        <v>4166.666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24999.996</v>
      </c>
      <c r="B218" s="107" t="n">
        <f aca="false">B176</f>
        <v>1000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1000</v>
      </c>
      <c r="B221" s="107" t="n">
        <f aca="false">B179</f>
        <v>0</v>
      </c>
      <c r="C221" s="107"/>
      <c r="D221" s="117"/>
      <c r="E221" s="107" t="n">
        <f aca="false">E179</f>
        <v>24999.996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7120.48443830208</v>
      </c>
      <c r="B224" s="107" t="str">
        <f aca="false">B182</f>
        <v>199.99</v>
      </c>
      <c r="C224" s="107"/>
      <c r="D224" s="117"/>
      <c r="E224" s="107" t="n">
        <f aca="false">E182</f>
        <v>32370.4684383021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1239.988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515.58515538006</v>
      </c>
      <c r="B230" s="107" t="n">
        <f aca="false">B167</f>
        <v>61.7142857142857</v>
      </c>
      <c r="C230" s="190"/>
      <c r="D230" s="190"/>
      <c r="E230" s="107" t="n">
        <f aca="false">E167</f>
        <v>577.299441094345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14075</v>
      </c>
      <c r="B233" s="107" t="n">
        <f aca="false">E185</f>
        <v>14085</v>
      </c>
      <c r="C233" s="97"/>
      <c r="D233" s="97"/>
      <c r="E233" s="107" t="n">
        <f aca="false">J18*0.000006*100</f>
        <v>22.443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</f>
        <v>7.481</v>
      </c>
      <c r="B236" s="107" t="n">
        <f aca="false">E233+A236</f>
        <v>29.924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1958.33</v>
      </c>
      <c r="B240" s="107" t="n">
        <f aca="false">B68</f>
        <v>104.16665</v>
      </c>
      <c r="C240" s="97"/>
      <c r="D240" s="97"/>
      <c r="E240" s="107" t="n">
        <f aca="false">E188</f>
        <v>36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2198.48665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2998.13043830209</v>
      </c>
      <c r="C254" s="201"/>
      <c r="D254" s="202" t="s">
        <v>227</v>
      </c>
      <c r="E254" s="202"/>
      <c r="F254" s="204" t="n">
        <f aca="false">F261+F267+F269+B270+B271</f>
        <v>124.99998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459.99</v>
      </c>
      <c r="C255" s="201"/>
      <c r="D255" s="202" t="s">
        <v>229</v>
      </c>
      <c r="E255" s="202"/>
      <c r="F255" s="204" t="n">
        <f aca="false">(B254-F254)+B255</f>
        <v>3333.12045830209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</v>
      </c>
      <c r="C260" s="47"/>
      <c r="D260" s="170" t="s">
        <v>226</v>
      </c>
      <c r="E260" s="170"/>
      <c r="F260" s="150" t="n">
        <f aca="false">B254</f>
        <v>2998.13043830209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124.99998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360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3333.12045830209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3" colorId="64" zoomScale="95" zoomScaleNormal="95" zoomScalePageLayoutView="100" workbookViewId="0">
      <selection pane="topLeft" activeCell="A156" activeCellId="0" sqref="A156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18125.0</v>
      </c>
      <c r="C9" s="14" t="n">
        <f aca="false">B9*0.2</f>
        <v>3600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404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36.0</v>
      </c>
      <c r="P29" s="216"/>
    </row>
    <row r="30" customFormat="false" ht="19.5" hidden="false" customHeight="false" outlineLevel="0" collapsed="false">
      <c r="A30" s="35" t="s">
        <v>192</v>
      </c>
      <c r="B30" s="108" t="s">
        <v>401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13975.0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0.0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241.443901397419</v>
      </c>
      <c r="F33" s="236"/>
      <c r="G33" s="236"/>
      <c r="H33" s="51"/>
      <c r="I33" s="7"/>
      <c r="J33" s="38" t="s">
        <v>365</v>
      </c>
      <c r="K33" s="52" t="n">
        <f aca="false">E21</f>
        <v>18000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241.443901397419</v>
      </c>
      <c r="B36" s="236" t="str">
        <f aca="false">IF(B26="YES",K42,"0.00")</f>
        <v>0.00</v>
      </c>
      <c r="C36" s="236"/>
      <c r="D36" s="236"/>
      <c r="E36" s="236" t="n">
        <f aca="false">K31</f>
        <v>15150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18000</v>
      </c>
      <c r="L39" s="7" t="n">
        <f aca="false">(L47*K46)+K44</f>
        <v>36089.6572316354</v>
      </c>
      <c r="N39" s="6" t="n">
        <f aca="false">K39-L39</f>
        <v>-18089.6572316354</v>
      </c>
      <c r="P39" s="216"/>
    </row>
    <row r="40" customFormat="false" ht="19.5" hidden="false" customHeight="false" outlineLevel="0" collapsed="false">
      <c r="A40" s="111" t="n">
        <f aca="false">E36*A45/100</f>
        <v>15150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12625</v>
      </c>
      <c r="L40" s="7" t="n">
        <f aca="false">K39-L39</f>
        <v>-18089.6572316354</v>
      </c>
      <c r="N40" s="6" t="n">
        <f aca="false">N38-N39</f>
        <v>21001.3372316354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10180.4856703288</v>
      </c>
      <c r="L44" s="7"/>
      <c r="P44" s="216"/>
    </row>
    <row r="45" customFormat="false" ht="19.5" hidden="false" customHeight="false" outlineLevel="0" collapsed="false">
      <c r="A45" s="456" t="n">
        <v>100.0</v>
      </c>
      <c r="B45" s="97"/>
      <c r="C45" s="66" t="n">
        <v>40.0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7819.51432967116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241.443901397419</v>
      </c>
      <c r="L47" s="7" t="n">
        <f aca="false">L49-K42</f>
        <v>800</v>
      </c>
      <c r="M47" s="6" t="n">
        <f aca="false">K47-L47</f>
        <v>-558.556098602581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241.443901397419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241.443901397419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5186.45857135747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92.70835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241.443901397419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241.443901397419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241.443901397419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241.443901397419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22250.004</v>
      </c>
      <c r="C81" s="97"/>
      <c r="D81" s="97"/>
      <c r="E81" s="117"/>
      <c r="F81" s="29" t="s">
        <v>115</v>
      </c>
      <c r="G81" s="31" t="n">
        <f aca="false">G158</f>
        <v>22250.004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15150</v>
      </c>
      <c r="C82" s="97"/>
      <c r="D82" s="97"/>
      <c r="E82" s="117"/>
      <c r="F82" s="35" t="s">
        <v>116</v>
      </c>
      <c r="G82" s="37" t="n">
        <f aca="false">IF(A111="YES",A40,0)</f>
        <v>15150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15150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15150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10588.712986853</v>
      </c>
      <c r="C86" s="97"/>
      <c r="D86" s="97"/>
      <c r="E86" s="117"/>
      <c r="F86" s="35" t="s">
        <v>120</v>
      </c>
      <c r="G86" s="37" t="n">
        <f aca="false">(G82/((1+G84)^(G85+1)))</f>
        <v>12287.8462040869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10248.48789156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10248.48789156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11661.291013147</v>
      </c>
      <c r="C88" s="97"/>
      <c r="D88" s="97"/>
      <c r="E88" s="117"/>
      <c r="F88" s="35" t="s">
        <v>122</v>
      </c>
      <c r="G88" s="37" t="n">
        <f aca="false">G81-G86</f>
        <v>9962.15779591308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396.526829190416</v>
      </c>
      <c r="C89" s="97"/>
      <c r="D89" s="97"/>
      <c r="E89" s="117"/>
      <c r="F89" s="35" t="s">
        <v>123</v>
      </c>
      <c r="G89" s="37" t="n">
        <f aca="false">(G88/G87)</f>
        <v>315.503916736714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13878.4390216646</v>
      </c>
      <c r="C90" s="97"/>
      <c r="D90" s="97"/>
      <c r="E90" s="117"/>
      <c r="F90" s="35" t="s">
        <v>124</v>
      </c>
      <c r="G90" s="37" t="n">
        <f aca="false">((G89*(G85))+G77)</f>
        <v>11042.637085785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13878.4390216646</v>
      </c>
      <c r="C92" s="97"/>
      <c r="D92" s="97"/>
      <c r="E92" s="117"/>
      <c r="F92" s="60" t="s">
        <v>126</v>
      </c>
      <c r="G92" s="69" t="n">
        <f aca="false">(G90+G91)</f>
        <v>11042.637085785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396.526829190416</v>
      </c>
      <c r="C95" s="97"/>
      <c r="D95" s="97"/>
      <c r="E95" s="117"/>
      <c r="F95" s="99" t="s">
        <v>128</v>
      </c>
      <c r="G95" s="100" t="n">
        <f aca="false">G92/(G85)</f>
        <v>315.503916736714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396.526829190416</v>
      </c>
      <c r="C96" s="97"/>
      <c r="D96" s="97"/>
      <c r="E96" s="117"/>
      <c r="F96" s="101" t="s">
        <v>129</v>
      </c>
      <c r="G96" s="102" t="n">
        <f aca="false">G94+G95</f>
        <v>315.503916736714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404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0.0</v>
      </c>
      <c r="C108" s="111"/>
      <c r="D108" s="111" t="n">
        <v>0.0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400</v>
      </c>
      <c r="B111" s="111" t="n">
        <v>1000.0</v>
      </c>
      <c r="C111" s="111"/>
      <c r="D111" s="111"/>
      <c r="E111" s="111" t="n">
        <v>1000.0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407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18000</v>
      </c>
      <c r="C121" s="125" t="n">
        <v>20000.0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21600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21600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21600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18000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18000</v>
      </c>
      <c r="H135" s="157" t="n">
        <f aca="false">C125+E125+G125+H128</f>
        <v>19791.67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-17048.6116666667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500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-500</v>
      </c>
      <c r="F154" s="170"/>
      <c r="G154" s="171" t="n">
        <f aca="false">G152-G153</f>
        <v>500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-1000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97"/>
      <c r="C156" s="97"/>
      <c r="D156" s="27"/>
      <c r="E156" s="97"/>
      <c r="F156" s="27"/>
      <c r="G156" s="27"/>
      <c r="H156" s="44" t="n">
        <v>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22250.004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396.526829190416</v>
      </c>
      <c r="B167" s="181" t="str">
        <f aca="false">B94</f>
        <v>0</v>
      </c>
      <c r="C167" s="178"/>
      <c r="D167" s="178"/>
      <c r="E167" s="181" t="n">
        <f aca="false">B96</f>
        <v>396.526829190416</v>
      </c>
      <c r="F167" s="27"/>
      <c r="G167" s="27" t="n">
        <f aca="false">ROUND(G95,2)</f>
        <v>315.5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15150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15150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15150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15150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500</v>
      </c>
      <c r="C179" s="107"/>
      <c r="D179" s="27"/>
      <c r="E179" s="107" t="n">
        <f aca="false">G158</f>
        <v>22250.004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6778.43502166458</v>
      </c>
      <c r="B182" s="107" t="str">
        <f aca="false">B114</f>
        <v>239.99</v>
      </c>
      <c r="C182" s="107"/>
      <c r="D182" s="27"/>
      <c r="E182" s="107" t="n">
        <f aca="false">E179+A182+B182+A185</f>
        <v>29278.4290216646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A179+(B182)</f>
        <v>2239.99</v>
      </c>
      <c r="C185" s="107"/>
      <c r="D185" s="27"/>
      <c r="E185" s="107" t="n">
        <f aca="false">IF(A40=0,(E167+A185),(E170+A185))</f>
        <v>15160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15170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15160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15160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IF(E105="YES",B61*0.000002,0)*100*1.2</f>
        <v>0</v>
      </c>
      <c r="B188" s="107" t="n">
        <f aca="false">(G158*B67)/1.2</f>
        <v>92.70835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192.700016666667</v>
      </c>
      <c r="C191" s="97"/>
      <c r="D191" s="97"/>
      <c r="E191" s="107" t="n">
        <f aca="false">H148</f>
        <v>1791.67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396.526829190416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3942.496</v>
      </c>
      <c r="B201" s="190" t="n">
        <f aca="false">E179+A201+B182+A185</f>
        <v>26442.49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396.526829190416</v>
      </c>
      <c r="B212" s="181" t="str">
        <f aca="false">B167</f>
        <v>0</v>
      </c>
      <c r="C212" s="178"/>
      <c r="D212" s="178"/>
      <c r="E212" s="181" t="n">
        <f aca="false">E167</f>
        <v>396.526829190416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500</v>
      </c>
      <c r="C221" s="107"/>
      <c r="D221" s="117"/>
      <c r="E221" s="107" t="n">
        <f aca="false">E179</f>
        <v>22250.004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6778.43502166458</v>
      </c>
      <c r="B224" s="107" t="str">
        <f aca="false">B182</f>
        <v>239.99</v>
      </c>
      <c r="C224" s="107"/>
      <c r="D224" s="117"/>
      <c r="E224" s="107" t="n">
        <f aca="false">E182</f>
        <v>29278.4290216646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396.526829190416</v>
      </c>
      <c r="B230" s="107" t="str">
        <f aca="false">B167</f>
        <v>0</v>
      </c>
      <c r="C230" s="190"/>
      <c r="D230" s="190"/>
      <c r="E230" s="107" t="n">
        <f aca="false">E167</f>
        <v>396.526829190416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15150</v>
      </c>
      <c r="B233" s="107" t="n">
        <f aca="false">E185</f>
        <v>15160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B68</f>
        <v>92.70835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1984.37001666666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2845.93902166457</v>
      </c>
      <c r="C254" s="201"/>
      <c r="D254" s="202" t="s">
        <v>227</v>
      </c>
      <c r="E254" s="202"/>
      <c r="F254" s="204" t="n">
        <f aca="false">F261+F267+F269+B270+B271</f>
        <v>111.25002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2834.68066833124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</v>
      </c>
      <c r="C260" s="47"/>
      <c r="D260" s="170" t="s">
        <v>226</v>
      </c>
      <c r="E260" s="170"/>
      <c r="F260" s="150" t="n">
        <f aca="false">B254</f>
        <v>2845.93902166457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111.25002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2834.68066833124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9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15333.33</v>
      </c>
      <c r="C2" s="9" t="s">
        <v>12</v>
      </c>
      <c r="D2" s="10" t="n">
        <f aca="false">C9</f>
        <v>3066.666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 t="s">
        <v>6</v>
      </c>
      <c r="C3" s="270" t="n">
        <v>0</v>
      </c>
      <c r="D3" s="270" t="s">
        <v>6</v>
      </c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18399.996</v>
      </c>
      <c r="C4" s="272" t="n">
        <v>0</v>
      </c>
      <c r="D4" s="272" t="n">
        <v>0</v>
      </c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 t="n">
        <v>0</v>
      </c>
      <c r="C5" s="67" t="n">
        <v>0</v>
      </c>
      <c r="D5" s="67" t="n">
        <v>0</v>
      </c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18500.0</v>
      </c>
      <c r="C9" s="14" t="n">
        <f aca="false">B9*0.2</f>
        <v>3066.666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15333.33</v>
      </c>
      <c r="C15" s="14" t="n">
        <f aca="false">SUM(C9:C13)</f>
        <v>3066.666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18399.996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15333.33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404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36.0</v>
      </c>
      <c r="P29" s="216"/>
    </row>
    <row r="30" customFormat="false" ht="19.5" hidden="false" customHeight="false" outlineLevel="0" collapsed="false">
      <c r="A30" s="35" t="s">
        <v>192</v>
      </c>
      <c r="B30" s="108" t="s">
        <v>401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13975.0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0.0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159.104873499438</v>
      </c>
      <c r="F33" s="236"/>
      <c r="G33" s="236"/>
      <c r="H33" s="51"/>
      <c r="I33" s="7"/>
      <c r="J33" s="38" t="s">
        <v>365</v>
      </c>
      <c r="K33" s="52" t="n">
        <f aca="false">E21</f>
        <v>15333.33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159.104873499438</v>
      </c>
      <c r="B36" s="236" t="str">
        <f aca="false">IF(B26="YES",K42,"0.00")</f>
        <v>0.00</v>
      </c>
      <c r="C36" s="236"/>
      <c r="D36" s="236"/>
      <c r="E36" s="236" t="n">
        <f aca="false">K31</f>
        <v>15150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15333.33</v>
      </c>
      <c r="L39" s="7" t="n">
        <f aca="false">(L47*K46)+K44</f>
        <v>36089.6572316354</v>
      </c>
      <c r="N39" s="6" t="n">
        <f aca="false">K39-L39</f>
        <v>-20756.3272316354</v>
      </c>
      <c r="P39" s="216"/>
    </row>
    <row r="40" customFormat="false" ht="19.5" hidden="false" customHeight="false" outlineLevel="0" collapsed="false">
      <c r="A40" s="111" t="n">
        <f aca="false">E36*A45/100</f>
        <v>13975.0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12625</v>
      </c>
      <c r="L40" s="7" t="n">
        <f aca="false">K39-L39</f>
        <v>-20756.3272316354</v>
      </c>
      <c r="N40" s="6" t="n">
        <f aca="false">N38-N39</f>
        <v>23668.0072316354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10180.4856703288</v>
      </c>
      <c r="L44" s="7"/>
      <c r="P44" s="216"/>
    </row>
    <row r="45" customFormat="false" ht="19.5" hidden="false" customHeight="false" outlineLevel="0" collapsed="false">
      <c r="A45" s="456" t="n">
        <v>100.0</v>
      </c>
      <c r="B45" s="97"/>
      <c r="C45" s="66" t="n">
        <v>100.0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5152.84432967116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159.104873499438</v>
      </c>
      <c r="L47" s="7" t="n">
        <f aca="false">L49-K42</f>
        <v>800</v>
      </c>
      <c r="M47" s="6" t="n">
        <f aca="false">K47-L47</f>
        <v>-640.895126500562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159.104873499438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159.104873499438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8150.66357568479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92.70835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159.104873499438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159.104873499438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159.104873499438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159.104873499438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22250.004</v>
      </c>
      <c r="C81" s="97"/>
      <c r="D81" s="97"/>
      <c r="E81" s="117"/>
      <c r="F81" s="29" t="s">
        <v>115</v>
      </c>
      <c r="G81" s="31" t="n">
        <f aca="false">G158</f>
        <v>22250.004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15150</v>
      </c>
      <c r="C82" s="97"/>
      <c r="D82" s="97"/>
      <c r="E82" s="117"/>
      <c r="F82" s="35" t="s">
        <v>116</v>
      </c>
      <c r="G82" s="37" t="n">
        <f aca="false">IF(A111="YES",A40,0)</f>
        <v>15150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15150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15150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10588.712986853</v>
      </c>
      <c r="C86" s="97"/>
      <c r="D86" s="97"/>
      <c r="E86" s="117"/>
      <c r="F86" s="35" t="s">
        <v>120</v>
      </c>
      <c r="G86" s="37" t="n">
        <f aca="false">(G82/((1+G84)^(G85+1)))</f>
        <v>12287.8462040869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10248.48789156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10248.48789156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11661.291013147</v>
      </c>
      <c r="C88" s="97"/>
      <c r="D88" s="97"/>
      <c r="E88" s="117"/>
      <c r="F88" s="35" t="s">
        <v>122</v>
      </c>
      <c r="G88" s="37" t="n">
        <f aca="false">G81-G86</f>
        <v>9962.15779591308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396.526829190416</v>
      </c>
      <c r="C89" s="97"/>
      <c r="D89" s="97"/>
      <c r="E89" s="117"/>
      <c r="F89" s="35" t="s">
        <v>123</v>
      </c>
      <c r="G89" s="37" t="n">
        <f aca="false">(G88/G87)</f>
        <v>315.503916736714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13878.4390216646</v>
      </c>
      <c r="C90" s="97"/>
      <c r="D90" s="97"/>
      <c r="E90" s="117"/>
      <c r="F90" s="35" t="s">
        <v>124</v>
      </c>
      <c r="G90" s="37" t="n">
        <f aca="false">((G89*(G85))+G77)</f>
        <v>11042.637085785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13878.4390216646</v>
      </c>
      <c r="C92" s="97"/>
      <c r="D92" s="97"/>
      <c r="E92" s="117"/>
      <c r="F92" s="60" t="s">
        <v>126</v>
      </c>
      <c r="G92" s="69" t="n">
        <f aca="false">(G90+G91)</f>
        <v>11042.637085785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396.526829190416</v>
      </c>
      <c r="C95" s="97"/>
      <c r="D95" s="97"/>
      <c r="E95" s="117"/>
      <c r="F95" s="99" t="s">
        <v>128</v>
      </c>
      <c r="G95" s="100" t="n">
        <f aca="false">G92/(G85)</f>
        <v>315.503916736714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396.526829190416</v>
      </c>
      <c r="C96" s="97"/>
      <c r="D96" s="97"/>
      <c r="E96" s="117"/>
      <c r="F96" s="101" t="s">
        <v>129</v>
      </c>
      <c r="G96" s="102" t="n">
        <f aca="false">G94+G95</f>
        <v>315.503916736714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404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0.0</v>
      </c>
      <c r="C108" s="111"/>
      <c r="D108" s="111" t="n">
        <v>0.0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400</v>
      </c>
      <c r="B111" s="111" t="n">
        <v>1000.0</v>
      </c>
      <c r="C111" s="111"/>
      <c r="D111" s="111"/>
      <c r="E111" s="111" t="n">
        <v>1000.0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403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15333.33</v>
      </c>
      <c r="C121" s="125" t="n">
        <v>20000.0</v>
      </c>
      <c r="D121" s="124" t="n"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str">
        <f aca="false">B3</f>
        <v> </v>
      </c>
      <c r="L121" s="125" t="n">
        <v>28629.17</v>
      </c>
      <c r="M121" s="124" t="str">
        <f aca="false">D3</f>
        <v> </v>
      </c>
      <c r="N121" s="125" t="str">
        <f aca="false">M121</f>
        <v> 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str">
        <f aca="false">B3</f>
        <v> </v>
      </c>
      <c r="U121" s="125" t="str">
        <f aca="false">T121</f>
        <v> </v>
      </c>
      <c r="V121" s="124" t="str">
        <f aca="false">D3</f>
        <v> </v>
      </c>
      <c r="W121" s="125" t="str">
        <f aca="false">V121</f>
        <v> 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str">
        <f aca="false">B3</f>
        <v> </v>
      </c>
      <c r="AD121" s="125" t="str">
        <f aca="false">AC121</f>
        <v> </v>
      </c>
      <c r="AE121" s="124" t="str">
        <f aca="false">D3</f>
        <v> </v>
      </c>
      <c r="AF121" s="125" t="str">
        <f aca="false">AE121</f>
        <v> 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18399.996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18399.996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18399.996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e">
        <f aca="false">(K121*K122)+K123</f>
        <v>#VALUE!</v>
      </c>
      <c r="L124" s="135" t="n">
        <f aca="false">(L121*L122)+L123</f>
        <v>0</v>
      </c>
      <c r="M124" s="134" t="e">
        <f aca="false">(M121*M122)+M123</f>
        <v>#VALUE!</v>
      </c>
      <c r="N124" s="135" t="e">
        <f aca="false">(N121*N122)+N123</f>
        <v>#VALUE!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e">
        <f aca="false">(T121*T122)+T123</f>
        <v>#VALUE!</v>
      </c>
      <c r="U124" s="135" t="e">
        <f aca="false">(U121*U122)+U123</f>
        <v>#VALUE!</v>
      </c>
      <c r="V124" s="134" t="e">
        <f aca="false">(V121*V122)+V123</f>
        <v>#VALUE!</v>
      </c>
      <c r="W124" s="135" t="e">
        <f aca="false">(W121*W122)+W123</f>
        <v>#VALUE!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e">
        <f aca="false">(AC121*AC122)+AC123</f>
        <v>#VALUE!</v>
      </c>
      <c r="AD124" s="135" t="e">
        <f aca="false">(AD121*AD122)+AD123</f>
        <v>#VALUE!</v>
      </c>
      <c r="AE124" s="134" t="e">
        <f aca="false">(AE121*AE122)+AE123</f>
        <v>#VALUE!</v>
      </c>
      <c r="AF124" s="135" t="e">
        <f aca="false">(AF121*AF122)+AF123</f>
        <v>#VALUE!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15333.33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e">
        <f aca="false">K121-K124</f>
        <v>#VALUE!</v>
      </c>
      <c r="L125" s="137" t="n">
        <f aca="false">L121-L124</f>
        <v>28629.17</v>
      </c>
      <c r="M125" s="136" t="e">
        <f aca="false">M121-M124</f>
        <v>#VALUE!</v>
      </c>
      <c r="N125" s="137" t="e">
        <f aca="false">N121-N124</f>
        <v>#VALUE!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e">
        <f aca="false">T121-T124</f>
        <v>#VALUE!</v>
      </c>
      <c r="U125" s="137" t="e">
        <f aca="false">U121-U124</f>
        <v>#VALUE!</v>
      </c>
      <c r="V125" s="136" t="e">
        <f aca="false">V121-V124</f>
        <v>#VALUE!</v>
      </c>
      <c r="W125" s="137" t="e">
        <f aca="false">W121-W124</f>
        <v>#VALUE!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e">
        <f aca="false">AC121-AC124</f>
        <v>#VALUE!</v>
      </c>
      <c r="AD125" s="137" t="e">
        <f aca="false">AD121-AD124</f>
        <v>#VALUE!</v>
      </c>
      <c r="AE125" s="136" t="e">
        <f aca="false">AE121-AE124</f>
        <v>#VALUE!</v>
      </c>
      <c r="AF125" s="137" t="e">
        <f aca="false">AF121-AF124</f>
        <v>#VALUE!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15333.33</v>
      </c>
      <c r="H135" s="157" t="n">
        <f aca="false">C125+E125+G125+H128</f>
        <v>19791.67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3066.666</v>
      </c>
      <c r="H137" s="37" t="n">
        <f aca="false">(H135+H136)*20%</f>
        <v>3958.334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18399.996</v>
      </c>
      <c r="H141" s="161" t="n">
        <f aca="false">(H135+H136+H139+H140+H137)-H138</f>
        <v>23750.004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18399.996</v>
      </c>
      <c r="H147" s="168" t="n">
        <f aca="false">H141-((H144*1.2)+(H145*1.2)+(H146*1.2)+(H142*1.2))</f>
        <v>23750.004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4458.34</v>
      </c>
      <c r="I148" s="6" t="n">
        <f aca="false">(H148-G81)/1.2</f>
        <v>-14826.3866666667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500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-500</v>
      </c>
      <c r="F154" s="170"/>
      <c r="G154" s="171" t="n">
        <f aca="false">G152-G153</f>
        <v>500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-1000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97"/>
      <c r="C156" s="97"/>
      <c r="D156" s="27"/>
      <c r="E156" s="97"/>
      <c r="F156" s="27"/>
      <c r="G156" s="27"/>
      <c r="H156" s="44" t="n">
        <v>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22250.004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396.526829190416</v>
      </c>
      <c r="B167" s="181" t="str">
        <f aca="false">B94</f>
        <v>0</v>
      </c>
      <c r="C167" s="178"/>
      <c r="D167" s="178"/>
      <c r="E167" s="181" t="n">
        <f aca="false">B96</f>
        <v>396.526829190416</v>
      </c>
      <c r="F167" s="27"/>
      <c r="G167" s="27" t="n">
        <f aca="false">ROUND(G95,2)</f>
        <v>315.5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15150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15150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15150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15150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500</v>
      </c>
      <c r="C179" s="107"/>
      <c r="D179" s="27"/>
      <c r="E179" s="107" t="n">
        <f aca="false">G158</f>
        <v>22250.004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6778.43502166458</v>
      </c>
      <c r="B182" s="107" t="str">
        <f aca="false">B114</f>
        <v>199.99</v>
      </c>
      <c r="C182" s="107"/>
      <c r="D182" s="27"/>
      <c r="E182" s="107" t="n">
        <f aca="false">E179+A182+(B182*1.2)+A185</f>
        <v>29278.4270216646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A179+(B182*1.2)</f>
        <v>2239.988</v>
      </c>
      <c r="C185" s="107"/>
      <c r="D185" s="27"/>
      <c r="E185" s="107" t="n">
        <f aca="false">IF(A40=0,(E167+A185),(E170+A185))</f>
        <v>15160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15170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15160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15160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</f>
        <v>0</v>
      </c>
      <c r="B188" s="107" t="n">
        <f aca="false">(G158*B67)/1.2</f>
        <v>92.70835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192.69835</v>
      </c>
      <c r="C191" s="97"/>
      <c r="D191" s="97"/>
      <c r="E191" s="107" t="n">
        <f aca="false">H148</f>
        <v>4458.34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396.526829190416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7.35" hidden="false" customHeight="false" outlineLevel="0" collapsed="false">
      <c r="A201" s="40" t="n">
        <f aca="false">IF(A40=0,((G167*(B59+1))-E179),((G167*B59)+E185-E179-A185))</f>
        <v>3942.496</v>
      </c>
      <c r="B201" s="190" t="n">
        <f aca="false">E179+A201+(B182*1.2)+A185</f>
        <v>26442.488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396.526829190416</v>
      </c>
      <c r="B212" s="181" t="str">
        <f aca="false">B167</f>
        <v>0</v>
      </c>
      <c r="C212" s="178"/>
      <c r="D212" s="178"/>
      <c r="E212" s="181" t="n">
        <f aca="false">E167</f>
        <v>396.526829190416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500</v>
      </c>
      <c r="C221" s="107"/>
      <c r="D221" s="117"/>
      <c r="E221" s="107" t="n">
        <f aca="false">E179</f>
        <v>22250.004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6778.43502166458</v>
      </c>
      <c r="B224" s="107" t="str">
        <f aca="false">B182</f>
        <v>199.99</v>
      </c>
      <c r="C224" s="107"/>
      <c r="D224" s="117"/>
      <c r="E224" s="107" t="n">
        <f aca="false">E182</f>
        <v>29278.4270216646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396.526829190416</v>
      </c>
      <c r="B230" s="107" t="str">
        <f aca="false">B167</f>
        <v>0</v>
      </c>
      <c r="C230" s="190"/>
      <c r="D230" s="190"/>
      <c r="E230" s="107" t="n">
        <f aca="false">E167</f>
        <v>396.526829190416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15150</v>
      </c>
      <c r="B233" s="107" t="n">
        <f aca="false">E185</f>
        <v>15160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4458.34</v>
      </c>
      <c r="B240" s="107" t="n">
        <f aca="false">B68</f>
        <v>92.70835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4651.03835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2845.93902166457</v>
      </c>
      <c r="C254" s="201"/>
      <c r="D254" s="202" t="s">
        <v>227</v>
      </c>
      <c r="E254" s="202"/>
      <c r="F254" s="204" t="n">
        <f aca="false">F261+F267+F269+B270+B271</f>
        <v>111.25002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2834.67900166457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</v>
      </c>
      <c r="C260" s="47"/>
      <c r="D260" s="170" t="s">
        <v>226</v>
      </c>
      <c r="E260" s="170"/>
      <c r="F260" s="150" t="n">
        <f aca="false">B254</f>
        <v>2845.93902166457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111.25002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2834.67900166457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3775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37405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0</v>
      </c>
      <c r="E32" s="230"/>
      <c r="F32" s="67"/>
      <c r="G32" s="231" t="s">
        <v>253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404</v>
      </c>
      <c r="C38" s="227"/>
      <c r="D38" s="108" t="n">
        <v>500.0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149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0.0</v>
      </c>
      <c r="B41" s="245" t="n">
        <f aca="false">IF(B38="YES",D38+A41,D38)</f>
        <v>500</v>
      </c>
      <c r="C41" s="245"/>
      <c r="D41" s="108" t="n">
        <v>12.0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264</v>
      </c>
      <c r="B43" s="244" t="s">
        <v>265</v>
      </c>
      <c r="C43" s="234"/>
      <c r="D43" s="244" t="s">
        <v>269</v>
      </c>
      <c r="E43" s="247"/>
      <c r="F43" s="67"/>
      <c r="G43" s="67" t="s">
        <v>266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1.0</v>
      </c>
      <c r="B44" s="108" t="n">
        <v>0.0</v>
      </c>
      <c r="C44" s="108"/>
      <c r="D44" s="282" t="n">
        <f aca="false">A44+B44</f>
        <v>1</v>
      </c>
      <c r="E44" s="282"/>
      <c r="F44" s="67"/>
      <c r="G44" s="67" t="s">
        <v>267</v>
      </c>
      <c r="H44" s="242" t="n">
        <f aca="false">((A41*(B35-1))+D32)/B35</f>
        <v>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283</v>
      </c>
      <c r="B46" s="234"/>
      <c r="C46" s="234"/>
      <c r="D46" s="234"/>
      <c r="E46" s="247"/>
      <c r="F46" s="67"/>
      <c r="G46" s="67" t="s">
        <v>272</v>
      </c>
      <c r="H46" s="242" t="n">
        <f aca="false">H43</f>
        <v>501</v>
      </c>
      <c r="I46" s="242" t="s">
        <v>6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501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284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285</v>
      </c>
      <c r="B60" s="219" t="n">
        <f aca="false">E19</f>
        <v>22650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37405</v>
      </c>
      <c r="C61" s="219"/>
      <c r="D61" s="219"/>
      <c r="E61" s="220"/>
      <c r="F61" s="67"/>
      <c r="G61" s="218" t="s">
        <v>23</v>
      </c>
      <c r="H61" s="294" t="n">
        <f aca="false">G18</f>
        <v>37405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1585.5</v>
      </c>
      <c r="C64" s="219" t="n">
        <v>10000.0</v>
      </c>
      <c r="D64" s="294" t="n">
        <f aca="false">B64</f>
        <v>1585.5</v>
      </c>
      <c r="E64" s="220"/>
      <c r="F64" s="67"/>
      <c r="G64" s="288" t="s">
        <v>100</v>
      </c>
      <c r="H64" s="137" t="n">
        <f aca="false">H61*H63</f>
        <v>2618.35</v>
      </c>
      <c r="I64" s="219"/>
      <c r="J64" s="294" t="n">
        <f aca="false">H64</f>
        <v>2618.35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100.0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187.025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0.0</v>
      </c>
      <c r="C74" s="219"/>
      <c r="D74" s="219"/>
      <c r="E74" s="220"/>
      <c r="F74" s="67"/>
      <c r="G74" s="295" t="s">
        <v>288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0.0</v>
      </c>
      <c r="C75" s="219" t="n">
        <f aca="false">IF(G18&gt;40000,325,0)</f>
        <v>0</v>
      </c>
      <c r="D75" s="219"/>
      <c r="E75" s="220"/>
      <c r="F75" s="67"/>
      <c r="G75" s="299" t="s">
        <v>289</v>
      </c>
      <c r="H75" s="303" t="n">
        <f aca="false">IF(G18&gt;40000,325,0)</f>
        <v>0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12.5</v>
      </c>
      <c r="I76" s="219"/>
      <c r="J76" s="294" t="n">
        <f aca="false">H76</f>
        <v>12.5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2912.16666666667</v>
      </c>
      <c r="C81" s="219"/>
      <c r="D81" s="219"/>
      <c r="E81" s="220"/>
      <c r="F81" s="67"/>
      <c r="G81" s="307" t="s">
        <v>112</v>
      </c>
      <c r="H81" s="308" t="n">
        <f aca="false">SUM(J64:J80)</f>
        <v>4244.85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242.680555555556</v>
      </c>
      <c r="C82" s="219"/>
      <c r="D82" s="219"/>
      <c r="E82" s="220"/>
      <c r="F82" s="67"/>
      <c r="G82" s="218" t="s">
        <v>113</v>
      </c>
      <c r="H82" s="304" t="n">
        <f aca="false">H81/H29</f>
        <v>353.7375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((B83*(H29)+B81))*1.2</f>
        <v>10709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12308.22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(((B83*(H29))+B81)/(1-B70))*B70</f>
        <v>75.5980233965309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86.8873941105285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10784.5980233965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12295.1173941105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IF(B99=Z102,(((H44*B35)+(H44*B35)*(B105/100))/(B58))*1.2,(((H44*B35)+(H44*B35)*(B105/100))/(B57+B58))*1.2)</f>
        <v>0</v>
      </c>
      <c r="C89" s="219"/>
      <c r="D89" s="219"/>
      <c r="E89" s="220"/>
      <c r="F89" s="67"/>
      <c r="G89" s="307" t="s">
        <v>127</v>
      </c>
      <c r="H89" s="308" t="n">
        <f aca="false">(A41+(A41*H105))*1.2</f>
        <v>0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898.716501949711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1024.59311617588</v>
      </c>
      <c r="I90" s="219"/>
      <c r="J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898.716501949711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1024.59311617588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293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295</v>
      </c>
      <c r="B99" s="316" t="s">
        <v>360</v>
      </c>
      <c r="C99" s="316"/>
      <c r="D99" s="111" t="n">
        <v>1000</v>
      </c>
      <c r="E99" s="111"/>
      <c r="F99" s="67"/>
      <c r="G99" s="224" t="s">
        <v>295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f aca="false">199.99*1.2</f>
        <v>239.99</v>
      </c>
      <c r="B102" s="111" t="n">
        <v>400.0</v>
      </c>
      <c r="C102" s="111"/>
      <c r="D102" s="111" t="n">
        <v>200.0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273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274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275</v>
      </c>
      <c r="AA104" s="67"/>
    </row>
    <row r="105" customFormat="false" ht="18.75" hidden="false" customHeight="true" outlineLevel="0" collapsed="false">
      <c r="A105" s="226" t="s">
        <v>404</v>
      </c>
      <c r="B105" s="316" t="n">
        <v>0.0</v>
      </c>
      <c r="C105" s="316"/>
      <c r="D105" s="111" t="s">
        <v>424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276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277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278</v>
      </c>
      <c r="AA107" s="67"/>
    </row>
    <row r="108" customFormat="false" ht="18.75" hidden="false" customHeight="true" outlineLevel="0" collapsed="false">
      <c r="A108" s="221" t="s">
        <v>299</v>
      </c>
      <c r="B108" s="221" t="n">
        <v>0.0</v>
      </c>
      <c r="C108" s="221"/>
      <c r="D108" s="221" t="n">
        <v>0.0</v>
      </c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279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280</v>
      </c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239.988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(E118+E117)-D115</f>
        <v>1239.988</v>
      </c>
      <c r="F119" s="67"/>
      <c r="G119" s="319" t="s">
        <v>301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898.716501949711</v>
      </c>
      <c r="B128" s="325" t="n">
        <f aca="false">IF(A105="YES",B89,0)</f>
        <v>0</v>
      </c>
      <c r="C128" s="330"/>
      <c r="D128" s="325" t="n">
        <f aca="false">B91</f>
        <v>898.716501949711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305</v>
      </c>
      <c r="H129" s="332" t="s">
        <v>306</v>
      </c>
      <c r="I129" s="332"/>
      <c r="J129" s="332" t="s">
        <v>307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337" t="n">
        <f aca="false">H90</f>
        <v>1024.59311617588</v>
      </c>
      <c r="H130" s="181" t="n">
        <f aca="false">IF(G105="YES",H89*H57,0)</f>
        <v>0</v>
      </c>
      <c r="I130" s="181"/>
      <c r="J130" s="338" t="n">
        <f aca="false">H91</f>
        <v>1024.59311617588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898.716501949711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1024.59311617588</v>
      </c>
      <c r="H133" s="107" t="n">
        <f aca="false">IF(G105="YES",H89*H57,0)</f>
        <v>0</v>
      </c>
      <c r="I133" s="225"/>
      <c r="J133" s="188" t="n">
        <f aca="false">H91*H57</f>
        <v>1024.59311617588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898.716501949711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898.716501949711</v>
      </c>
      <c r="B137" s="42" t="n">
        <f aca="false">IF(A105="YES",B89,0)</f>
        <v>0</v>
      </c>
      <c r="C137" s="321"/>
      <c r="D137" s="42" t="n">
        <f aca="false">B91</f>
        <v>898.716501949711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187.025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26.9316</v>
      </c>
      <c r="B140" s="347" t="n">
        <f aca="false">G18*0.000002*1.2*100</f>
        <v>8.9772</v>
      </c>
      <c r="C140" s="348"/>
      <c r="D140" s="347" t="n">
        <f aca="false">A140+B140</f>
        <v>35.9088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IF(G105="YES",H89*0.1,0)</f>
        <v>0</v>
      </c>
      <c r="H142" s="107" t="n">
        <f aca="false">G102-100</f>
        <v>139.988</v>
      </c>
      <c r="I142" s="107"/>
      <c r="J142" s="107" t="n">
        <f aca="false">(H139+J139+G142+H142)-H145</f>
        <v>1407.013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239.988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0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500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1024.59311617588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898.716501949711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302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295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303</v>
      </c>
      <c r="C170" s="362"/>
      <c r="D170" s="361" t="s">
        <v>304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898.716501949711</v>
      </c>
      <c r="B171" s="362" t="n">
        <f aca="false">IF(A105="YES",B89,0)</f>
        <v>0</v>
      </c>
      <c r="C171" s="365"/>
      <c r="D171" s="362" t="n">
        <f aca="false">B91</f>
        <v>898.716501949711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308</v>
      </c>
      <c r="C173" s="234"/>
      <c r="D173" s="366" t="s">
        <v>309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 Monthly in advance </v>
      </c>
      <c r="B174" s="107" t="n">
        <f aca="false">B90*B57</f>
        <v>898.716501949711</v>
      </c>
      <c r="C174" s="360"/>
      <c r="D174" s="107" t="n">
        <f aca="false">IF(A105="YES",B89*B57,0)</f>
        <v>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313</v>
      </c>
      <c r="B176" s="170" t="s">
        <v>314</v>
      </c>
      <c r="C176" s="367"/>
      <c r="D176" s="245" t="s">
        <v>217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898.716501949711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303</v>
      </c>
      <c r="C179" s="360"/>
      <c r="D179" s="360" t="s">
        <v>304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898.716501949711</v>
      </c>
      <c r="B180" s="107" t="n">
        <f aca="false">IF(A105="YES",B89,0)</f>
        <v>0</v>
      </c>
      <c r="C180" s="360"/>
      <c r="D180" s="107" t="n">
        <f aca="false">B91</f>
        <v>898.716501949711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321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(G18*0.000006)*1.2*100</f>
        <v>26.9316</v>
      </c>
      <c r="B183" s="372" t="n">
        <f aca="false">G18*0.000002*1.2*100</f>
        <v>8.9772</v>
      </c>
      <c r="C183" s="373"/>
      <c r="D183" s="372" t="n">
        <f aca="false">A183+B183</f>
        <v>35.9088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325</v>
      </c>
      <c r="B185" s="371" t="s">
        <v>62</v>
      </c>
      <c r="C185" s="107"/>
      <c r="D185" s="371" t="s">
        <v>291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239.988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328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329</v>
      </c>
      <c r="B190" s="360" t="s">
        <v>330</v>
      </c>
      <c r="C190" s="360"/>
      <c r="D190" s="360" t="s">
        <v>331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0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333</v>
      </c>
      <c r="B193" s="360" t="s">
        <v>327</v>
      </c>
      <c r="C193" s="360"/>
      <c r="D193" s="360" t="s">
        <v>324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(E118/1.2)-100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500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334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223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224</v>
      </c>
      <c r="B203" s="378" t="n">
        <f aca="false">B209</f>
        <v>0.065</v>
      </c>
      <c r="C203" s="325" t="s">
        <v>226</v>
      </c>
      <c r="D203" s="379" t="n">
        <f aca="false">D64</f>
        <v>1585.5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227</v>
      </c>
      <c r="B205" s="325" t="n">
        <f aca="false">B213</f>
        <v>0.01</v>
      </c>
      <c r="C205" s="324" t="s">
        <v>228</v>
      </c>
      <c r="D205" s="379" t="n">
        <f aca="false">B219+E215+B215+B217</f>
        <v>339.99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229</v>
      </c>
      <c r="B207" s="325" t="n">
        <f aca="false">E217</f>
        <v>1925.48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224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226</v>
      </c>
      <c r="B211" s="108" t="n">
        <f aca="false">D64</f>
        <v>1585.5</v>
      </c>
      <c r="C211" s="383" t="s">
        <v>232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232</v>
      </c>
      <c r="B213" s="108" t="n">
        <f aca="false">B67</f>
        <v>0.01</v>
      </c>
      <c r="C213" s="340" t="s">
        <v>335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335</v>
      </c>
      <c r="B215" s="245" t="n">
        <f aca="false">B191*E213*100</f>
        <v>40</v>
      </c>
      <c r="C215" s="340" t="s">
        <v>234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336</v>
      </c>
      <c r="B217" s="245" t="n">
        <f aca="false">B78-(B78*(E213*100))</f>
        <v>200</v>
      </c>
      <c r="C217" s="340" t="s">
        <v>229</v>
      </c>
      <c r="D217" s="321"/>
      <c r="E217" s="37" t="n">
        <f aca="false">(B211-B205+D205)</f>
        <v>1925.48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337</v>
      </c>
      <c r="B219" s="345" t="n">
        <f aca="false">D191/0.1</f>
        <v>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338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236</v>
      </c>
      <c r="B223" s="108" t="n">
        <f aca="false">B71</f>
        <v>200</v>
      </c>
      <c r="C223" s="340" t="s">
        <v>237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238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239</v>
      </c>
      <c r="B225" s="388" t="n">
        <f aca="false">B68</f>
        <v>0.0075</v>
      </c>
      <c r="C225" s="340" t="s">
        <v>240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241</v>
      </c>
      <c r="D226" s="350"/>
      <c r="E226" s="37" t="n">
        <f aca="false">B86</f>
        <v>75.5980233965309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242</v>
      </c>
      <c r="B227" s="108" t="n">
        <f aca="false">B79</f>
        <v>200</v>
      </c>
      <c r="C227" s="389" t="s">
        <v>339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243</v>
      </c>
      <c r="B229" s="108" t="n">
        <f aca="false">B80</f>
        <v>200</v>
      </c>
      <c r="C229" s="393" t="s">
        <v>340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7.8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37405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253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n">
        <v>500.0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149</v>
      </c>
      <c r="E40" s="220"/>
      <c r="F40" s="67"/>
      <c r="G40" s="394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50.0</v>
      </c>
      <c r="B41" s="245" t="n">
        <f aca="false">IF(B38="YES",D38+A41,D38)</f>
        <v>550</v>
      </c>
      <c r="C41" s="245"/>
      <c r="D41" s="108" t="n">
        <v>12.0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264</v>
      </c>
      <c r="B43" s="244" t="s">
        <v>265</v>
      </c>
      <c r="C43" s="234"/>
      <c r="D43" s="244" t="s">
        <v>269</v>
      </c>
      <c r="E43" s="247"/>
      <c r="F43" s="67"/>
      <c r="G43" s="67" t="s">
        <v>266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1.0</v>
      </c>
      <c r="B44" s="108" t="n">
        <v>1.0</v>
      </c>
      <c r="C44" s="108"/>
      <c r="D44" s="282" t="n">
        <f aca="false">A44+B44</f>
        <v>2</v>
      </c>
      <c r="E44" s="282"/>
      <c r="F44" s="67"/>
      <c r="G44" s="67" t="s">
        <v>267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283</v>
      </c>
      <c r="B46" s="234"/>
      <c r="C46" s="234"/>
      <c r="D46" s="234"/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 t="n">
        <f aca="false">(A41*(B58+B57))</f>
        <v>600</v>
      </c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9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3</v>
      </c>
      <c r="C58" s="219" t="s">
        <v>284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285</v>
      </c>
      <c r="B60" s="219" t="n">
        <f aca="false">E19</f>
        <v>21600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37405</v>
      </c>
      <c r="C61" s="219"/>
      <c r="D61" s="219"/>
      <c r="E61" s="220"/>
      <c r="F61" s="67"/>
      <c r="G61" s="218" t="s">
        <v>23</v>
      </c>
      <c r="H61" s="294" t="n">
        <f aca="false">G18</f>
        <v>37405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1512</v>
      </c>
      <c r="C64" s="219" t="n">
        <v>10000</v>
      </c>
      <c r="D64" s="294" t="n">
        <f aca="false">B64</f>
        <v>1512</v>
      </c>
      <c r="E64" s="220"/>
      <c r="F64" s="67"/>
      <c r="G64" s="288" t="s">
        <v>100</v>
      </c>
      <c r="H64" s="137" t="n">
        <f aca="false">H61*H63</f>
        <v>2618.35</v>
      </c>
      <c r="I64" s="219"/>
      <c r="J64" s="294" t="n">
        <f aca="false">H64</f>
        <v>2618.35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100.0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187.025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0.0</v>
      </c>
      <c r="C74" s="219"/>
      <c r="D74" s="219"/>
      <c r="E74" s="220"/>
      <c r="F74" s="67"/>
      <c r="G74" s="295" t="s">
        <v>288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0.0</v>
      </c>
      <c r="C75" s="219"/>
      <c r="D75" s="219"/>
      <c r="E75" s="220"/>
      <c r="F75" s="67"/>
      <c r="G75" s="299" t="s">
        <v>289</v>
      </c>
      <c r="H75" s="303" t="n">
        <f aca="false">IF(G18&gt;40000,325,0)</f>
        <v>0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12.5</v>
      </c>
      <c r="I76" s="219"/>
      <c r="J76" s="294" t="n">
        <f aca="false">H76</f>
        <v>12.5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2838.66666666667</v>
      </c>
      <c r="C81" s="219"/>
      <c r="D81" s="219"/>
      <c r="E81" s="220"/>
      <c r="F81" s="67"/>
      <c r="G81" s="307" t="s">
        <v>112</v>
      </c>
      <c r="H81" s="308" t="n">
        <f aca="false">SUM(J64:J80)</f>
        <v>4244.85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236.555555555556</v>
      </c>
      <c r="C82" s="219"/>
      <c r="D82" s="219"/>
      <c r="E82" s="220"/>
      <c r="F82" s="67"/>
      <c r="G82" s="218" t="s">
        <v>113</v>
      </c>
      <c r="H82" s="304" t="n">
        <f aca="false">H81/H29</f>
        <v>353.7375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</f>
        <v>8850.66666666667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12308.22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74.9753933037515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86.8873941105285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8925.64205997042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12295.1173941105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IF(B99=Z102,(((H44*B35)+(H44*B35)*(B105/100))/(B58)),(((H44*B35)+(H44*B35)*(B105/100))/(B57+B58)))</f>
        <v>65</v>
      </c>
      <c r="C89" s="219" t="s">
        <v>6</v>
      </c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743.803504997535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1024.59311617588</v>
      </c>
      <c r="I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808.803504997535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1096.59311617588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295</v>
      </c>
      <c r="B99" s="316" t="s">
        <v>360</v>
      </c>
      <c r="C99" s="316"/>
      <c r="D99" s="111" t="n">
        <v>0</v>
      </c>
      <c r="E99" s="111"/>
      <c r="F99" s="67"/>
      <c r="G99" s="224" t="s">
        <v>295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v>199.99</v>
      </c>
      <c r="B102" s="111" t="n">
        <v>400.0</v>
      </c>
      <c r="C102" s="111"/>
      <c r="D102" s="111" t="n">
        <v>200.0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273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274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275</v>
      </c>
      <c r="AA104" s="67"/>
    </row>
    <row r="105" customFormat="false" ht="18.75" hidden="false" customHeight="true" outlineLevel="0" collapsed="false">
      <c r="A105" s="226" t="s">
        <v>400</v>
      </c>
      <c r="B105" s="316" t="n">
        <v>20.0</v>
      </c>
      <c r="C105" s="316"/>
      <c r="D105" s="111" t="s">
        <v>424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276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277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278</v>
      </c>
      <c r="AA107" s="67"/>
    </row>
    <row r="108" customFormat="false" ht="18.75" hidden="false" customHeight="true" outlineLevel="0" collapsed="false">
      <c r="A108" s="221" t="s">
        <v>299</v>
      </c>
      <c r="B108" s="221" t="n">
        <v>0.0</v>
      </c>
      <c r="C108" s="221"/>
      <c r="D108" s="221" t="n">
        <v>0.0</v>
      </c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279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280</v>
      </c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2000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-2000</v>
      </c>
      <c r="E114" s="171" t="n">
        <f aca="false">E112-E113</f>
        <v>4000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-6000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((E118*1.2)+E117)-E114</f>
        <v>-3760.012</v>
      </c>
      <c r="F119" s="67"/>
      <c r="G119" s="319" t="s">
        <v>301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743.803504997535</v>
      </c>
      <c r="B128" s="325" t="n">
        <f aca="false">IF(A105="YES",B89,0)</f>
        <v>65</v>
      </c>
      <c r="C128" s="330"/>
      <c r="D128" s="325" t="n">
        <f aca="false">B91</f>
        <v>808.803504997535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305</v>
      </c>
      <c r="H129" s="332" t="s">
        <v>306</v>
      </c>
      <c r="I129" s="332"/>
      <c r="J129" s="332" t="s">
        <v>307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337" t="n">
        <f aca="false">H90</f>
        <v>1024.59311617588</v>
      </c>
      <c r="H130" s="181" t="n">
        <f aca="false">IF(G105="YES",H89*H57,0)</f>
        <v>72</v>
      </c>
      <c r="I130" s="181"/>
      <c r="J130" s="338" t="n">
        <f aca="false">H91</f>
        <v>1096.59311617588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 Terminal pause with 9 down </v>
      </c>
      <c r="B131" s="42" t="n">
        <f aca="false">B90*B57</f>
        <v>6694.23154497782</v>
      </c>
      <c r="C131" s="321"/>
      <c r="D131" s="42" t="n">
        <f aca="false">IF(A105="YES",B89*B57,0)</f>
        <v>585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1024.59311617588</v>
      </c>
      <c r="H133" s="107" t="n">
        <f aca="false">IF(G105="YES",H89*H57,0)</f>
        <v>72</v>
      </c>
      <c r="I133" s="225"/>
      <c r="J133" s="188" t="n">
        <f aca="false">H91*H57</f>
        <v>1096.59311617588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7279.23154497782</v>
      </c>
      <c r="B134" s="42" t="n">
        <f aca="false">E114</f>
        <v>4000</v>
      </c>
      <c r="C134" s="321"/>
      <c r="D134" s="341" t="n">
        <f aca="false">B58</f>
        <v>3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743.803504997535</v>
      </c>
      <c r="B137" s="42" t="n">
        <f aca="false">IF(A105="YES",B89,0)</f>
        <v>65</v>
      </c>
      <c r="C137" s="321"/>
      <c r="D137" s="42" t="n">
        <f aca="false">B91</f>
        <v>808.803504997535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187.025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22.443</v>
      </c>
      <c r="B140" s="347" t="n">
        <f aca="false">G18*0.000002*100</f>
        <v>7.481</v>
      </c>
      <c r="C140" s="348"/>
      <c r="D140" s="347" t="n">
        <f aca="false">A140+B140</f>
        <v>29.924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1414.213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18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518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1096.59311617588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808.803504997535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302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295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303</v>
      </c>
      <c r="C170" s="362"/>
      <c r="D170" s="361" t="s">
        <v>304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743.803504997535</v>
      </c>
      <c r="B171" s="362" t="n">
        <f aca="false">IF(A105="YES",B89,0)</f>
        <v>65</v>
      </c>
      <c r="C171" s="365"/>
      <c r="D171" s="362" t="n">
        <f aca="false">B91</f>
        <v>808.803504997535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308</v>
      </c>
      <c r="C173" s="234"/>
      <c r="D173" s="366" t="s">
        <v>309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 Terminal pause with 9 down </v>
      </c>
      <c r="B174" s="107" t="n">
        <f aca="false">B90*B57</f>
        <v>6694.23154497782</v>
      </c>
      <c r="C174" s="360"/>
      <c r="D174" s="107" t="n">
        <f aca="false">IF(A105="YES",B89*B57,0)</f>
        <v>585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313</v>
      </c>
      <c r="B176" s="170" t="s">
        <v>314</v>
      </c>
      <c r="C176" s="367"/>
      <c r="D176" s="245" t="s">
        <v>217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7279.23154497782</v>
      </c>
      <c r="B177" s="107" t="n">
        <f aca="false">E114</f>
        <v>4000</v>
      </c>
      <c r="C177" s="360"/>
      <c r="D177" s="368" t="n">
        <f aca="false">B58</f>
        <v>3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303</v>
      </c>
      <c r="C179" s="360"/>
      <c r="D179" s="360" t="s">
        <v>304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743.803504997535</v>
      </c>
      <c r="B180" s="107" t="n">
        <f aca="false">IF(A105="YES",B89,0)</f>
        <v>65</v>
      </c>
      <c r="C180" s="360"/>
      <c r="D180" s="107" t="n">
        <f aca="false">B91</f>
        <v>808.803504997535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321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(G18*0.000006)*100</f>
        <v>22.443</v>
      </c>
      <c r="B183" s="372" t="n">
        <f aca="false">G18*0.000002*100</f>
        <v>7.481</v>
      </c>
      <c r="C183" s="373"/>
      <c r="D183" s="372" t="n">
        <f aca="false">A183+B183</f>
        <v>29.924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325</v>
      </c>
      <c r="B185" s="371" t="s">
        <v>62</v>
      </c>
      <c r="C185" s="107"/>
      <c r="D185" s="371" t="s">
        <v>291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199.99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328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329</v>
      </c>
      <c r="B190" s="360" t="s">
        <v>330</v>
      </c>
      <c r="C190" s="360"/>
      <c r="D190" s="360" t="s">
        <v>331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18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333</v>
      </c>
      <c r="B193" s="360" t="s">
        <v>327</v>
      </c>
      <c r="C193" s="360"/>
      <c r="D193" s="360" t="s">
        <v>324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E118-100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518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334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223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224</v>
      </c>
      <c r="B203" s="378" t="n">
        <f aca="false">H29</f>
        <v>12</v>
      </c>
      <c r="C203" s="325" t="s">
        <v>226</v>
      </c>
      <c r="D203" s="379" t="n">
        <f aca="false">D64</f>
        <v>1512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227</v>
      </c>
      <c r="B205" s="325" t="n">
        <f aca="false">B213</f>
        <v>0.01</v>
      </c>
      <c r="C205" s="324" t="s">
        <v>228</v>
      </c>
      <c r="D205" s="379" t="n">
        <f aca="false">B219+E215+B215+B217</f>
        <v>519.99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229</v>
      </c>
      <c r="B207" s="325" t="n">
        <f aca="false">E217</f>
        <v>2031.98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224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226</v>
      </c>
      <c r="B211" s="108" t="n">
        <f aca="false">D64</f>
        <v>1512</v>
      </c>
      <c r="C211" s="383" t="s">
        <v>232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232</v>
      </c>
      <c r="B213" s="108" t="n">
        <f aca="false">B67</f>
        <v>0.01</v>
      </c>
      <c r="C213" s="340" t="s">
        <v>335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335</v>
      </c>
      <c r="B215" s="245" t="n">
        <f aca="false">B191*E213*100</f>
        <v>40</v>
      </c>
      <c r="C215" s="340" t="s">
        <v>234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336</v>
      </c>
      <c r="B217" s="245" t="n">
        <f aca="false">B78-(B78*(E213*100))</f>
        <v>200</v>
      </c>
      <c r="C217" s="340" t="s">
        <v>229</v>
      </c>
      <c r="D217" s="321"/>
      <c r="E217" s="37" t="n">
        <f aca="false">(B211-B205+D205)</f>
        <v>2031.98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337</v>
      </c>
      <c r="B219" s="345" t="n">
        <f aca="false">D191/0.1</f>
        <v>180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338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236</v>
      </c>
      <c r="B223" s="108" t="n">
        <f aca="false">B71</f>
        <v>200</v>
      </c>
      <c r="C223" s="340" t="s">
        <v>237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238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239</v>
      </c>
      <c r="B225" s="388" t="n">
        <f aca="false">B68</f>
        <v>0.0075</v>
      </c>
      <c r="C225" s="340" t="s">
        <v>240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241</v>
      </c>
      <c r="D226" s="350"/>
      <c r="E226" s="37" t="n">
        <f aca="false">B86</f>
        <v>74.9753933037515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242</v>
      </c>
      <c r="B227" s="108" t="n">
        <f aca="false">B79</f>
        <v>200</v>
      </c>
      <c r="C227" s="389" t="s">
        <v>339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243</v>
      </c>
      <c r="B229" s="108" t="n">
        <f aca="false">B80</f>
        <v>200</v>
      </c>
      <c r="C229" s="393" t="s">
        <v>340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18125</v>
      </c>
      <c r="C2" s="9" t="s">
        <v>12</v>
      </c>
      <c r="D2" s="10" t="n">
        <f aca="false">C9</f>
        <v>3625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21750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3625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18125</v>
      </c>
      <c r="C15" s="14" t="n">
        <f aca="false">SUM(C9:C13)</f>
        <v>3625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21750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18125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400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36.0</v>
      </c>
      <c r="I29" s="394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401</v>
      </c>
      <c r="C30" s="176"/>
      <c r="D30" s="219"/>
      <c r="E30" s="220"/>
      <c r="F30" s="67"/>
      <c r="G30" s="222" t="s">
        <v>41</v>
      </c>
      <c r="H30" s="463" t="n">
        <v>10000.0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66666.66666666667</v>
      </c>
      <c r="I31" s="67"/>
      <c r="J31" s="67"/>
      <c r="K31" s="67" t="n">
        <v>66666.6666666667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6000.0</v>
      </c>
      <c r="J32" s="67"/>
      <c r="K32" s="67" t="n">
        <v>6000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323.244715858202</v>
      </c>
      <c r="E33" s="220"/>
      <c r="F33" s="67"/>
      <c r="G33" s="223" t="s">
        <v>365</v>
      </c>
      <c r="H33" s="466" t="n">
        <f aca="false">E21-E11</f>
        <v>18125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263.244715858202</v>
      </c>
      <c r="B36" s="107" t="n">
        <f aca="false">IF(B26="YES",H42,"")</f>
        <v>60</v>
      </c>
      <c r="C36" s="225"/>
      <c r="D36" s="188" t="n">
        <f aca="false">H31</f>
        <v>13975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18125</v>
      </c>
      <c r="I39" s="242" t="n">
        <f aca="false">(I48*H46)+H44</f>
        <v>53256.8210409724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13975</v>
      </c>
      <c r="B40" s="111" t="n">
        <f aca="false">IF(B26="YES",H42,"0")</f>
        <v>60</v>
      </c>
      <c r="C40" s="111"/>
      <c r="D40" s="188" t="n">
        <f aca="false">I32</f>
        <v>2160</v>
      </c>
      <c r="E40" s="220"/>
      <c r="F40" s="67"/>
      <c r="G40" s="67" t="s">
        <v>116</v>
      </c>
      <c r="H40" s="242" t="n">
        <f aca="false">A40/1.2</f>
        <v>11645.8333333333</v>
      </c>
      <c r="I40" s="242" t="n">
        <f aca="false">H39-I39</f>
        <v>-35131.8210409724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60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9535.98596522506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30.0</v>
      </c>
      <c r="B45" s="219"/>
      <c r="C45" s="469" t="n">
        <v>30.0</v>
      </c>
      <c r="D45" s="469"/>
      <c r="E45" s="220"/>
      <c r="F45" s="67"/>
      <c r="G45" s="67" t="s">
        <v>383</v>
      </c>
      <c r="H45" s="242" t="n">
        <f aca="false">(H39-H44)</f>
        <v>8589.01403477494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32.627488862498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263.244715858202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323.244715858202</v>
      </c>
      <c r="I48" s="242" t="n">
        <f aca="false">I49-H42</f>
        <v>1340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323.244715858202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385</v>
      </c>
      <c r="B60" s="219" t="n">
        <f aca="false">E19</f>
        <v>21750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37404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2283.75</v>
      </c>
      <c r="C64" s="471" t="n">
        <v>10000.0</v>
      </c>
      <c r="D64" s="294" t="n">
        <f aca="false">B64</f>
        <v>2283.75</v>
      </c>
      <c r="E64" s="472" t="n">
        <f aca="false">D64/(B58+B57)</f>
        <v>63.4375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300.0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200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238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0.0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0.0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479"/>
      <c r="D80" s="294" t="n">
        <f aca="false">B80</f>
        <v>200</v>
      </c>
      <c r="E80" s="472" t="n">
        <f aca="false">(D73+D76+D79+D80)/(B58+B57)</f>
        <v>21.6666666666667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3730.41666666667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103.622685185185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263.244715858202</v>
      </c>
      <c r="C83" s="479"/>
      <c r="D83" s="219"/>
      <c r="E83" s="472" t="n">
        <f aca="false">B83+E80+E77+E64</f>
        <v>360.694561537214</v>
      </c>
      <c r="F83" s="67"/>
      <c r="G83" s="309" t="s">
        <v>114</v>
      </c>
      <c r="H83" s="310" t="n">
        <f aca="false">H47</f>
        <v>263.244715858202</v>
      </c>
      <c r="I83" s="219"/>
      <c r="J83" s="219"/>
      <c r="K83" s="220"/>
      <c r="L83" s="67"/>
      <c r="M83" s="309" t="s">
        <v>114</v>
      </c>
      <c r="N83" s="310" t="n">
        <f aca="false">H47</f>
        <v>263.244715858202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13207.2264375619</v>
      </c>
      <c r="C85" s="479"/>
      <c r="D85" s="479"/>
      <c r="E85" s="472" t="n">
        <f aca="false">B85/(B58+B57)</f>
        <v>366.867401043387</v>
      </c>
      <c r="F85" s="67"/>
      <c r="G85" s="291" t="s">
        <v>124</v>
      </c>
      <c r="H85" s="135" t="n">
        <f aca="false">((H83*H29)+H81)*1.2</f>
        <v>12651.0717250743</v>
      </c>
      <c r="I85" s="219"/>
      <c r="J85" s="219"/>
      <c r="K85" s="220"/>
      <c r="L85" s="67"/>
      <c r="M85" s="291" t="s">
        <v>124</v>
      </c>
      <c r="N85" s="135" t="n">
        <f aca="false">((N83*H29)+N81)</f>
        <v>10198.8097708953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111.880498260912</v>
      </c>
      <c r="C86" s="479" t="s">
        <v>241</v>
      </c>
      <c r="D86" s="219"/>
      <c r="E86" s="472" t="n">
        <f aca="false">B86/(B58+B57)</f>
        <v>3.10779161835867</v>
      </c>
      <c r="F86" s="67"/>
      <c r="G86" s="218" t="s">
        <v>125</v>
      </c>
      <c r="H86" s="304" t="n">
        <f aca="false">((((H83*H29)+H81))/(1-H70))*H70</f>
        <v>89.3076866433242</v>
      </c>
      <c r="I86" s="219"/>
      <c r="J86" s="219"/>
      <c r="K86" s="220"/>
      <c r="L86" s="67"/>
      <c r="M86" s="218" t="s">
        <v>125</v>
      </c>
      <c r="N86" s="304" t="n">
        <f aca="false">(N85/(1-N70))*N70</f>
        <v>86.3957261753936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13319.1069358229</v>
      </c>
      <c r="C87" s="479"/>
      <c r="D87" s="481"/>
      <c r="E87" s="472" t="n">
        <f aca="false">E86+E85</f>
        <v>369.975192661746</v>
      </c>
      <c r="F87" s="67"/>
      <c r="G87" s="288" t="s">
        <v>126</v>
      </c>
      <c r="H87" s="137" t="n">
        <f aca="false">IF(H110="YES",((H85+H86)-K114),(H85+H86))</f>
        <v>12740.3794117177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10285.2054970707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72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75.8634146341463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63.219512195122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369.975192661746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310.740961261406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250.85867066026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441.975192661746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386.604375895552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314.078182855382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0.0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0.0</v>
      </c>
      <c r="C102" s="111"/>
      <c r="D102" s="111" t="n">
        <v>0.0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400</v>
      </c>
      <c r="B105" s="318" t="n">
        <v>0.3</v>
      </c>
      <c r="C105" s="318"/>
      <c r="D105" s="111" t="n">
        <v>200.0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((E118*1.2)+E117)-E114</f>
        <v>1239.988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310.740961261406</v>
      </c>
      <c r="H127" s="181" t="n">
        <f aca="false">IF(G105="YES",H89*H57,0)</f>
        <v>455.180487804878</v>
      </c>
      <c r="I127" s="181"/>
      <c r="J127" s="338" t="n">
        <f aca="false">H91</f>
        <v>386.604375895552</v>
      </c>
      <c r="K127" s="220"/>
      <c r="L127" s="67"/>
      <c r="M127" s="337" t="n">
        <f aca="false">N90</f>
        <v>250.85867066026</v>
      </c>
      <c r="N127" s="181" t="n">
        <f aca="false">IF(M105="YES",N89*N57,0)</f>
        <v>379.317073170732</v>
      </c>
      <c r="O127" s="181"/>
      <c r="P127" s="181" t="n">
        <f aca="false">N91</f>
        <v>314.078182855382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369.975192661746</v>
      </c>
      <c r="B128" s="325" t="n">
        <f aca="false">IF(A105="YES",B89,0)</f>
        <v>72</v>
      </c>
      <c r="C128" s="329"/>
      <c r="D128" s="325" t="n">
        <f aca="false">B91</f>
        <v>441.975192661746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369.975192661746</v>
      </c>
      <c r="C131" s="321"/>
      <c r="D131" s="42" t="n">
        <f aca="false">IF(A105="YES",B89*B57,0)</f>
        <v>72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1864.44576756844</v>
      </c>
      <c r="H133" s="107" t="n">
        <f aca="false">IF(G105="YES",H89*H57,0)</f>
        <v>455.180487804878</v>
      </c>
      <c r="I133" s="225"/>
      <c r="J133" s="188" t="n">
        <f aca="false">H91*H57</f>
        <v>2319.62625537331</v>
      </c>
      <c r="K133" s="220"/>
      <c r="L133" s="67"/>
      <c r="M133" s="189" t="n">
        <f aca="false">N90*N57</f>
        <v>1505.15202396156</v>
      </c>
      <c r="N133" s="107" t="n">
        <f aca="false">IF(M105="YES",N89*N57,0)</f>
        <v>379.317073170732</v>
      </c>
      <c r="O133" s="225"/>
      <c r="P133" s="188" t="n">
        <f aca="false">N91*N57</f>
        <v>1884.46909713229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441.975192661746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369.975192661746</v>
      </c>
      <c r="B137" s="42" t="n">
        <f aca="false">IF(A105="YES",B89,0)</f>
        <v>72</v>
      </c>
      <c r="C137" s="321"/>
      <c r="D137" s="42" t="n">
        <f aca="false">B91</f>
        <v>441.975192661746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22.4424</v>
      </c>
      <c r="B140" s="347" t="n">
        <f aca="false">IF(A105="YES",B61*0.000002,0)*100</f>
        <v>7.4808</v>
      </c>
      <c r="C140" s="348"/>
      <c r="D140" s="347" t="n">
        <f aca="false">A140+B140</f>
        <v>29.9232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43.2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43.2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200</v>
      </c>
      <c r="B148" s="107" t="n">
        <f aca="false">B102</f>
        <v>400</v>
      </c>
      <c r="C148" s="42"/>
      <c r="D148" s="42" t="n">
        <f aca="false">IF(A105="YES",(B40*B105)*B125,0)*0.1</f>
        <v>43.2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743.19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386.604375895552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314.078182855382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441.975192661746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369.975192661746</v>
      </c>
      <c r="B177" s="362" t="n">
        <f aca="false">IF(A105="YES",B89,0)</f>
        <v>72</v>
      </c>
      <c r="C177" s="364"/>
      <c r="D177" s="362" t="n">
        <f aca="false">B91</f>
        <v>441.975192661746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369.975192661746</v>
      </c>
      <c r="C180" s="360"/>
      <c r="D180" s="107" t="n">
        <f aca="false">IF(A105="YES",B89*B57,0)</f>
        <v>72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441.975192661746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369.975192661746</v>
      </c>
      <c r="B186" s="107" t="n">
        <f aca="false">IF(A105="YES",B89,0)</f>
        <v>72</v>
      </c>
      <c r="C186" s="360"/>
      <c r="D186" s="107" t="n">
        <f aca="false">B91</f>
        <v>441.975192661746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22.4424</v>
      </c>
      <c r="B189" s="372" t="n">
        <f aca="false">B140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200</v>
      </c>
      <c r="B197" s="107" t="n">
        <f aca="false">B102</f>
        <v>400</v>
      </c>
      <c r="C197" s="107"/>
      <c r="D197" s="107" t="n">
        <f aca="false">IF(A105="YES",(B40*B105)*B125,0)*0.1</f>
        <v>43.2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743.19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D64</f>
        <v>2283.75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200</v>
      </c>
      <c r="C211" s="324" t="s">
        <v>228</v>
      </c>
      <c r="D211" s="379" t="n">
        <f aca="false">B225+E221+B221+B223</f>
        <v>771.99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2855.74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2283.75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200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2855.74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432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111.880498260912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3775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400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35.0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401</v>
      </c>
      <c r="C30" s="176"/>
      <c r="D30" s="219"/>
      <c r="E30" s="220"/>
      <c r="F30" s="67"/>
      <c r="G30" s="222" t="s">
        <v>41</v>
      </c>
      <c r="H30" s="463" t="n">
        <v>35000.0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0.0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0.0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340.766287249849</v>
      </c>
      <c r="E33" s="220"/>
      <c r="F33" s="67"/>
      <c r="G33" s="223" t="s">
        <v>365</v>
      </c>
      <c r="H33" s="466" t="n">
        <f aca="false">E21-E11</f>
        <v>18875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290.766287249849</v>
      </c>
      <c r="B36" s="107" t="n">
        <f aca="false">IF(B26="YES",H42,"")</f>
        <v>50</v>
      </c>
      <c r="C36" s="225"/>
      <c r="D36" s="188" t="n">
        <f aca="false">H31</f>
        <v>14075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18875</v>
      </c>
      <c r="I39" s="242" t="n">
        <f aca="false">(I48*H46)+H44</f>
        <v>53179.8349839542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14075</v>
      </c>
      <c r="B40" s="111" t="n">
        <f aca="false">IF(B26="YES",H42,"0")</f>
        <v>50</v>
      </c>
      <c r="C40" s="111"/>
      <c r="D40" s="188" t="n">
        <f aca="false">I32</f>
        <v>1800</v>
      </c>
      <c r="E40" s="220"/>
      <c r="F40" s="67"/>
      <c r="G40" s="67" t="s">
        <v>116</v>
      </c>
      <c r="H40" s="242" t="n">
        <f aca="false">A40/1.2</f>
        <v>11729.1666666667</v>
      </c>
      <c r="I40" s="242" t="n">
        <f aca="false">H39-I39</f>
        <v>-34304.8349839542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9458.10797424941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100.0</v>
      </c>
      <c r="B45" s="219"/>
      <c r="C45" s="469" t="n">
        <v>100.0</v>
      </c>
      <c r="D45" s="469"/>
      <c r="E45" s="220"/>
      <c r="F45" s="67"/>
      <c r="G45" s="67" t="s">
        <v>383</v>
      </c>
      <c r="H45" s="242" t="n">
        <f aca="false">(H39-H44)</f>
        <v>9416.89202575059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290.766287249849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340.766287249849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340.766287249849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385</v>
      </c>
      <c r="B60" s="219" t="n">
        <f aca="false">E19</f>
        <v>22650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37404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2378.25</v>
      </c>
      <c r="C64" s="471" t="n">
        <v>10000.0</v>
      </c>
      <c r="D64" s="294" t="n">
        <f aca="false">B64</f>
        <v>2378.25</v>
      </c>
      <c r="E64" s="472" t="n">
        <f aca="false">D64/(B58+B57)</f>
        <v>66.0625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300.0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238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165.0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0.0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508.75</v>
      </c>
      <c r="C76" s="219"/>
      <c r="D76" s="294" t="n">
        <f aca="false">B76</f>
        <v>508.75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479"/>
      <c r="D80" s="294" t="n">
        <f aca="false">B80</f>
        <v>200</v>
      </c>
      <c r="E80" s="472" t="n">
        <f aca="false">(D73+D76+D79+D80)/(B58+B57)</f>
        <v>35.7986111111111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4333.66666666667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120.37962962963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290.766287249849</v>
      </c>
      <c r="C83" s="479"/>
      <c r="D83" s="219"/>
      <c r="E83" s="472" t="n">
        <f aca="false">B83+E80+E77+E64</f>
        <v>404.973077373306</v>
      </c>
      <c r="F83" s="67"/>
      <c r="G83" s="309" t="s">
        <v>114</v>
      </c>
      <c r="H83" s="310" t="n">
        <f aca="false">H47</f>
        <v>290.766287249849</v>
      </c>
      <c r="I83" s="219"/>
      <c r="J83" s="219"/>
      <c r="K83" s="220"/>
      <c r="L83" s="67"/>
      <c r="M83" s="309" t="s">
        <v>114</v>
      </c>
      <c r="N83" s="310" t="n">
        <f aca="false">H47</f>
        <v>290.766287249849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((B83*H29)+B81)*1.2</f>
        <v>17761.5036091935</v>
      </c>
      <c r="C85" s="479"/>
      <c r="D85" s="479"/>
      <c r="E85" s="472" t="n">
        <f aca="false">B85/(B58+B57)</f>
        <v>493.375100255374</v>
      </c>
      <c r="F85" s="67"/>
      <c r="G85" s="291" t="s">
        <v>124</v>
      </c>
      <c r="H85" s="135" t="n">
        <f aca="false">((H83*H29)+H81)*1.2</f>
        <v>13840.0036091935</v>
      </c>
      <c r="I85" s="219"/>
      <c r="J85" s="219"/>
      <c r="K85" s="220"/>
      <c r="L85" s="67"/>
      <c r="M85" s="291" t="s">
        <v>124</v>
      </c>
      <c r="N85" s="135" t="n">
        <f aca="false">((N83*H29)+N81)</f>
        <v>11189.5863409946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125.383748753887</v>
      </c>
      <c r="C86" s="479" t="s">
        <v>241</v>
      </c>
      <c r="D86" s="219"/>
      <c r="E86" s="472" t="n">
        <f aca="false">B86/(B58+B57)</f>
        <v>3.48288190983019</v>
      </c>
      <c r="F86" s="67"/>
      <c r="G86" s="218" t="s">
        <v>125</v>
      </c>
      <c r="H86" s="304" t="n">
        <f aca="false">((((H83*H29)+H81))/(1-H70))*H70</f>
        <v>97.7007112387599</v>
      </c>
      <c r="I86" s="219"/>
      <c r="J86" s="219"/>
      <c r="K86" s="220"/>
      <c r="L86" s="67"/>
      <c r="M86" s="218" t="s">
        <v>125</v>
      </c>
      <c r="N86" s="304" t="n">
        <f aca="false">(N85/(1-N70))*N70</f>
        <v>94.7887507708292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17886.8873579474</v>
      </c>
      <c r="C87" s="479"/>
      <c r="D87" s="481"/>
      <c r="E87" s="472" t="n">
        <f aca="false">E86+E85</f>
        <v>496.857982165204</v>
      </c>
      <c r="F87" s="67"/>
      <c r="G87" s="288" t="s">
        <v>126</v>
      </c>
      <c r="H87" s="137" t="n">
        <f aca="false">IF(H110="YES",((H85+H86)-K114),(H85+H86))</f>
        <v>13937.7043204322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11284.3750917654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IF(B99=Y98,(I32+(I32*B105))/(B58),(I32+(I32*B105))/(B57+B58))*(C45/100)*1.2</f>
        <v>72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63.2195121951219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52.6829268292683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496.857982165204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339.94400781542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275.228660774765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568.857982165204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403.163520010542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327.911587604034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1000.0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239.99</v>
      </c>
      <c r="B102" s="111" t="n">
        <v>400.0</v>
      </c>
      <c r="C102" s="111"/>
      <c r="D102" s="111" t="n">
        <v>200.0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400</v>
      </c>
      <c r="B105" s="318" t="n">
        <v>0.2</v>
      </c>
      <c r="C105" s="318"/>
      <c r="D105" s="111" t="n">
        <v>200.0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((E118)+E117)-E114</f>
        <v>1239.99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339.94400781542</v>
      </c>
      <c r="H127" s="181" t="n">
        <f aca="false">IF(G105="YES",H89*H57,0)</f>
        <v>379.317073170732</v>
      </c>
      <c r="I127" s="181"/>
      <c r="J127" s="338" t="n">
        <f aca="false">H91</f>
        <v>403.163520010542</v>
      </c>
      <c r="K127" s="220"/>
      <c r="L127" s="67"/>
      <c r="M127" s="337" t="n">
        <f aca="false">N90</f>
        <v>275.228660774765</v>
      </c>
      <c r="N127" s="181" t="n">
        <f aca="false">IF(M105="YES",N89*N57,0)</f>
        <v>316.09756097561</v>
      </c>
      <c r="O127" s="181"/>
      <c r="P127" s="181" t="n">
        <f aca="false">N91</f>
        <v>327.911587604034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496.857982165204</v>
      </c>
      <c r="B128" s="325" t="n">
        <f aca="false">IF(A105="YES",B89,0)</f>
        <v>72</v>
      </c>
      <c r="C128" s="329"/>
      <c r="D128" s="325" t="n">
        <f aca="false">B91</f>
        <v>568.857982165204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496.857982165204</v>
      </c>
      <c r="C131" s="321"/>
      <c r="D131" s="42" t="n">
        <f aca="false">IF(A105="YES",B89*B57,0)</f>
        <v>72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2039.66404689252</v>
      </c>
      <c r="H133" s="107" t="n">
        <f aca="false">IF(G105="YES",H89*H57,0)</f>
        <v>379.317073170732</v>
      </c>
      <c r="I133" s="225"/>
      <c r="J133" s="188" t="n">
        <f aca="false">H91*H57</f>
        <v>2418.98112006325</v>
      </c>
      <c r="K133" s="220"/>
      <c r="L133" s="67"/>
      <c r="M133" s="189" t="n">
        <f aca="false">N90*N57</f>
        <v>1651.37196464859</v>
      </c>
      <c r="N133" s="107" t="n">
        <f aca="false">IF(M105="YES",N89*N57,0)</f>
        <v>316.09756097561</v>
      </c>
      <c r="O133" s="225"/>
      <c r="P133" s="188" t="n">
        <f aca="false">N91*N57</f>
        <v>1967.4695256242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568.857982165204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496.857982165204</v>
      </c>
      <c r="B137" s="42" t="n">
        <f aca="false">IF(A105="YES",B89,0)</f>
        <v>72</v>
      </c>
      <c r="C137" s="321"/>
      <c r="D137" s="42" t="n">
        <f aca="false">B91</f>
        <v>568.857982165204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(B61*0.000006)*1.2*100</f>
        <v>26.93088</v>
      </c>
      <c r="B140" s="347" t="n">
        <f aca="false">IF(A105="YES",B61*0.000002,0)*1.2*100</f>
        <v>8.97696</v>
      </c>
      <c r="C140" s="348"/>
      <c r="D140" s="347" t="n">
        <f aca="false">A140+B140</f>
        <v>35.90784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36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99.9916666666667</v>
      </c>
      <c r="B151" s="42" t="n">
        <f aca="false">(A148+B148+D148+A151)*(A143/B64)</f>
        <v>0</v>
      </c>
      <c r="C151" s="42"/>
      <c r="D151" s="42" t="n">
        <f aca="false">(A148+B148+D148+A151)-B151</f>
        <v>536.001666666667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403.163520010542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327.911587604034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568.857982165204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496.857982165204</v>
      </c>
      <c r="B177" s="362" t="n">
        <f aca="false">IF(A105="YES",B89,0)</f>
        <v>72</v>
      </c>
      <c r="C177" s="364"/>
      <c r="D177" s="362" t="n">
        <f aca="false">B91</f>
        <v>568.857982165204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496.857982165204</v>
      </c>
      <c r="C180" s="360"/>
      <c r="D180" s="107" t="n">
        <f aca="false">IF(A105="YES",B89*B57,0)</f>
        <v>72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568.857982165204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496.857982165204</v>
      </c>
      <c r="B186" s="107" t="n">
        <f aca="false">IF(A105="YES",B89,0)</f>
        <v>72</v>
      </c>
      <c r="C186" s="360"/>
      <c r="D186" s="107" t="n">
        <f aca="false">B91</f>
        <v>568.857982165204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26.93088</v>
      </c>
      <c r="B189" s="372" t="n">
        <f aca="false">B140</f>
        <v>8.97696</v>
      </c>
      <c r="C189" s="373"/>
      <c r="D189" s="372" t="n">
        <f aca="false">A189+B189</f>
        <v>35.90784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239.99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36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E118/1.2-100</f>
        <v>99.9916666666667</v>
      </c>
      <c r="B200" s="107" t="n">
        <f aca="false">(A148+B148+D148+A151)*(A143/B64)</f>
        <v>0</v>
      </c>
      <c r="C200" s="107"/>
      <c r="D200" s="107" t="n">
        <f aca="false">(A148+B148+D148+A151)-B151</f>
        <v>536.001666666667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0.07</v>
      </c>
      <c r="C209" s="325" t="s">
        <v>226</v>
      </c>
      <c r="D209" s="379" t="n">
        <f aca="false">D64</f>
        <v>2378.25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699.991666666667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3078.23166666667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2378.25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3078.23166666667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360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125.383748753887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57" colorId="64" zoomScale="95" zoomScaleNormal="95" zoomScalePageLayoutView="100" workbookViewId="0">
      <selection pane="topLeft" activeCell="A189" activeCellId="0" sqref="A189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396"/>
      <c r="G1" s="396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409"/>
      <c r="B2" s="487" t="s">
        <v>153</v>
      </c>
      <c r="C2" s="487" t="s">
        <v>154</v>
      </c>
      <c r="D2" s="487" t="s">
        <v>155</v>
      </c>
      <c r="E2" s="488" t="s">
        <v>156</v>
      </c>
      <c r="F2" s="396"/>
      <c r="G2" s="396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320" t="s">
        <v>159</v>
      </c>
      <c r="B3" s="489" t="n">
        <v>55495.83</v>
      </c>
      <c r="C3" s="489" t="n">
        <v>0</v>
      </c>
      <c r="D3" s="489" t="n">
        <v>833.33</v>
      </c>
      <c r="E3" s="448" t="n">
        <v>0</v>
      </c>
      <c r="F3" s="396"/>
      <c r="G3" s="396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320" t="s">
        <v>160</v>
      </c>
      <c r="B4" s="490" t="n">
        <v>0</v>
      </c>
      <c r="C4" s="490" t="n">
        <v>0</v>
      </c>
      <c r="D4" s="490" t="n">
        <v>0</v>
      </c>
      <c r="E4" s="384"/>
      <c r="F4" s="396"/>
      <c r="G4" s="396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320" t="s">
        <v>161</v>
      </c>
      <c r="B5" s="489" t="n">
        <v>0</v>
      </c>
      <c r="C5" s="489" t="n">
        <v>0</v>
      </c>
      <c r="D5" s="489" t="n">
        <v>0</v>
      </c>
      <c r="E5" s="37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320" t="s">
        <v>162</v>
      </c>
      <c r="B6" s="36" t="n">
        <f aca="false">(B3*B4/100)+B5</f>
        <v>0</v>
      </c>
      <c r="C6" s="36" t="n">
        <f aca="false">(C3*C4/100)+C5</f>
        <v>0</v>
      </c>
      <c r="D6" s="36" t="n">
        <f aca="false">(D3*D4/100)+D5</f>
        <v>0</v>
      </c>
      <c r="E6" s="37"/>
      <c r="F6" s="396"/>
      <c r="G6" s="396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320" t="s">
        <v>163</v>
      </c>
      <c r="B7" s="36" t="n">
        <f aca="false">B3-B6</f>
        <v>55495.83</v>
      </c>
      <c r="C7" s="36" t="n">
        <f aca="false">C3-C6</f>
        <v>0</v>
      </c>
      <c r="D7" s="36" t="n">
        <f aca="false">D3-D6</f>
        <v>833.33</v>
      </c>
      <c r="E7" s="37"/>
      <c r="F7" s="396"/>
      <c r="G7" s="396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320"/>
      <c r="B8" s="321"/>
      <c r="C8" s="321"/>
      <c r="D8" s="321"/>
      <c r="E8" s="322"/>
      <c r="F8" s="396"/>
      <c r="G8" s="396"/>
      <c r="H8" s="396"/>
      <c r="I8" s="18" t="s">
        <v>13</v>
      </c>
      <c r="J8" s="14" t="n">
        <f aca="false">E13+E14</f>
        <v>650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492" t="n">
        <f aca="false">B7+C7+D7+E3</f>
        <v>56329.16</v>
      </c>
      <c r="F9" s="396"/>
      <c r="G9" s="396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448" t="n">
        <v>645.83</v>
      </c>
      <c r="F10" s="396"/>
      <c r="G10" s="396"/>
      <c r="H10" s="396"/>
      <c r="I10" s="20" t="s">
        <v>11</v>
      </c>
      <c r="J10" s="14" t="n">
        <f aca="false">E15-E11-J8</f>
        <v>56974.99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7" t="n">
        <f aca="false">(E9+E10)*20%</f>
        <v>11394.998</v>
      </c>
      <c r="F11" s="396"/>
      <c r="G11" s="396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448" t="n">
        <v>0</v>
      </c>
      <c r="F12" s="396"/>
      <c r="G12" s="396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448" t="n">
        <v>585</v>
      </c>
      <c r="F13" s="396"/>
      <c r="G13" s="396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448" t="n">
        <v>65</v>
      </c>
      <c r="F14" s="396"/>
      <c r="G14" s="396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450" t="n">
        <f aca="false">(E9+E10+E13+E14+E11)-E12</f>
        <v>69019.988</v>
      </c>
      <c r="F15" s="396"/>
      <c r="G15" s="21" t="n">
        <f aca="false">E15</f>
        <v>69019.988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448" t="n">
        <v>0</v>
      </c>
      <c r="F16" s="396"/>
      <c r="G16" s="396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322"/>
      <c r="F17" s="396"/>
      <c r="G17" s="396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451" t="n">
        <v>0</v>
      </c>
      <c r="F18" s="396"/>
      <c r="G18" s="21" t="n">
        <f aca="false">(B3+C3+D3+E3+E10)*1.2</f>
        <v>68369.988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451" t="n">
        <v>0</v>
      </c>
      <c r="F19" s="396"/>
      <c r="G19" s="396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451" t="n">
        <v>0</v>
      </c>
      <c r="F20" s="396"/>
      <c r="G20" s="396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453" t="n">
        <f aca="false">E15-((E18*1.2)+(E19*1.2)+(E20*1.2)+(E16*1.2))</f>
        <v>69019.988</v>
      </c>
      <c r="F21" s="396"/>
      <c r="G21" s="396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246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248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249</v>
      </c>
      <c r="B29" s="227" t="n">
        <v>12345</v>
      </c>
      <c r="C29" s="227"/>
      <c r="D29" s="398" t="n">
        <f aca="true">TODAY()+1</f>
        <v>45490</v>
      </c>
      <c r="E29" s="398"/>
      <c r="F29" s="396"/>
      <c r="G29" s="33" t="s">
        <v>37</v>
      </c>
      <c r="H29" s="41" t="n">
        <f aca="false">A32</f>
        <v>12</v>
      </c>
      <c r="I29" s="396"/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51</v>
      </c>
      <c r="B34" s="235" t="s">
        <v>57</v>
      </c>
      <c r="C34" s="234" t="s">
        <v>52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E15</f>
        <v>69019.988</v>
      </c>
      <c r="B35" s="227" t="s">
        <v>54</v>
      </c>
      <c r="C35" s="227"/>
      <c r="D35" s="282" t="n">
        <f aca="false">A35-B35</f>
        <v>68019.988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54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66</v>
      </c>
      <c r="G40" s="7" t="s">
        <v>67</v>
      </c>
      <c r="H40" s="7" t="n">
        <f aca="false">E11</f>
        <v>11394.998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343</v>
      </c>
      <c r="B41" s="108" t="s">
        <v>344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/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344</v>
      </c>
      <c r="D43" s="244" t="s">
        <v>220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n">
        <v>0</v>
      </c>
      <c r="B44" s="108" t="s">
        <v>345</v>
      </c>
      <c r="C44" s="108"/>
      <c r="D44" s="108" t="n">
        <v>0</v>
      </c>
      <c r="E44" s="108"/>
      <c r="F44" s="396"/>
      <c r="G44" s="7" t="s">
        <v>74</v>
      </c>
      <c r="H44" s="7" t="n">
        <f aca="false">((H40-(((H42/(1.2))*0.2)))/(H43))</f>
        <v>866.249833333333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-366.249833333333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346</v>
      </c>
      <c r="B46" s="234" t="s">
        <v>347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346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-363.583166666667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34"/>
      <c r="E50" s="247"/>
      <c r="F50" s="396"/>
      <c r="G50" s="7" t="s">
        <v>348</v>
      </c>
      <c r="H50" s="7" t="n">
        <f aca="false">H49-H41</f>
        <v>-363.583166666667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H49</f>
        <v>-363.583166666667</v>
      </c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346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-363.583166666667</v>
      </c>
      <c r="C58" s="78"/>
      <c r="D58" s="360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9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3</v>
      </c>
      <c r="C64" s="321"/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320"/>
      <c r="B66" s="321"/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320" t="s">
        <v>23</v>
      </c>
      <c r="B67" s="36" t="n">
        <f aca="false">G18</f>
        <v>68369.988</v>
      </c>
      <c r="C67" s="321"/>
      <c r="D67" s="321"/>
      <c r="E67" s="322"/>
      <c r="F67" s="396"/>
      <c r="G67" s="320" t="s">
        <v>23</v>
      </c>
      <c r="H67" s="36" t="n">
        <f aca="false">G18</f>
        <v>68369.988</v>
      </c>
      <c r="I67" s="321"/>
      <c r="J67" s="321"/>
      <c r="K67" s="322"/>
      <c r="L67" s="396"/>
      <c r="M67" s="320" t="s">
        <v>23</v>
      </c>
      <c r="N67" s="36" t="n">
        <f aca="false">G18</f>
        <v>68369.988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407" t="s">
        <v>286</v>
      </c>
      <c r="B68" s="408" t="n">
        <v>0.07</v>
      </c>
      <c r="C68" s="321"/>
      <c r="D68" s="321"/>
      <c r="E68" s="322"/>
      <c r="F68" s="396"/>
      <c r="G68" s="407" t="s">
        <v>286</v>
      </c>
      <c r="H68" s="408" t="n">
        <v>0.07</v>
      </c>
      <c r="I68" s="321"/>
      <c r="J68" s="321"/>
      <c r="K68" s="322"/>
      <c r="L68" s="396"/>
      <c r="M68" s="407" t="s">
        <v>286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320" t="s">
        <v>287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287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287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375" t="s">
        <v>100</v>
      </c>
      <c r="B70" s="69" t="n">
        <f aca="false">B67*B69</f>
        <v>4785.89916</v>
      </c>
      <c r="C70" s="321" t="n">
        <v>10000</v>
      </c>
      <c r="D70" s="36" t="n">
        <f aca="false">B70-A149</f>
        <v>4785.89916</v>
      </c>
      <c r="E70" s="322" t="n">
        <f aca="false">D70/12</f>
        <v>398.82493</v>
      </c>
      <c r="F70" s="396"/>
      <c r="G70" s="375" t="s">
        <v>100</v>
      </c>
      <c r="H70" s="69" t="n">
        <f aca="false">H67*H69</f>
        <v>4785.89916</v>
      </c>
      <c r="I70" s="321"/>
      <c r="J70" s="36" t="n">
        <f aca="false">H70-G151</f>
        <v>4785.89916</v>
      </c>
      <c r="K70" s="322"/>
      <c r="L70" s="396"/>
      <c r="M70" s="375" t="s">
        <v>100</v>
      </c>
      <c r="N70" s="69" t="n">
        <f aca="false">N67*N69</f>
        <v>4785.89916</v>
      </c>
      <c r="O70" s="321"/>
      <c r="P70" s="36" t="n">
        <f aca="false">N70-M151</f>
        <v>4785.89916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407" t="s">
        <v>101</v>
      </c>
      <c r="B71" s="408" t="n">
        <v>100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320" t="s">
        <v>102</v>
      </c>
      <c r="B72" s="384" t="n">
        <f aca="false">B71+(B71*0.5*(H29/12-1))</f>
        <v>100</v>
      </c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375" t="s">
        <v>103</v>
      </c>
      <c r="B73" s="69" t="n">
        <f aca="false">B71</f>
        <v>100</v>
      </c>
      <c r="C73" s="321"/>
      <c r="D73" s="36"/>
      <c r="E73" s="322"/>
      <c r="F73" s="396"/>
      <c r="G73" s="375" t="s">
        <v>103</v>
      </c>
      <c r="H73" s="69" t="n">
        <f aca="false">H67*H72</f>
        <v>341.84994</v>
      </c>
      <c r="I73" s="321"/>
      <c r="J73" s="36"/>
      <c r="K73" s="322"/>
      <c r="L73" s="396"/>
      <c r="M73" s="375" t="s">
        <v>103</v>
      </c>
      <c r="N73" s="69" t="n">
        <f aca="false">N67*N72</f>
        <v>341.84994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288</v>
      </c>
      <c r="B80" s="91" t="n">
        <v>165</v>
      </c>
      <c r="C80" s="321"/>
      <c r="D80" s="321"/>
      <c r="E80" s="395" t="n">
        <f aca="false">E79+D82</f>
        <v>703.333333333333</v>
      </c>
      <c r="F80" s="396"/>
      <c r="G80" s="407" t="s">
        <v>288</v>
      </c>
      <c r="H80" s="91" t="n">
        <v>150</v>
      </c>
      <c r="I80" s="321"/>
      <c r="J80" s="321"/>
      <c r="K80" s="322"/>
      <c r="L80" s="396"/>
      <c r="M80" s="412" t="s">
        <v>288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289</v>
      </c>
      <c r="B81" s="81" t="n">
        <v>355</v>
      </c>
      <c r="C81" s="321"/>
      <c r="D81" s="321"/>
      <c r="E81" s="322" t="n">
        <f aca="false">E80/12</f>
        <v>58.6111111111111</v>
      </c>
      <c r="F81" s="396"/>
      <c r="G81" s="409" t="s">
        <v>289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289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290</v>
      </c>
      <c r="B82" s="69" t="n">
        <f aca="false">((B80+B81)/12)*(H29-11)</f>
        <v>43.3333333333333</v>
      </c>
      <c r="C82" s="321"/>
      <c r="D82" s="36" t="n">
        <f aca="false">IF(A50="YES",0,B82)</f>
        <v>43.3333333333333</v>
      </c>
      <c r="E82" s="322"/>
      <c r="F82" s="396"/>
      <c r="G82" s="375" t="s">
        <v>290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290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291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291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291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349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292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292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6155.89916</v>
      </c>
      <c r="C87" s="321"/>
      <c r="D87" s="321"/>
      <c r="E87" s="322"/>
      <c r="F87" s="396"/>
      <c r="G87" s="419" t="s">
        <v>112</v>
      </c>
      <c r="H87" s="420" t="n">
        <f aca="false">SUM(J70:J86)</f>
        <v>7939.48249333333</v>
      </c>
      <c r="I87" s="321"/>
      <c r="J87" s="321"/>
      <c r="K87" s="322"/>
      <c r="L87" s="396"/>
      <c r="M87" s="419" t="s">
        <v>112</v>
      </c>
      <c r="N87" s="420" t="n">
        <f aca="false">SUM(P70:P86)</f>
        <v>7899.89916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512.991596666667</v>
      </c>
      <c r="C88" s="321"/>
      <c r="D88" s="321"/>
      <c r="E88" s="322"/>
      <c r="F88" s="396"/>
      <c r="G88" s="320" t="s">
        <v>113</v>
      </c>
      <c r="H88" s="37" t="n">
        <f aca="false">H87/H29</f>
        <v>661.623541111111</v>
      </c>
      <c r="I88" s="321"/>
      <c r="J88" s="321"/>
      <c r="K88" s="322"/>
      <c r="L88" s="396"/>
      <c r="M88" s="320" t="s">
        <v>113</v>
      </c>
      <c r="N88" s="37" t="n">
        <f aca="false">N87/H29</f>
        <v>658.32493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-363.583166666667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((B89*H29)+B87)*1.2</f>
        <v>2151.481392</v>
      </c>
      <c r="C91" s="321"/>
      <c r="D91" s="321"/>
      <c r="E91" s="322"/>
      <c r="F91" s="396"/>
      <c r="G91" s="404" t="s">
        <v>124</v>
      </c>
      <c r="H91" s="31" t="n">
        <f aca="false">((H89*H29)+H87)*1.2</f>
        <v>9527.378992</v>
      </c>
      <c r="I91" s="321"/>
      <c r="J91" s="321"/>
      <c r="K91" s="322"/>
      <c r="L91" s="396"/>
      <c r="M91" s="404" t="s">
        <v>124</v>
      </c>
      <c r="N91" s="31" t="n">
        <f aca="false">((N89*H29)+N87)</f>
        <v>7899.89916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15.1879485114966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67.2566084550222</v>
      </c>
      <c r="I92" s="321"/>
      <c r="J92" s="321"/>
      <c r="K92" s="322"/>
      <c r="L92" s="396"/>
      <c r="M92" s="320" t="s">
        <v>125</v>
      </c>
      <c r="N92" s="37" t="n">
        <f aca="false">(N91/(1-N76))*N76</f>
        <v>66.9212917950787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2166.6693405115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11594.635600455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9966.82045179508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IF(B105=Z104,(((H41*A32)+(H41*A32)*(B111/100))/(B64)),(((H41*A32)+(H41*A32)*(B111/100))/(B63+B64)))*1.2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180.555778375958</v>
      </c>
      <c r="C96" s="321"/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180.555778375958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396"/>
      <c r="G100" s="217" t="s">
        <v>293</v>
      </c>
      <c r="H100" s="217"/>
      <c r="I100" s="217"/>
      <c r="J100" s="217"/>
      <c r="K100" s="217"/>
      <c r="L100" s="396"/>
      <c r="M100" s="217" t="s">
        <v>350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294</v>
      </c>
      <c r="E104" s="322"/>
      <c r="F104" s="396"/>
      <c r="G104" s="320" t="s">
        <v>135</v>
      </c>
      <c r="H104" s="321" t="s">
        <v>32</v>
      </c>
      <c r="I104" s="321"/>
      <c r="J104" s="321" t="s">
        <v>294</v>
      </c>
      <c r="K104" s="322"/>
      <c r="L104" s="396"/>
      <c r="M104" s="320" t="s">
        <v>135</v>
      </c>
      <c r="N104" s="321" t="s">
        <v>32</v>
      </c>
      <c r="O104" s="321"/>
      <c r="P104" s="321" t="s">
        <v>294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273</v>
      </c>
    </row>
    <row r="105" customFormat="false" ht="18.75" hidden="false" customHeight="true" outlineLevel="0" collapsed="false">
      <c r="A105" s="382"/>
      <c r="B105" s="316" t="s">
        <v>360</v>
      </c>
      <c r="C105" s="316"/>
      <c r="D105" s="428" t="n">
        <v>1000</v>
      </c>
      <c r="E105" s="428"/>
      <c r="F105" s="396"/>
      <c r="G105" s="382" t="s">
        <v>295</v>
      </c>
      <c r="H105" s="316" t="s">
        <v>278</v>
      </c>
      <c r="I105" s="316"/>
      <c r="J105" s="428" t="n">
        <v>5000</v>
      </c>
      <c r="K105" s="428"/>
      <c r="L105" s="396"/>
      <c r="M105" s="382" t="s">
        <v>295</v>
      </c>
      <c r="N105" s="316" t="s">
        <v>277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274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275</v>
      </c>
    </row>
    <row r="107" customFormat="false" ht="18.75" hidden="false" customHeight="true" outlineLevel="0" collapsed="false">
      <c r="A107" s="320" t="s">
        <v>296</v>
      </c>
      <c r="B107" s="321" t="s">
        <v>297</v>
      </c>
      <c r="C107" s="321"/>
      <c r="D107" s="321" t="s">
        <v>298</v>
      </c>
      <c r="E107" s="322"/>
      <c r="F107" s="396"/>
      <c r="G107" s="320" t="s">
        <v>296</v>
      </c>
      <c r="H107" s="321" t="s">
        <v>297</v>
      </c>
      <c r="I107" s="321"/>
      <c r="J107" s="321" t="s">
        <v>298</v>
      </c>
      <c r="K107" s="322"/>
      <c r="L107" s="396"/>
      <c r="M107" s="320" t="s">
        <v>296</v>
      </c>
      <c r="N107" s="321" t="s">
        <v>297</v>
      </c>
      <c r="O107" s="321"/>
      <c r="P107" s="321" t="s">
        <v>298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277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278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279</v>
      </c>
    </row>
    <row r="111" customFormat="false" ht="18.75" hidden="false" customHeight="true" outlineLevel="0" collapsed="false">
      <c r="A111" s="397" t="s">
        <v>28</v>
      </c>
      <c r="B111" s="316" t="n">
        <v>0</v>
      </c>
      <c r="C111" s="316"/>
      <c r="D111" s="111" t="s">
        <v>361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280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351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396"/>
      <c r="G114" s="221" t="s">
        <v>299</v>
      </c>
      <c r="H114" s="221"/>
      <c r="I114" s="221"/>
      <c r="J114" s="221"/>
      <c r="K114" s="221"/>
      <c r="L114" s="396"/>
      <c r="M114" s="221" t="s">
        <v>299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300</v>
      </c>
      <c r="B116" s="397" t="s">
        <v>28</v>
      </c>
      <c r="C116" s="321"/>
      <c r="D116" s="321"/>
      <c r="E116" s="322"/>
      <c r="F116" s="396"/>
      <c r="G116" s="320" t="s">
        <v>300</v>
      </c>
      <c r="H116" s="397" t="s">
        <v>27</v>
      </c>
      <c r="I116" s="321"/>
      <c r="J116" s="321"/>
      <c r="K116" s="322"/>
      <c r="L116" s="396"/>
      <c r="M116" s="320" t="s">
        <v>300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239.99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301</v>
      </c>
      <c r="B125" s="376"/>
      <c r="C125" s="376"/>
      <c r="D125" s="376"/>
      <c r="E125" s="69" t="n">
        <f aca="false">(E124+E123)-E120</f>
        <v>1239.99</v>
      </c>
      <c r="F125" s="396"/>
      <c r="G125" s="429" t="s">
        <v>301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301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396"/>
      <c r="G128" s="221" t="s">
        <v>302</v>
      </c>
      <c r="H128" s="221"/>
      <c r="I128" s="221"/>
      <c r="J128" s="221"/>
      <c r="K128" s="221"/>
      <c r="L128" s="396"/>
      <c r="M128" s="221" t="s">
        <v>302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192</v>
      </c>
      <c r="H130" s="176" t="n">
        <v>0</v>
      </c>
      <c r="I130" s="176"/>
      <c r="J130" s="321"/>
      <c r="K130" s="322"/>
      <c r="L130" s="396"/>
      <c r="M130" s="320" t="s">
        <v>192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3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3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180.555778375958</v>
      </c>
      <c r="B134" s="325" t="n">
        <f aca="false">IF(A111="YES",B95,0)</f>
        <v>0</v>
      </c>
      <c r="C134" s="329"/>
      <c r="D134" s="325" t="n">
        <f aca="false">B97</f>
        <v>180.555778375958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305</v>
      </c>
      <c r="H135" s="431" t="s">
        <v>306</v>
      </c>
      <c r="I135" s="431"/>
      <c r="J135" s="431" t="s">
        <v>307</v>
      </c>
      <c r="K135" s="322"/>
      <c r="L135" s="396"/>
      <c r="M135" s="430" t="s">
        <v>352</v>
      </c>
      <c r="N135" s="431" t="s">
        <v>262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 Terminal pause with 9 down </v>
      </c>
      <c r="B137" s="42" t="n">
        <f aca="false">B96*B63</f>
        <v>1625.00200538362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310</v>
      </c>
      <c r="H138" s="321" t="s">
        <v>311</v>
      </c>
      <c r="I138" s="321"/>
      <c r="J138" s="321" t="s">
        <v>312</v>
      </c>
      <c r="K138" s="322"/>
      <c r="L138" s="396"/>
      <c r="M138" s="320" t="s">
        <v>353</v>
      </c>
      <c r="N138" s="321" t="s">
        <v>251</v>
      </c>
      <c r="O138" s="321"/>
      <c r="P138" s="321" t="s">
        <v>255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1625.00200538362</v>
      </c>
      <c r="B140" s="42" t="n">
        <f aca="false">E120</f>
        <v>0</v>
      </c>
      <c r="C140" s="321"/>
      <c r="D140" s="341" t="n">
        <f aca="false">B64</f>
        <v>3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315</v>
      </c>
      <c r="H141" s="321" t="s">
        <v>316</v>
      </c>
      <c r="I141" s="321"/>
      <c r="J141" s="321" t="s">
        <v>317</v>
      </c>
      <c r="K141" s="322"/>
      <c r="L141" s="396"/>
      <c r="M141" s="320" t="s">
        <v>264</v>
      </c>
      <c r="N141" s="321" t="s">
        <v>265</v>
      </c>
      <c r="O141" s="321"/>
      <c r="P141" s="321" t="s">
        <v>269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396"/>
      <c r="G142" s="115" t="n">
        <f aca="false">E15*0.000006</f>
        <v>0.414119928</v>
      </c>
      <c r="H142" s="42" t="n">
        <f aca="false">IF(G111="YES",E15*0.000002,0)</f>
        <v>0.138039976</v>
      </c>
      <c r="I142" s="42"/>
      <c r="J142" s="42" t="n">
        <f aca="false">G142+H142</f>
        <v>0.552159904</v>
      </c>
      <c r="K142" s="109"/>
      <c r="L142" s="396"/>
      <c r="M142" s="115" t="n">
        <f aca="false">E15*0.000006</f>
        <v>0.414119928</v>
      </c>
      <c r="N142" s="42" t="n">
        <f aca="false">IF(M111="YES",E15*0.000002,0)</f>
        <v>0.138039976</v>
      </c>
      <c r="O142" s="42"/>
      <c r="P142" s="42" t="n">
        <f aca="false">M142+N142</f>
        <v>0.552159904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180.555778375958</v>
      </c>
      <c r="B143" s="42" t="n">
        <f aca="false">IF(A111="YES",B95,0)</f>
        <v>0</v>
      </c>
      <c r="C143" s="321"/>
      <c r="D143" s="42" t="n">
        <f aca="false">B97</f>
        <v>180.555778375958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318</v>
      </c>
      <c r="H144" s="321" t="s">
        <v>319</v>
      </c>
      <c r="I144" s="321"/>
      <c r="J144" s="321" t="s">
        <v>320</v>
      </c>
      <c r="K144" s="322"/>
      <c r="L144" s="396"/>
      <c r="M144" s="320" t="s">
        <v>149</v>
      </c>
      <c r="N144" s="321" t="s">
        <v>319</v>
      </c>
      <c r="O144" s="321"/>
      <c r="P144" s="321" t="s">
        <v>320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284.87495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284.87495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(G18*0.000006)*1.2*100</f>
        <v>49.22639136</v>
      </c>
      <c r="B146" s="347" t="n">
        <f aca="false">G18*0.000002*1.2*100</f>
        <v>16.40879712</v>
      </c>
      <c r="C146" s="348"/>
      <c r="D146" s="347" t="n">
        <f aca="false">A146+B146</f>
        <v>65.63518848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322</v>
      </c>
      <c r="H147" s="321" t="s">
        <v>323</v>
      </c>
      <c r="I147" s="321"/>
      <c r="J147" s="321" t="s">
        <v>324</v>
      </c>
      <c r="K147" s="322"/>
      <c r="L147" s="396"/>
      <c r="M147" s="320" t="s">
        <v>322</v>
      </c>
      <c r="N147" s="321" t="s">
        <v>323</v>
      </c>
      <c r="O147" s="321"/>
      <c r="P147" s="321" t="s">
        <v>324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2944.86295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2904.86495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326</v>
      </c>
      <c r="H150" s="321" t="s">
        <v>327</v>
      </c>
      <c r="I150" s="321"/>
      <c r="J150" s="321"/>
      <c r="K150" s="322"/>
      <c r="L150" s="396"/>
      <c r="M150" s="320" t="s">
        <v>326</v>
      </c>
      <c r="N150" s="321" t="s">
        <v>327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354</v>
      </c>
      <c r="N153" s="43" t="s">
        <v>355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332</v>
      </c>
      <c r="H154" s="321"/>
      <c r="I154" s="321"/>
      <c r="J154" s="356"/>
      <c r="K154" s="357"/>
      <c r="L154" s="396"/>
      <c r="M154" s="432" t="n">
        <f aca="false">H40</f>
        <v>11394.998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599.991666666667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332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180.555778375958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/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180.555778375958</v>
      </c>
      <c r="B177" s="362" t="n">
        <f aca="false">IF(A111="YES",B95,0)</f>
        <v>0</v>
      </c>
      <c r="C177" s="364"/>
      <c r="D177" s="362" t="n">
        <f aca="false">A177+B177</f>
        <v>180.555778375958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 Terminal pause with 9 down </v>
      </c>
      <c r="B180" s="107" t="n">
        <f aca="false">B96*B63</f>
        <v>1625.00200538362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1625.00200538362</v>
      </c>
      <c r="B183" s="107" t="n">
        <f aca="false">E120</f>
        <v>0</v>
      </c>
      <c r="C183" s="360"/>
      <c r="D183" s="368" t="n">
        <f aca="false">B64</f>
        <v>3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180.555778375958</v>
      </c>
      <c r="B186" s="107" t="n">
        <f aca="false">IF(A111="YES",B95,0)</f>
        <v>0</v>
      </c>
      <c r="C186" s="360"/>
      <c r="D186" s="107" t="n">
        <f aca="false">B97</f>
        <v>180.555778375958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G18*0.000002*1.2*100</f>
        <v>16.40879712</v>
      </c>
      <c r="C189" s="373"/>
      <c r="D189" s="372" t="n">
        <f aca="false">A189+B189</f>
        <v>65.63518848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599.991666666667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G201" s="396"/>
      <c r="H201" s="396"/>
      <c r="I201" s="396"/>
      <c r="J201" s="396"/>
      <c r="K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396"/>
      <c r="G202" s="396"/>
      <c r="H202" s="396"/>
      <c r="I202" s="396"/>
      <c r="J202" s="396"/>
      <c r="K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G203" s="396"/>
      <c r="H203" s="396"/>
      <c r="I203" s="396"/>
      <c r="J203" s="396"/>
      <c r="K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G204" s="396"/>
      <c r="H204" s="396"/>
      <c r="I204" s="396"/>
      <c r="J204" s="396"/>
      <c r="K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G205" s="396"/>
      <c r="H205" s="396"/>
      <c r="I205" s="396"/>
      <c r="J205" s="396"/>
      <c r="K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G206" s="396"/>
      <c r="H206" s="396"/>
      <c r="I206" s="396"/>
      <c r="J206" s="396"/>
      <c r="K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396"/>
      <c r="G207" s="396"/>
      <c r="H207" s="396"/>
      <c r="I207" s="396"/>
      <c r="J207" s="396"/>
      <c r="K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G208" s="396"/>
      <c r="H208" s="396"/>
      <c r="I208" s="396"/>
      <c r="J208" s="396"/>
      <c r="K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D70</f>
        <v>4785.89916</v>
      </c>
      <c r="E209" s="326"/>
      <c r="F209" s="396"/>
      <c r="G209" s="396"/>
      <c r="H209" s="396"/>
      <c r="I209" s="396"/>
      <c r="J209" s="396"/>
      <c r="K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G210" s="396"/>
      <c r="H210" s="396"/>
      <c r="I210" s="396"/>
      <c r="J210" s="396"/>
      <c r="K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339.991666666667</v>
      </c>
      <c r="E211" s="326"/>
      <c r="F211" s="396"/>
      <c r="G211" s="396"/>
      <c r="H211" s="396"/>
      <c r="I211" s="396"/>
      <c r="J211" s="396"/>
      <c r="K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G212" s="396"/>
      <c r="H212" s="396"/>
      <c r="I212" s="396"/>
      <c r="J212" s="396"/>
      <c r="K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229</v>
      </c>
      <c r="B213" s="325" t="n">
        <f aca="false">E223</f>
        <v>5025.89082666667</v>
      </c>
      <c r="C213" s="329"/>
      <c r="D213" s="325"/>
      <c r="E213" s="326"/>
      <c r="F213" s="396"/>
      <c r="G213" s="396"/>
      <c r="H213" s="396"/>
      <c r="I213" s="396"/>
      <c r="J213" s="396"/>
      <c r="K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G214" s="396"/>
      <c r="H214" s="396"/>
      <c r="I214" s="396"/>
      <c r="J214" s="396"/>
      <c r="K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G216" s="396"/>
      <c r="H216" s="396"/>
      <c r="I216" s="396"/>
      <c r="J216" s="396"/>
      <c r="K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100</v>
      </c>
      <c r="F217" s="396"/>
      <c r="G217" s="396"/>
      <c r="H217" s="396"/>
      <c r="I217" s="396"/>
      <c r="J217" s="396"/>
      <c r="K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396"/>
      <c r="G219" s="396"/>
      <c r="H219" s="396"/>
      <c r="I219" s="396"/>
      <c r="J219" s="396"/>
      <c r="K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G220" s="396"/>
      <c r="H220" s="396"/>
      <c r="I220" s="396"/>
      <c r="J220" s="396"/>
      <c r="K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396"/>
      <c r="G221" s="396"/>
      <c r="H221" s="396"/>
      <c r="I221" s="396"/>
      <c r="J221" s="396"/>
      <c r="K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G222" s="396"/>
      <c r="H222" s="396"/>
      <c r="I222" s="396"/>
      <c r="J222" s="396"/>
      <c r="K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5025.89082666667</v>
      </c>
      <c r="F223" s="396"/>
      <c r="G223" s="396"/>
      <c r="H223" s="396"/>
      <c r="I223" s="396"/>
      <c r="J223" s="396"/>
      <c r="K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G224" s="396"/>
      <c r="H224" s="396"/>
      <c r="I224" s="396"/>
      <c r="J224" s="396"/>
      <c r="K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396"/>
      <c r="G225" s="396"/>
      <c r="H225" s="396"/>
      <c r="I225" s="396"/>
      <c r="J225" s="396"/>
      <c r="K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G226" s="396"/>
      <c r="H226" s="396"/>
      <c r="I226" s="396"/>
      <c r="J226" s="396"/>
      <c r="K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396"/>
      <c r="G227" s="396"/>
      <c r="H227" s="396"/>
      <c r="I227" s="396"/>
      <c r="J227" s="396"/>
      <c r="K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G228" s="396"/>
      <c r="H228" s="396"/>
      <c r="I228" s="396"/>
      <c r="J228" s="396"/>
      <c r="K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396"/>
      <c r="G230" s="396"/>
      <c r="H230" s="396"/>
      <c r="I230" s="396"/>
      <c r="J230" s="396"/>
      <c r="K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396"/>
      <c r="G231" s="396"/>
      <c r="H231" s="396"/>
      <c r="I231" s="396"/>
      <c r="J231" s="396"/>
      <c r="K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15.1879485114966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396"/>
      <c r="G233" s="396"/>
      <c r="H233" s="396"/>
      <c r="I233" s="396"/>
      <c r="J233" s="396"/>
      <c r="K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G234" s="396"/>
      <c r="H234" s="396"/>
      <c r="I234" s="396"/>
      <c r="J234" s="396"/>
      <c r="K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355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G236" s="396"/>
      <c r="H236" s="396"/>
      <c r="I236" s="396"/>
      <c r="J236" s="396"/>
      <c r="K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G237" s="396"/>
      <c r="H237" s="396"/>
      <c r="I237" s="396"/>
      <c r="J237" s="396"/>
      <c r="K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G239" s="396"/>
      <c r="H239" s="396"/>
      <c r="I239" s="396"/>
      <c r="J239" s="396"/>
      <c r="K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G240" s="396"/>
      <c r="H240" s="396"/>
      <c r="I240" s="396"/>
      <c r="J240" s="396"/>
      <c r="K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G241" s="396"/>
      <c r="H241" s="396"/>
      <c r="I241" s="396"/>
      <c r="J241" s="396"/>
      <c r="K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G242" s="396"/>
      <c r="H242" s="396"/>
      <c r="I242" s="396"/>
      <c r="J242" s="396"/>
      <c r="K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96"/>
      <c r="B243" s="396"/>
      <c r="C243" s="396"/>
      <c r="D243" s="396"/>
      <c r="E243" s="396"/>
      <c r="F243" s="396"/>
      <c r="G243" s="396"/>
      <c r="H243" s="396"/>
      <c r="I243" s="396"/>
      <c r="J243" s="396"/>
      <c r="K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396"/>
      <c r="B244" s="396"/>
      <c r="C244" s="396"/>
      <c r="D244" s="396"/>
      <c r="E244" s="396"/>
      <c r="F244" s="396"/>
      <c r="G244" s="396"/>
      <c r="H244" s="396"/>
      <c r="I244" s="396"/>
      <c r="J244" s="396"/>
      <c r="K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96"/>
      <c r="B245" s="396"/>
      <c r="C245" s="396"/>
      <c r="D245" s="396"/>
      <c r="E245" s="396"/>
      <c r="F245" s="396"/>
      <c r="G245" s="396"/>
      <c r="H245" s="396"/>
      <c r="I245" s="396"/>
      <c r="J245" s="396"/>
      <c r="K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96"/>
      <c r="B246" s="396"/>
      <c r="C246" s="396"/>
      <c r="D246" s="396"/>
      <c r="E246" s="396"/>
      <c r="F246" s="396"/>
      <c r="G246" s="396"/>
      <c r="H246" s="396"/>
      <c r="I246" s="396"/>
      <c r="J246" s="396"/>
      <c r="K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396"/>
      <c r="B247" s="396"/>
      <c r="C247" s="396"/>
      <c r="D247" s="396"/>
      <c r="E247" s="396"/>
      <c r="F247" s="396"/>
      <c r="G247" s="396"/>
      <c r="H247" s="396"/>
      <c r="I247" s="396"/>
      <c r="J247" s="396"/>
      <c r="K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96"/>
      <c r="B248" s="396"/>
      <c r="C248" s="396"/>
      <c r="D248" s="396"/>
      <c r="E248" s="396"/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71" colorId="64" zoomScale="95" zoomScaleNormal="95" zoomScalePageLayoutView="100" workbookViewId="0">
      <selection pane="topLeft" activeCell="A189" activeCellId="0" sqref="A189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396"/>
      <c r="G1" s="396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409"/>
      <c r="B2" s="487" t="s">
        <v>153</v>
      </c>
      <c r="C2" s="487" t="s">
        <v>154</v>
      </c>
      <c r="D2" s="487" t="s">
        <v>155</v>
      </c>
      <c r="E2" s="488" t="s">
        <v>156</v>
      </c>
      <c r="F2" s="396"/>
      <c r="G2" s="396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320" t="s">
        <v>159</v>
      </c>
      <c r="B3" s="489" t="n">
        <v>55495.83</v>
      </c>
      <c r="C3" s="489" t="n">
        <v>0</v>
      </c>
      <c r="D3" s="489" t="n">
        <v>833.33</v>
      </c>
      <c r="E3" s="448" t="n">
        <v>0</v>
      </c>
      <c r="F3" s="396"/>
      <c r="G3" s="396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320" t="s">
        <v>160</v>
      </c>
      <c r="B4" s="490" t="n">
        <v>0</v>
      </c>
      <c r="C4" s="490" t="n">
        <v>0</v>
      </c>
      <c r="D4" s="490" t="n">
        <v>0</v>
      </c>
      <c r="E4" s="384"/>
      <c r="F4" s="396"/>
      <c r="G4" s="396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320" t="s">
        <v>161</v>
      </c>
      <c r="B5" s="489" t="n">
        <v>0</v>
      </c>
      <c r="C5" s="489" t="n">
        <v>0</v>
      </c>
      <c r="D5" s="489" t="n">
        <v>0</v>
      </c>
      <c r="E5" s="37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320" t="s">
        <v>162</v>
      </c>
      <c r="B6" s="36" t="n">
        <f aca="false">(B3*B4/100)+B5</f>
        <v>0</v>
      </c>
      <c r="C6" s="36" t="n">
        <f aca="false">(C3*C4/100)+C5</f>
        <v>0</v>
      </c>
      <c r="D6" s="36" t="n">
        <f aca="false">(D3*D4/100)+D5</f>
        <v>0</v>
      </c>
      <c r="E6" s="37"/>
      <c r="F6" s="396"/>
      <c r="G6" s="396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320" t="s">
        <v>163</v>
      </c>
      <c r="B7" s="36" t="n">
        <f aca="false">B3-B6</f>
        <v>55495.83</v>
      </c>
      <c r="C7" s="36" t="n">
        <f aca="false">C3-C6</f>
        <v>0</v>
      </c>
      <c r="D7" s="36" t="n">
        <f aca="false">D3-D6</f>
        <v>833.33</v>
      </c>
      <c r="E7" s="37"/>
      <c r="F7" s="396"/>
      <c r="G7" s="396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320"/>
      <c r="B8" s="321"/>
      <c r="C8" s="321"/>
      <c r="D8" s="321"/>
      <c r="E8" s="322"/>
      <c r="F8" s="396"/>
      <c r="G8" s="396"/>
      <c r="H8" s="396"/>
      <c r="I8" s="18" t="s">
        <v>13</v>
      </c>
      <c r="J8" s="14" t="n">
        <f aca="false">E13+E14</f>
        <v>650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492" t="n">
        <f aca="false">B7+C7+D7+E3</f>
        <v>56329.16</v>
      </c>
      <c r="F9" s="396"/>
      <c r="G9" s="396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448" t="n">
        <v>645.83</v>
      </c>
      <c r="F10" s="396"/>
      <c r="G10" s="396"/>
      <c r="H10" s="396"/>
      <c r="I10" s="20" t="s">
        <v>11</v>
      </c>
      <c r="J10" s="14" t="n">
        <f aca="false">E15-E11-J8</f>
        <v>56974.99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7" t="n">
        <f aca="false">(E9+E10)*20%</f>
        <v>11394.998</v>
      </c>
      <c r="F11" s="396"/>
      <c r="G11" s="396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448" t="n">
        <v>0</v>
      </c>
      <c r="F12" s="396"/>
      <c r="G12" s="396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448" t="n">
        <v>585</v>
      </c>
      <c r="F13" s="396"/>
      <c r="G13" s="396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448" t="n">
        <v>65</v>
      </c>
      <c r="F14" s="396"/>
      <c r="G14" s="396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450" t="n">
        <f aca="false">(E9+E10+E13+E14+E11)-E12</f>
        <v>69019.988</v>
      </c>
      <c r="F15" s="396"/>
      <c r="G15" s="21" t="n">
        <f aca="false">E15</f>
        <v>69019.988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448" t="n">
        <v>0</v>
      </c>
      <c r="F16" s="396"/>
      <c r="G16" s="396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322"/>
      <c r="F17" s="396"/>
      <c r="G17" s="396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451" t="n">
        <v>0</v>
      </c>
      <c r="F18" s="396"/>
      <c r="G18" s="21" t="n">
        <f aca="false">(B3+C3+D3+E3+E10)*1.2</f>
        <v>68369.988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451" t="n">
        <v>0</v>
      </c>
      <c r="F19" s="396"/>
      <c r="G19" s="396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451" t="n">
        <v>0</v>
      </c>
      <c r="F20" s="396"/>
      <c r="G20" s="396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453" t="n">
        <f aca="false">E15-((E18*1.2)+(E19*1.2)+(E20*1.2)+(E16*1.2))</f>
        <v>69019.988</v>
      </c>
      <c r="F21" s="396"/>
      <c r="G21" s="396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246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248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249</v>
      </c>
      <c r="B29" s="227" t="n">
        <v>12345</v>
      </c>
      <c r="C29" s="227"/>
      <c r="D29" s="398" t="n">
        <f aca="true">TODAY()+1</f>
        <v>45490</v>
      </c>
      <c r="E29" s="398"/>
      <c r="F29" s="396"/>
      <c r="G29" s="33" t="s">
        <v>37</v>
      </c>
      <c r="H29" s="41" t="n">
        <f aca="false">A32</f>
        <v>12</v>
      </c>
      <c r="I29" s="396" t="n">
        <f aca="false">ISNUMBER(I31)</f>
        <v>0</v>
      </c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600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346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E15</f>
        <v>69019.988</v>
      </c>
      <c r="B35" s="227" t="s">
        <v>54</v>
      </c>
      <c r="C35" s="227"/>
      <c r="D35" s="282" t="n">
        <f aca="false">A35-B35</f>
        <v>68019.988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6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</v>
      </c>
      <c r="G40" s="7" t="s">
        <v>67</v>
      </c>
      <c r="H40" s="7" t="n">
        <f aca="false">E11</f>
        <v>11394.998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343</v>
      </c>
      <c r="B41" s="108" t="s">
        <v>344</v>
      </c>
      <c r="C41" s="108"/>
      <c r="D41" s="227" t="s">
        <v>27</v>
      </c>
      <c r="E41" s="227"/>
      <c r="F41" s="396"/>
      <c r="G41" s="7" t="s">
        <v>68</v>
      </c>
      <c r="H41" s="7" t="str">
        <f aca="false">IF(D41="Yes",A44,0)</f>
        <v>50</v>
      </c>
      <c r="I41" s="7" t="s">
        <v>6</v>
      </c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6</v>
      </c>
      <c r="D43" s="244" t="s">
        <v>220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s">
        <v>79</v>
      </c>
      <c r="B44" s="108" t="s">
        <v>345</v>
      </c>
      <c r="C44" s="108"/>
      <c r="D44" s="108" t="s">
        <v>345</v>
      </c>
      <c r="E44" s="108"/>
      <c r="F44" s="396"/>
      <c r="G44" s="7" t="s">
        <v>74</v>
      </c>
      <c r="H44" s="7" t="n">
        <f aca="false">((H40-(((H42/(1.2))*0.2)))/(H43))</f>
        <v>866.249833333333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-316.249833333333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346</v>
      </c>
      <c r="B46" s="234" t="s">
        <v>347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346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-313.583166666667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114"/>
      <c r="B50" s="234"/>
      <c r="C50" s="234"/>
      <c r="D50" s="234"/>
      <c r="E50" s="247"/>
      <c r="F50" s="396"/>
      <c r="G50" s="7" t="s">
        <v>348</v>
      </c>
      <c r="H50" s="7" t="n">
        <f aca="false">H49-H41</f>
        <v>-363.583166666667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/>
      <c r="B52" s="78"/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346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-313.583166666667</v>
      </c>
      <c r="C58" s="78"/>
      <c r="D58" s="434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9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3</v>
      </c>
      <c r="C64" s="321" t="s">
        <v>6</v>
      </c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320"/>
      <c r="B66" s="321"/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320" t="s">
        <v>23</v>
      </c>
      <c r="B67" s="36" t="n">
        <f aca="false">G18</f>
        <v>68369.988</v>
      </c>
      <c r="C67" s="321"/>
      <c r="D67" s="321"/>
      <c r="E67" s="322"/>
      <c r="F67" s="396"/>
      <c r="G67" s="320" t="s">
        <v>23</v>
      </c>
      <c r="H67" s="36" t="n">
        <f aca="false">G18</f>
        <v>68369.988</v>
      </c>
      <c r="I67" s="321"/>
      <c r="J67" s="321"/>
      <c r="K67" s="322"/>
      <c r="L67" s="396"/>
      <c r="M67" s="320" t="s">
        <v>23</v>
      </c>
      <c r="N67" s="36" t="n">
        <f aca="false">G18</f>
        <v>68369.988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407" t="s">
        <v>286</v>
      </c>
      <c r="B68" s="408" t="n">
        <v>0.07</v>
      </c>
      <c r="C68" s="321"/>
      <c r="D68" s="321"/>
      <c r="E68" s="322"/>
      <c r="F68" s="396"/>
      <c r="G68" s="407" t="s">
        <v>286</v>
      </c>
      <c r="H68" s="408" t="n">
        <v>0.07</v>
      </c>
      <c r="I68" s="321"/>
      <c r="J68" s="321"/>
      <c r="K68" s="322"/>
      <c r="L68" s="396"/>
      <c r="M68" s="407" t="s">
        <v>286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320" t="s">
        <v>287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287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287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375" t="s">
        <v>100</v>
      </c>
      <c r="B70" s="69" t="n">
        <f aca="false">B67*B69</f>
        <v>4785.89916</v>
      </c>
      <c r="C70" s="321" t="n">
        <v>10000</v>
      </c>
      <c r="D70" s="36" t="n">
        <f aca="false">B70-A149</f>
        <v>4785.89916</v>
      </c>
      <c r="E70" s="322" t="n">
        <f aca="false">D70/12</f>
        <v>398.82493</v>
      </c>
      <c r="F70" s="396"/>
      <c r="G70" s="375" t="s">
        <v>100</v>
      </c>
      <c r="H70" s="69" t="n">
        <f aca="false">H67*H69</f>
        <v>4785.89916</v>
      </c>
      <c r="I70" s="321"/>
      <c r="J70" s="36" t="n">
        <f aca="false">H70-G151</f>
        <v>4785.89916</v>
      </c>
      <c r="K70" s="322"/>
      <c r="L70" s="396"/>
      <c r="M70" s="375" t="s">
        <v>100</v>
      </c>
      <c r="N70" s="69" t="n">
        <f aca="false">N67*N69</f>
        <v>4785.89916</v>
      </c>
      <c r="O70" s="321"/>
      <c r="P70" s="36" t="n">
        <f aca="false">N70-M151</f>
        <v>4785.89916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407" t="s">
        <v>101</v>
      </c>
      <c r="B71" s="408" t="n">
        <v>100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320" t="s">
        <v>102</v>
      </c>
      <c r="B72" s="384" t="n">
        <f aca="false">B71+(B71*0.5*(H29/12-1))</f>
        <v>100</v>
      </c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375" t="s">
        <v>103</v>
      </c>
      <c r="B73" s="69" t="n">
        <f aca="false">B71</f>
        <v>100</v>
      </c>
      <c r="C73" s="321"/>
      <c r="D73" s="36"/>
      <c r="E73" s="322"/>
      <c r="F73" s="396"/>
      <c r="G73" s="375" t="s">
        <v>103</v>
      </c>
      <c r="H73" s="69" t="n">
        <f aca="false">H67*H72</f>
        <v>341.84994</v>
      </c>
      <c r="I73" s="321"/>
      <c r="J73" s="36"/>
      <c r="K73" s="322"/>
      <c r="L73" s="396"/>
      <c r="M73" s="375" t="s">
        <v>103</v>
      </c>
      <c r="N73" s="69" t="n">
        <f aca="false">N67*N72</f>
        <v>341.84994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288</v>
      </c>
      <c r="B80" s="91" t="n">
        <v>165</v>
      </c>
      <c r="C80" s="321"/>
      <c r="D80" s="321"/>
      <c r="E80" s="395" t="n">
        <f aca="false">E79+D82</f>
        <v>703.333333333333</v>
      </c>
      <c r="F80" s="396"/>
      <c r="G80" s="407" t="s">
        <v>288</v>
      </c>
      <c r="H80" s="91" t="n">
        <v>150</v>
      </c>
      <c r="I80" s="321"/>
      <c r="J80" s="321"/>
      <c r="K80" s="322"/>
      <c r="L80" s="396"/>
      <c r="M80" s="412" t="s">
        <v>288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289</v>
      </c>
      <c r="B81" s="81" t="n">
        <v>355</v>
      </c>
      <c r="C81" s="321"/>
      <c r="D81" s="321"/>
      <c r="E81" s="322" t="n">
        <f aca="false">E80/12</f>
        <v>58.6111111111111</v>
      </c>
      <c r="F81" s="396"/>
      <c r="G81" s="409" t="s">
        <v>289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289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290</v>
      </c>
      <c r="B82" s="69" t="n">
        <f aca="false">((B80+B81)/12)*(H29-11)</f>
        <v>43.3333333333333</v>
      </c>
      <c r="C82" s="321"/>
      <c r="D82" s="36" t="n">
        <f aca="false">IF(A50="YES",0,B82)</f>
        <v>43.3333333333333</v>
      </c>
      <c r="E82" s="322"/>
      <c r="F82" s="396"/>
      <c r="G82" s="375" t="s">
        <v>290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290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291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291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291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349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292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292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6155.89916</v>
      </c>
      <c r="C87" s="321"/>
      <c r="D87" s="321"/>
      <c r="E87" s="322"/>
      <c r="F87" s="396"/>
      <c r="G87" s="419" t="s">
        <v>112</v>
      </c>
      <c r="H87" s="420" t="n">
        <f aca="false">SUM(J70:J86)</f>
        <v>7939.48249333333</v>
      </c>
      <c r="I87" s="321"/>
      <c r="J87" s="321"/>
      <c r="K87" s="322"/>
      <c r="L87" s="396"/>
      <c r="M87" s="419" t="s">
        <v>112</v>
      </c>
      <c r="N87" s="420" t="n">
        <f aca="false">SUM(P70:P86)</f>
        <v>7899.89916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512.991596666667</v>
      </c>
      <c r="C88" s="321"/>
      <c r="D88" s="321"/>
      <c r="E88" s="322"/>
      <c r="F88" s="396"/>
      <c r="G88" s="320" t="s">
        <v>113</v>
      </c>
      <c r="H88" s="37" t="n">
        <f aca="false">H87/H29</f>
        <v>661.623541111111</v>
      </c>
      <c r="I88" s="321"/>
      <c r="J88" s="321"/>
      <c r="K88" s="322"/>
      <c r="L88" s="396"/>
      <c r="M88" s="320" t="s">
        <v>113</v>
      </c>
      <c r="N88" s="37" t="n">
        <f aca="false">N87/H29</f>
        <v>658.32493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-363.583166666667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</f>
        <v>1792.90116</v>
      </c>
      <c r="C91" s="321"/>
      <c r="D91" s="321"/>
      <c r="E91" s="322"/>
      <c r="F91" s="396"/>
      <c r="G91" s="404" t="s">
        <v>124</v>
      </c>
      <c r="H91" s="31" t="n">
        <f aca="false">((H89*H29)+H87)*1.2</f>
        <v>9527.378992</v>
      </c>
      <c r="I91" s="321"/>
      <c r="J91" s="321"/>
      <c r="K91" s="322"/>
      <c r="L91" s="396"/>
      <c r="M91" s="404" t="s">
        <v>124</v>
      </c>
      <c r="N91" s="31" t="n">
        <f aca="false">((N89*H29)+N87)</f>
        <v>7899.89916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15.1879485114966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67.2566084550222</v>
      </c>
      <c r="I92" s="321"/>
      <c r="J92" s="321"/>
      <c r="K92" s="322"/>
      <c r="L92" s="396"/>
      <c r="M92" s="320" t="s">
        <v>125</v>
      </c>
      <c r="N92" s="37" t="n">
        <f aca="false">(N91/(1-N76))*N76</f>
        <v>66.9212917950787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1808.0891085115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11594.635600455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9966.82045179508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</f>
        <v>65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150.674092375958</v>
      </c>
      <c r="C96" s="321" t="s">
        <v>6</v>
      </c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215.674092375958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396"/>
      <c r="G100" s="217" t="s">
        <v>293</v>
      </c>
      <c r="H100" s="217"/>
      <c r="I100" s="217"/>
      <c r="J100" s="217"/>
      <c r="K100" s="217"/>
      <c r="L100" s="396"/>
      <c r="M100" s="217" t="s">
        <v>350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294</v>
      </c>
      <c r="E104" s="322"/>
      <c r="F104" s="396"/>
      <c r="G104" s="320" t="s">
        <v>135</v>
      </c>
      <c r="H104" s="321" t="s">
        <v>32</v>
      </c>
      <c r="I104" s="321"/>
      <c r="J104" s="321" t="s">
        <v>294</v>
      </c>
      <c r="K104" s="322"/>
      <c r="L104" s="396"/>
      <c r="M104" s="320" t="s">
        <v>135</v>
      </c>
      <c r="N104" s="321" t="s">
        <v>32</v>
      </c>
      <c r="O104" s="321"/>
      <c r="P104" s="321" t="s">
        <v>294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273</v>
      </c>
    </row>
    <row r="105" customFormat="false" ht="18.75" hidden="false" customHeight="true" outlineLevel="0" collapsed="false">
      <c r="A105" s="382"/>
      <c r="B105" s="316" t="s">
        <v>360</v>
      </c>
      <c r="C105" s="316"/>
      <c r="D105" s="428" t="n">
        <v>1000</v>
      </c>
      <c r="E105" s="428"/>
      <c r="F105" s="396"/>
      <c r="G105" s="382" t="s">
        <v>295</v>
      </c>
      <c r="H105" s="316" t="s">
        <v>278</v>
      </c>
      <c r="I105" s="316"/>
      <c r="J105" s="428" t="n">
        <v>5000</v>
      </c>
      <c r="K105" s="428"/>
      <c r="L105" s="396"/>
      <c r="M105" s="382" t="s">
        <v>295</v>
      </c>
      <c r="N105" s="316" t="s">
        <v>277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274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275</v>
      </c>
    </row>
    <row r="107" customFormat="false" ht="18.75" hidden="false" customHeight="true" outlineLevel="0" collapsed="false">
      <c r="A107" s="320" t="s">
        <v>296</v>
      </c>
      <c r="B107" s="321" t="s">
        <v>297</v>
      </c>
      <c r="C107" s="321"/>
      <c r="D107" s="321" t="s">
        <v>298</v>
      </c>
      <c r="E107" s="322"/>
      <c r="F107" s="396"/>
      <c r="G107" s="320" t="s">
        <v>296</v>
      </c>
      <c r="H107" s="321" t="s">
        <v>297</v>
      </c>
      <c r="I107" s="321"/>
      <c r="J107" s="321" t="s">
        <v>298</v>
      </c>
      <c r="K107" s="322"/>
      <c r="L107" s="396"/>
      <c r="M107" s="320" t="s">
        <v>296</v>
      </c>
      <c r="N107" s="321" t="s">
        <v>297</v>
      </c>
      <c r="O107" s="321"/>
      <c r="P107" s="321" t="s">
        <v>298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277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278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279</v>
      </c>
    </row>
    <row r="111" customFormat="false" ht="18.75" hidden="false" customHeight="true" outlineLevel="0" collapsed="false">
      <c r="A111" s="397" t="s">
        <v>27</v>
      </c>
      <c r="B111" s="316" t="n">
        <v>30</v>
      </c>
      <c r="C111" s="316"/>
      <c r="D111" s="111" t="s">
        <v>361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280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351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396"/>
      <c r="G114" s="221" t="s">
        <v>299</v>
      </c>
      <c r="H114" s="221"/>
      <c r="I114" s="221"/>
      <c r="J114" s="221"/>
      <c r="K114" s="221"/>
      <c r="L114" s="396"/>
      <c r="M114" s="221" t="s">
        <v>299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300</v>
      </c>
      <c r="B116" s="397" t="s">
        <v>28</v>
      </c>
      <c r="C116" s="321"/>
      <c r="D116" s="321"/>
      <c r="E116" s="322"/>
      <c r="F116" s="396"/>
      <c r="G116" s="320" t="s">
        <v>300</v>
      </c>
      <c r="H116" s="397" t="s">
        <v>27</v>
      </c>
      <c r="I116" s="321"/>
      <c r="J116" s="321"/>
      <c r="K116" s="322"/>
      <c r="L116" s="396"/>
      <c r="M116" s="320" t="s">
        <v>300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199.99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301</v>
      </c>
      <c r="B125" s="376"/>
      <c r="C125" s="376"/>
      <c r="D125" s="376"/>
      <c r="E125" s="69" t="n">
        <f aca="false">((E124*1.2)+E123)-E120</f>
        <v>1239.988</v>
      </c>
      <c r="F125" s="396"/>
      <c r="G125" s="429" t="s">
        <v>301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301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396"/>
      <c r="G128" s="221" t="s">
        <v>302</v>
      </c>
      <c r="H128" s="221"/>
      <c r="I128" s="221"/>
      <c r="J128" s="221"/>
      <c r="K128" s="221"/>
      <c r="L128" s="396"/>
      <c r="M128" s="221" t="s">
        <v>302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192</v>
      </c>
      <c r="H130" s="176" t="n">
        <v>0</v>
      </c>
      <c r="I130" s="176"/>
      <c r="J130" s="321"/>
      <c r="K130" s="322"/>
      <c r="L130" s="396"/>
      <c r="M130" s="320" t="s">
        <v>192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3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3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150.674092375958</v>
      </c>
      <c r="B134" s="325" t="n">
        <f aca="false">IF(A111="YES",B95,0)</f>
        <v>65</v>
      </c>
      <c r="C134" s="330"/>
      <c r="D134" s="325" t="n">
        <f aca="false">B97</f>
        <v>215.674092375958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305</v>
      </c>
      <c r="H135" s="431" t="s">
        <v>306</v>
      </c>
      <c r="I135" s="431"/>
      <c r="J135" s="431" t="s">
        <v>307</v>
      </c>
      <c r="K135" s="322"/>
      <c r="L135" s="396"/>
      <c r="M135" s="430" t="s">
        <v>352</v>
      </c>
      <c r="N135" s="431" t="s">
        <v>262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 Terminal pause with 9 down </v>
      </c>
      <c r="B137" s="42" t="n">
        <f aca="false">B96*B63</f>
        <v>1356.06683138362</v>
      </c>
      <c r="C137" s="321"/>
      <c r="D137" s="42" t="n">
        <f aca="false">IF(A111="YES",B95*B63,0)</f>
        <v>585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310</v>
      </c>
      <c r="H138" s="321" t="s">
        <v>311</v>
      </c>
      <c r="I138" s="321"/>
      <c r="J138" s="321" t="s">
        <v>312</v>
      </c>
      <c r="K138" s="322"/>
      <c r="L138" s="396"/>
      <c r="M138" s="320" t="s">
        <v>353</v>
      </c>
      <c r="N138" s="321" t="s">
        <v>251</v>
      </c>
      <c r="O138" s="321"/>
      <c r="P138" s="321" t="s">
        <v>255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1941.06683138362</v>
      </c>
      <c r="B140" s="42" t="n">
        <f aca="false">E120</f>
        <v>0</v>
      </c>
      <c r="C140" s="321"/>
      <c r="D140" s="341" t="n">
        <f aca="false">B64</f>
        <v>3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315</v>
      </c>
      <c r="H141" s="321" t="s">
        <v>316</v>
      </c>
      <c r="I141" s="321"/>
      <c r="J141" s="321" t="s">
        <v>317</v>
      </c>
      <c r="K141" s="322"/>
      <c r="L141" s="396"/>
      <c r="M141" s="320" t="s">
        <v>264</v>
      </c>
      <c r="N141" s="321" t="s">
        <v>265</v>
      </c>
      <c r="O141" s="321"/>
      <c r="P141" s="321" t="s">
        <v>269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396"/>
      <c r="G142" s="115" t="n">
        <f aca="false">E15*0.000006</f>
        <v>0.414119928</v>
      </c>
      <c r="H142" s="42" t="n">
        <f aca="false">IF(G111="YES",E15*0.000002,0)</f>
        <v>0.138039976</v>
      </c>
      <c r="I142" s="42"/>
      <c r="J142" s="42" t="n">
        <f aca="false">G142+H142</f>
        <v>0.552159904</v>
      </c>
      <c r="K142" s="109"/>
      <c r="L142" s="396"/>
      <c r="M142" s="115" t="n">
        <f aca="false">E15*0.000006</f>
        <v>0.414119928</v>
      </c>
      <c r="N142" s="42" t="n">
        <f aca="false">IF(M111="YES",E15*0.000002,0)</f>
        <v>0.138039976</v>
      </c>
      <c r="O142" s="42"/>
      <c r="P142" s="42" t="n">
        <f aca="false">M142+N142</f>
        <v>0.552159904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150.674092375958</v>
      </c>
      <c r="B143" s="42" t="n">
        <f aca="false">IF(A111="YES",B95,0)</f>
        <v>65</v>
      </c>
      <c r="C143" s="321"/>
      <c r="D143" s="42" t="n">
        <f aca="false">B97</f>
        <v>215.674092375958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318</v>
      </c>
      <c r="H144" s="321" t="s">
        <v>319</v>
      </c>
      <c r="I144" s="321"/>
      <c r="J144" s="321" t="s">
        <v>320</v>
      </c>
      <c r="K144" s="322"/>
      <c r="L144" s="396"/>
      <c r="M144" s="320" t="s">
        <v>149</v>
      </c>
      <c r="N144" s="321" t="s">
        <v>319</v>
      </c>
      <c r="O144" s="321"/>
      <c r="P144" s="321" t="s">
        <v>320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284.87495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284.87495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322</v>
      </c>
      <c r="H147" s="321" t="s">
        <v>323</v>
      </c>
      <c r="I147" s="321"/>
      <c r="J147" s="321" t="s">
        <v>324</v>
      </c>
      <c r="K147" s="322"/>
      <c r="L147" s="396"/>
      <c r="M147" s="320" t="s">
        <v>322</v>
      </c>
      <c r="N147" s="321" t="s">
        <v>323</v>
      </c>
      <c r="O147" s="321"/>
      <c r="P147" s="321" t="s">
        <v>324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2944.86295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2904.86495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326</v>
      </c>
      <c r="H150" s="321" t="s">
        <v>327</v>
      </c>
      <c r="I150" s="321"/>
      <c r="J150" s="321"/>
      <c r="K150" s="322"/>
      <c r="L150" s="396"/>
      <c r="M150" s="320" t="s">
        <v>326</v>
      </c>
      <c r="N150" s="321" t="s">
        <v>327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354</v>
      </c>
      <c r="N153" s="43" t="s">
        <v>355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100</v>
      </c>
      <c r="B154" s="107" t="n">
        <f aca="false">B108</f>
        <v>400</v>
      </c>
      <c r="C154" s="42"/>
      <c r="D154" s="42" t="n">
        <f aca="false">IF(A111="YES",(A44/100*B111)*B131,0)*0.1</f>
        <v>18</v>
      </c>
      <c r="E154" s="109"/>
      <c r="F154" s="396"/>
      <c r="G154" s="355" t="s">
        <v>332</v>
      </c>
      <c r="H154" s="321"/>
      <c r="I154" s="321"/>
      <c r="J154" s="356"/>
      <c r="K154" s="357"/>
      <c r="L154" s="396"/>
      <c r="M154" s="432" t="n">
        <f aca="false">H40</f>
        <v>11394.998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617.99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332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215.674092375958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 t="n">
        <f aca="false">ISNUMBER(B183)</f>
        <v>1</v>
      </c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150.674092375958</v>
      </c>
      <c r="B177" s="362" t="n">
        <f aca="false">IF(A111="YES",B95,0)</f>
        <v>65</v>
      </c>
      <c r="C177" s="365"/>
      <c r="D177" s="362" t="n">
        <f aca="false">B91</f>
        <v>1792.90116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 Terminal pause with 9 down </v>
      </c>
      <c r="B180" s="107" t="n">
        <f aca="false">B96*B63</f>
        <v>1356.06683138362</v>
      </c>
      <c r="C180" s="360"/>
      <c r="D180" s="107" t="n">
        <f aca="false">IF(A111="YES",B95*B63,0)</f>
        <v>585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1941.06683138362</v>
      </c>
      <c r="B183" s="107" t="n">
        <f aca="false">E120</f>
        <v>0</v>
      </c>
      <c r="C183" s="360"/>
      <c r="D183" s="368" t="n">
        <f aca="false">B64</f>
        <v>3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150.674092375958</v>
      </c>
      <c r="B186" s="107" t="n">
        <f aca="false">IF(A111="YES",B95,0)</f>
        <v>65</v>
      </c>
      <c r="C186" s="360"/>
      <c r="D186" s="107" t="n">
        <f aca="false">B97</f>
        <v>215.674092375958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IF(A111="YES",(A44/100*B111)*B131,0)*0.1</f>
        <v>18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617.99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D70</f>
        <v>4785.89916</v>
      </c>
      <c r="E209" s="326"/>
      <c r="F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519.99</v>
      </c>
      <c r="E211" s="326"/>
      <c r="F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229</v>
      </c>
      <c r="B213" s="325" t="n">
        <f aca="false">E223</f>
        <v>5205.88916</v>
      </c>
      <c r="C213" s="329"/>
      <c r="D213" s="325"/>
      <c r="E213" s="326"/>
      <c r="F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100</v>
      </c>
      <c r="F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5205.88916</v>
      </c>
      <c r="F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337</v>
      </c>
      <c r="B225" s="345" t="n">
        <f aca="false">D197/0.1</f>
        <v>180</v>
      </c>
      <c r="C225" s="42"/>
      <c r="D225" s="345"/>
      <c r="E225" s="171"/>
      <c r="F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15.1879485114966</v>
      </c>
      <c r="F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355</v>
      </c>
      <c r="F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20"/>
      <c r="B243" s="321"/>
      <c r="C243" s="321"/>
      <c r="D243" s="321"/>
      <c r="E243" s="322"/>
      <c r="F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115"/>
      <c r="B244" s="42"/>
      <c r="C244" s="42"/>
      <c r="D244" s="42"/>
      <c r="E244" s="109"/>
      <c r="F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20"/>
      <c r="B245" s="321"/>
      <c r="C245" s="321"/>
      <c r="D245" s="321"/>
      <c r="E245" s="322"/>
      <c r="F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20"/>
      <c r="B246" s="321"/>
      <c r="C246" s="321"/>
      <c r="D246" s="321"/>
      <c r="E246" s="322"/>
      <c r="F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115"/>
      <c r="B247" s="42"/>
      <c r="C247" s="321"/>
      <c r="D247" s="321"/>
      <c r="E247" s="322"/>
      <c r="F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75"/>
      <c r="B248" s="376"/>
      <c r="C248" s="376"/>
      <c r="D248" s="376"/>
      <c r="E248" s="377"/>
      <c r="F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4" colorId="64" zoomScale="95" zoomScaleNormal="95" zoomScalePageLayoutView="100" workbookViewId="0">
      <selection pane="topLeft" activeCell="E189" activeCellId="0" sqref="E189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/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498" t="n">
        <v>0</v>
      </c>
      <c r="C4" s="498"/>
      <c r="D4" s="499" t="n">
        <v>0</v>
      </c>
      <c r="E4" s="499"/>
      <c r="F4" s="499" t="n">
        <v>0</v>
      </c>
      <c r="G4" s="499"/>
      <c r="H4" s="133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/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/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/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/>
      <c r="F9" s="156"/>
      <c r="G9" s="143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/>
      <c r="F10" s="158"/>
      <c r="G10" s="160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60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60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/>
      <c r="F13" s="158"/>
      <c r="G13" s="160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/>
      <c r="F14" s="158"/>
      <c r="G14" s="160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60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/>
      <c r="F16" s="158"/>
      <c r="G16" s="160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42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43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43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43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33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str">
        <f aca="false">A46</f>
        <v>50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</row>
    <row r="34" customFormat="false" ht="19.5" hidden="false" customHeight="false" outlineLevel="0" collapsed="false">
      <c r="A34" s="44" t="s">
        <v>258</v>
      </c>
      <c r="B34" s="36"/>
      <c r="C34" s="45" t="s">
        <v>52</v>
      </c>
      <c r="D34" s="45"/>
      <c r="E34" s="36"/>
      <c r="F34" s="45" t="n">
        <f aca="false">(A34/12)*C34</f>
        <v>13750</v>
      </c>
      <c r="G34" s="45"/>
      <c r="H34" s="51"/>
      <c r="I34" s="7"/>
      <c r="J34" s="7"/>
      <c r="K34" s="7"/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01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32</v>
      </c>
    </row>
    <row r="37" customFormat="false" ht="19.5" hidden="false" customHeight="false" outlineLevel="0" collapsed="false">
      <c r="A37" s="40" t="n">
        <f aca="false">H15</f>
        <v>69019.988</v>
      </c>
      <c r="B37" s="36"/>
      <c r="C37" s="45" t="s">
        <v>54</v>
      </c>
      <c r="D37" s="45"/>
      <c r="E37" s="36"/>
      <c r="F37" s="47" t="n">
        <f aca="false">A37-C37</f>
        <v>68019.988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32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H11</f>
        <v>11394.998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str">
        <f aca="false">IF(F43="Yes",A46,0)</f>
        <v>50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33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314.999939393939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235.000060606061</v>
      </c>
      <c r="L45" s="7"/>
    </row>
    <row r="46" customFormat="false" ht="19.5" hidden="false" customHeight="false" outlineLevel="0" collapsed="false">
      <c r="A46" s="44" t="s">
        <v>79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0.363636363636364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0.606060606060606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235.969757575758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185.969757575758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395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1650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33</v>
      </c>
      <c r="B60" s="78" t="n">
        <f aca="false">K49</f>
        <v>235.969757575758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32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32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32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32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68369.988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68369.988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68369.988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68369.988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0.024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71350.4744287586</v>
      </c>
      <c r="C74" s="36"/>
      <c r="D74" s="36"/>
      <c r="E74" s="27"/>
      <c r="F74" s="27"/>
      <c r="G74" s="27"/>
      <c r="H74" s="37"/>
      <c r="J74" s="60" t="s">
        <v>100</v>
      </c>
      <c r="K74" s="69" t="n">
        <f aca="false">(K98*K68)-(K47*K29)</f>
        <v>50372.0035826722</v>
      </c>
      <c r="L74" s="36"/>
      <c r="M74" s="36"/>
      <c r="N74" s="27"/>
      <c r="O74" s="27"/>
      <c r="P74" s="27"/>
      <c r="Q74" s="37"/>
      <c r="S74" s="60" t="s">
        <v>100</v>
      </c>
      <c r="T74" s="69" t="n">
        <f aca="false">(T98*T68)-(K47*K29)</f>
        <v>62879.0636505523</v>
      </c>
      <c r="U74" s="36"/>
      <c r="V74" s="36"/>
      <c r="W74" s="27"/>
      <c r="X74" s="27"/>
      <c r="Y74" s="27"/>
      <c r="Z74" s="37"/>
      <c r="AB74" s="60" t="s">
        <v>100</v>
      </c>
      <c r="AC74" s="69" t="n">
        <f aca="false">(AC98*AC68)-(K47*K29)</f>
        <v>62879.0636505523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0.071875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0.009375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0.009375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3510.9994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4914.0928875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640.9686375</v>
      </c>
      <c r="U77" s="36"/>
      <c r="V77" s="36"/>
      <c r="W77" s="27"/>
      <c r="X77" s="27"/>
      <c r="Y77" s="27"/>
      <c r="Z77" s="37"/>
      <c r="AB77" s="60" t="s">
        <v>103</v>
      </c>
      <c r="AC77" s="69" t="n">
        <f aca="false">AH167*AC76</f>
        <v>500.261615625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235.969757575758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0.363636363636364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235.969757575758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235.969757575758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68019.988</v>
      </c>
      <c r="C90" s="36"/>
      <c r="D90" s="36"/>
      <c r="E90" s="27"/>
      <c r="F90" s="29" t="s">
        <v>115</v>
      </c>
      <c r="G90" s="31" t="n">
        <f aca="false">F37</f>
        <v>68019.988</v>
      </c>
      <c r="H90" s="37"/>
      <c r="J90" s="29" t="s">
        <v>115</v>
      </c>
      <c r="K90" s="31" t="n">
        <f aca="false">P167</f>
        <v>37769.996</v>
      </c>
      <c r="L90" s="36"/>
      <c r="M90" s="36"/>
      <c r="N90" s="27"/>
      <c r="O90" s="27"/>
      <c r="P90" s="27"/>
      <c r="Q90" s="37"/>
      <c r="S90" s="29" t="s">
        <v>115</v>
      </c>
      <c r="T90" s="31" t="n">
        <f aca="false">Y167</f>
        <v>53361.239</v>
      </c>
      <c r="U90" s="36"/>
      <c r="V90" s="36"/>
      <c r="W90" s="27"/>
      <c r="X90" s="27"/>
      <c r="Y90" s="27"/>
      <c r="Z90" s="37"/>
      <c r="AB90" s="29" t="s">
        <v>115</v>
      </c>
      <c r="AC90" s="31" t="n">
        <f aca="false">AH167</f>
        <v>53361.239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0.089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0.00741666666666667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32</v>
      </c>
      <c r="C94" s="36"/>
      <c r="D94" s="36"/>
      <c r="E94" s="27"/>
      <c r="F94" s="35" t="s">
        <v>119</v>
      </c>
      <c r="G94" s="37" t="n">
        <f aca="false">IF(G91=0,(B68+B67),(B68))</f>
        <v>32</v>
      </c>
      <c r="H94" s="37"/>
      <c r="J94" s="35" t="s">
        <v>119</v>
      </c>
      <c r="K94" s="37" t="n">
        <f aca="false">IF(K91=0,(K68+K67),(K68))</f>
        <v>33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32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32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4701.64581571928</v>
      </c>
      <c r="C95" s="36"/>
      <c r="D95" s="36"/>
      <c r="E95" s="27"/>
      <c r="F95" s="35" t="s">
        <v>120</v>
      </c>
      <c r="G95" s="37" t="n">
        <f aca="false">(G91/((1+G93)^(G94+1)))</f>
        <v>5020.31079273804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8.55929138316766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8.55929138316766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28.392890887209</v>
      </c>
      <c r="C96" s="36"/>
      <c r="D96" s="36"/>
      <c r="E96" s="27"/>
      <c r="F96" s="35" t="s">
        <v>121</v>
      </c>
      <c r="G96" s="37" t="n">
        <f aca="false">((1-(1/((1+G93)^G94)))/G93)</f>
        <v>29.3075648349115</v>
      </c>
      <c r="H96" s="37"/>
      <c r="J96" s="35" t="s">
        <v>121</v>
      </c>
      <c r="K96" s="37" t="n">
        <f aca="false">((1-(1/((1+K93)^K94)))/K93)</f>
        <v>23.9885635530494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27.1467145183312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27.1467145183312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63318.3421842807</v>
      </c>
      <c r="C97" s="36"/>
      <c r="D97" s="36"/>
      <c r="E97" s="27"/>
      <c r="F97" s="35" t="s">
        <v>122</v>
      </c>
      <c r="G97" s="37" t="n">
        <f aca="false">G90-G95</f>
        <v>62999.677207262</v>
      </c>
      <c r="H97" s="37"/>
      <c r="J97" s="35" t="s">
        <v>122</v>
      </c>
      <c r="K97" s="37" t="n">
        <f aca="false">K90-K95</f>
        <v>37769.996</v>
      </c>
      <c r="L97" s="36"/>
      <c r="M97" s="36"/>
      <c r="N97" s="27"/>
      <c r="O97" s="27"/>
      <c r="P97" s="27"/>
      <c r="Q97" s="37"/>
      <c r="S97" s="35" t="s">
        <v>122</v>
      </c>
      <c r="T97" s="37" t="n">
        <f aca="false">T90-T95</f>
        <v>53352.6797086168</v>
      </c>
      <c r="U97" s="36"/>
      <c r="V97" s="36"/>
      <c r="W97" s="27"/>
      <c r="X97" s="27"/>
      <c r="Y97" s="27"/>
      <c r="Z97" s="37"/>
      <c r="AB97" s="35" t="s">
        <v>122</v>
      </c>
      <c r="AC97" s="37" t="n">
        <f aca="false">AC90-AC95</f>
        <v>53352.6797086168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2230.07732589871</v>
      </c>
      <c r="C98" s="36"/>
      <c r="D98" s="36"/>
      <c r="E98" s="27"/>
      <c r="F98" s="35" t="s">
        <v>123</v>
      </c>
      <c r="G98" s="37" t="n">
        <f aca="false">(G97/G96)</f>
        <v>2149.60463491719</v>
      </c>
      <c r="H98" s="37"/>
      <c r="J98" s="35" t="s">
        <v>123</v>
      </c>
      <c r="K98" s="37" t="n">
        <f aca="false">(K97/K96)</f>
        <v>1574.50011195851</v>
      </c>
      <c r="L98" s="36"/>
      <c r="M98" s="36"/>
      <c r="N98" s="27"/>
      <c r="O98" s="27"/>
      <c r="P98" s="27"/>
      <c r="Q98" s="37"/>
      <c r="S98" s="35" t="s">
        <v>123</v>
      </c>
      <c r="T98" s="37" t="n">
        <f aca="false">(T97/T96)</f>
        <v>1965.34573907976</v>
      </c>
      <c r="U98" s="36"/>
      <c r="V98" s="36"/>
      <c r="W98" s="27"/>
      <c r="X98" s="27"/>
      <c r="Y98" s="27"/>
      <c r="Z98" s="37"/>
      <c r="AB98" s="35" t="s">
        <v>123</v>
      </c>
      <c r="AC98" s="37" t="n">
        <f aca="false">(AC97/AC96)</f>
        <v>1965.34573907976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71362.4744287586</v>
      </c>
      <c r="C99" s="36"/>
      <c r="D99" s="36"/>
      <c r="E99" s="27"/>
      <c r="F99" s="35" t="s">
        <v>124</v>
      </c>
      <c r="G99" s="37" t="n">
        <f aca="false">((G98*(G94))+G86)</f>
        <v>68787.3483173502</v>
      </c>
      <c r="H99" s="37"/>
      <c r="J99" s="35" t="s">
        <v>124</v>
      </c>
      <c r="K99" s="37" t="n">
        <f aca="false">((K98*(K94))+K86)</f>
        <v>51958.5036946307</v>
      </c>
      <c r="L99" s="36"/>
      <c r="M99" s="36"/>
      <c r="N99" s="27"/>
      <c r="O99" s="27"/>
      <c r="P99" s="27"/>
      <c r="Q99" s="37"/>
      <c r="S99" s="35" t="s">
        <v>124</v>
      </c>
      <c r="T99" s="37" t="n">
        <f aca="false">(T98*(T94))+T86</f>
        <v>62891.0636505523</v>
      </c>
      <c r="U99" s="36"/>
      <c r="V99" s="36"/>
      <c r="W99" s="27"/>
      <c r="X99" s="27"/>
      <c r="Y99" s="27"/>
      <c r="Z99" s="37"/>
      <c r="AB99" s="35" t="s">
        <v>124</v>
      </c>
      <c r="AC99" s="37" t="n">
        <f aca="false">(AC98*(AC68))+AC86</f>
        <v>62891.0636505523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n">
        <f aca="false">(K99/(1-K80))*K80</f>
        <v>0</v>
      </c>
      <c r="L100" s="36"/>
      <c r="M100" s="36"/>
      <c r="N100" s="27"/>
      <c r="O100" s="27"/>
      <c r="P100" s="27"/>
      <c r="Q100" s="37"/>
      <c r="S100" s="35" t="s">
        <v>125</v>
      </c>
      <c r="T100" s="37" t="n">
        <f aca="false">(T99/(1-T80))*T80</f>
        <v>0</v>
      </c>
      <c r="U100" s="36"/>
      <c r="V100" s="36"/>
      <c r="W100" s="27"/>
      <c r="X100" s="27"/>
      <c r="Y100" s="27"/>
      <c r="Z100" s="37"/>
      <c r="AB100" s="35" t="s">
        <v>125</v>
      </c>
      <c r="AC100" s="37" t="n">
        <f aca="false">(AC99/(1-AC80))*AC80</f>
        <v>0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71362.4744287586</v>
      </c>
      <c r="C101" s="36"/>
      <c r="D101" s="36"/>
      <c r="E101" s="27"/>
      <c r="F101" s="60" t="s">
        <v>126</v>
      </c>
      <c r="G101" s="69" t="n">
        <f aca="false">(G99+G100)</f>
        <v>68787.3483173502</v>
      </c>
      <c r="H101" s="37"/>
      <c r="J101" s="60" t="s">
        <v>126</v>
      </c>
      <c r="K101" s="69" t="n">
        <f aca="false">(K99+K100)</f>
        <v>51958.5036946307</v>
      </c>
      <c r="L101" s="36"/>
      <c r="M101" s="36"/>
      <c r="N101" s="27"/>
      <c r="O101" s="27"/>
      <c r="P101" s="27"/>
      <c r="Q101" s="37"/>
      <c r="S101" s="60" t="s">
        <v>126</v>
      </c>
      <c r="T101" s="69" t="n">
        <f aca="false">(T99+T100)</f>
        <v>62891.0636505523</v>
      </c>
      <c r="U101" s="36"/>
      <c r="V101" s="36"/>
      <c r="W101" s="27"/>
      <c r="X101" s="27"/>
      <c r="Y101" s="27"/>
      <c r="Z101" s="37"/>
      <c r="AB101" s="60" t="s">
        <v>126</v>
      </c>
      <c r="AC101" s="69" t="n">
        <f aca="false">(AC99+AC100)</f>
        <v>62891.0636505523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</f>
        <v>61.875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2230.07732589871</v>
      </c>
      <c r="C104" s="36"/>
      <c r="D104" s="36"/>
      <c r="E104" s="27"/>
      <c r="F104" s="99" t="s">
        <v>128</v>
      </c>
      <c r="G104" s="100" t="n">
        <f aca="false">G101/(G94)</f>
        <v>2149.60463491719</v>
      </c>
      <c r="H104" s="37"/>
      <c r="J104" s="99" t="s">
        <v>128</v>
      </c>
      <c r="K104" s="100" t="n">
        <f aca="false">K101/(K94)</f>
        <v>1574.50011195851</v>
      </c>
      <c r="L104" s="36"/>
      <c r="M104" s="36"/>
      <c r="N104" s="27"/>
      <c r="O104" s="27"/>
      <c r="P104" s="27"/>
      <c r="Q104" s="37"/>
      <c r="S104" s="99" t="s">
        <v>128</v>
      </c>
      <c r="T104" s="100" t="n">
        <f aca="false">T101/(T94)</f>
        <v>1965.34573907976</v>
      </c>
      <c r="U104" s="36"/>
      <c r="V104" s="36"/>
      <c r="W104" s="27"/>
      <c r="X104" s="27"/>
      <c r="Y104" s="27"/>
      <c r="Z104" s="37"/>
      <c r="AB104" s="99" t="s">
        <v>128</v>
      </c>
      <c r="AC104" s="100" t="n">
        <f aca="false">AC101/(AC68)</f>
        <v>1965.34573907976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2291.95232589871</v>
      </c>
      <c r="C105" s="36"/>
      <c r="D105" s="36"/>
      <c r="E105" s="27" t="s">
        <v>27</v>
      </c>
      <c r="F105" s="101" t="s">
        <v>129</v>
      </c>
      <c r="G105" s="102" t="n">
        <f aca="false">G103+G104</f>
        <v>2149.60463491719</v>
      </c>
      <c r="H105" s="37"/>
      <c r="J105" s="101" t="s">
        <v>129</v>
      </c>
      <c r="K105" s="102" t="n">
        <f aca="false">(K103+K104)</f>
        <v>1574.50011195851</v>
      </c>
      <c r="L105" s="36"/>
      <c r="M105" s="36"/>
      <c r="N105" s="27"/>
      <c r="O105" s="27"/>
      <c r="P105" s="27"/>
      <c r="Q105" s="37"/>
      <c r="S105" s="101" t="s">
        <v>129</v>
      </c>
      <c r="T105" s="102" t="n">
        <f aca="false">T103+T104</f>
        <v>1965.34573907976</v>
      </c>
      <c r="U105" s="36"/>
      <c r="V105" s="36"/>
      <c r="W105" s="27"/>
      <c r="X105" s="27"/>
      <c r="Y105" s="27"/>
      <c r="Z105" s="37"/>
      <c r="AB105" s="101" t="s">
        <v>129</v>
      </c>
      <c r="AC105" s="102" t="n">
        <f aca="false">AC103+AC104</f>
        <v>1965.34573907976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s">
        <v>8</v>
      </c>
      <c r="C108" s="27"/>
      <c r="D108" s="27"/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/>
      <c r="C114" s="107"/>
      <c r="D114" s="107"/>
      <c r="E114" s="108" t="s">
        <v>27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0.089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245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27"/>
      <c r="C127" s="27"/>
      <c r="D127" s="27"/>
      <c r="E127" s="27"/>
      <c r="F127" s="27"/>
      <c r="G127" s="2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29" t="n">
        <f aca="false">B3</f>
        <v>55495.83</v>
      </c>
      <c r="C130" s="44" t="n">
        <f aca="false">B130</f>
        <v>55495.83</v>
      </c>
      <c r="D130" s="29" t="n">
        <f aca="false">D3</f>
        <v>0</v>
      </c>
      <c r="E130" s="44" t="n">
        <f aca="false">D130</f>
        <v>0</v>
      </c>
      <c r="F130" s="29" t="n">
        <f aca="false">F3</f>
        <v>833.33</v>
      </c>
      <c r="G130" s="44" t="n">
        <f aca="false">F130</f>
        <v>833.33</v>
      </c>
      <c r="H130" s="126" t="n">
        <f aca="false">H3</f>
        <v>0</v>
      </c>
      <c r="J130" s="29" t="s">
        <v>159</v>
      </c>
      <c r="K130" s="29" t="n">
        <f aca="false">B3</f>
        <v>55495.83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n">
        <f aca="false">F3</f>
        <v>833.33</v>
      </c>
      <c r="P130" s="44" t="n">
        <f aca="false">O130</f>
        <v>833.33</v>
      </c>
      <c r="Q130" s="126" t="n">
        <f aca="false">H3</f>
        <v>0</v>
      </c>
      <c r="S130" s="29" t="s">
        <v>159</v>
      </c>
      <c r="T130" s="29" t="n">
        <f aca="false">B3</f>
        <v>55495.83</v>
      </c>
      <c r="U130" s="44" t="n">
        <f aca="false">T130</f>
        <v>55495.83</v>
      </c>
      <c r="V130" s="29" t="n">
        <f aca="false">D3</f>
        <v>0</v>
      </c>
      <c r="W130" s="44" t="n">
        <f aca="false">V130</f>
        <v>0</v>
      </c>
      <c r="X130" s="29" t="n">
        <f aca="false">F3</f>
        <v>833.33</v>
      </c>
      <c r="Y130" s="44" t="n">
        <f aca="false">X130</f>
        <v>833.33</v>
      </c>
      <c r="Z130" s="126" t="n">
        <f aca="false">H3</f>
        <v>0</v>
      </c>
      <c r="AB130" s="29" t="s">
        <v>159</v>
      </c>
      <c r="AC130" s="29" t="n">
        <f aca="false">B3</f>
        <v>55495.83</v>
      </c>
      <c r="AD130" s="44" t="n">
        <f aca="false">AC130</f>
        <v>55495.83</v>
      </c>
      <c r="AE130" s="29" t="n">
        <f aca="false">D3</f>
        <v>0</v>
      </c>
      <c r="AF130" s="44" t="n">
        <f aca="false">AE130</f>
        <v>0</v>
      </c>
      <c r="AG130" s="29" t="n">
        <f aca="false">F3</f>
        <v>833.33</v>
      </c>
      <c r="AH130" s="44" t="n">
        <f aca="false">AG130</f>
        <v>833.33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31" t="n">
        <f aca="false">B4</f>
        <v>0</v>
      </c>
      <c r="C131" s="502" t="n">
        <f aca="false">B131</f>
        <v>0</v>
      </c>
      <c r="D131" s="131" t="n">
        <f aca="false">D4</f>
        <v>0</v>
      </c>
      <c r="E131" s="132" t="n">
        <f aca="false">D131</f>
        <v>0</v>
      </c>
      <c r="F131" s="131" t="n">
        <f aca="false">F4</f>
        <v>0</v>
      </c>
      <c r="G131" s="132" t="n">
        <f aca="false">F131</f>
        <v>0</v>
      </c>
      <c r="H131" s="133"/>
      <c r="J131" s="35" t="s">
        <v>160</v>
      </c>
      <c r="K131" s="131" t="n">
        <f aca="false">B4</f>
        <v>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n">
        <f aca="false">F4</f>
        <v>0</v>
      </c>
      <c r="P131" s="132" t="n">
        <f aca="false">O131</f>
        <v>0</v>
      </c>
      <c r="Q131" s="133"/>
      <c r="S131" s="35" t="s">
        <v>160</v>
      </c>
      <c r="T131" s="131" t="n">
        <f aca="false">B4</f>
        <v>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n">
        <f aca="false">F4</f>
        <v>0</v>
      </c>
      <c r="Y131" s="132" t="n">
        <f aca="false">X131</f>
        <v>0</v>
      </c>
      <c r="Z131" s="133"/>
      <c r="AB131" s="35" t="s">
        <v>160</v>
      </c>
      <c r="AC131" s="131" t="n">
        <f aca="false">B4</f>
        <v>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n">
        <f aca="false">F4</f>
        <v>0</v>
      </c>
      <c r="AH131" s="132" t="n">
        <f aca="false">AG131</f>
        <v>0</v>
      </c>
      <c r="AI131" s="133"/>
    </row>
    <row r="132" customFormat="false" ht="19.5" hidden="false" customHeight="false" outlineLevel="0" collapsed="false">
      <c r="A132" s="35" t="s">
        <v>161</v>
      </c>
      <c r="B132" s="35" t="n">
        <f aca="false">B5</f>
        <v>0</v>
      </c>
      <c r="C132" s="44" t="n">
        <f aca="false">B132</f>
        <v>0</v>
      </c>
      <c r="D132" s="35" t="n">
        <f aca="false">D5</f>
        <v>0</v>
      </c>
      <c r="E132" s="44" t="n">
        <f aca="false">D132</f>
        <v>0</v>
      </c>
      <c r="F132" s="35" t="n">
        <f aca="false">F5</f>
        <v>0</v>
      </c>
      <c r="G132" s="44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n">
        <f aca="false">F5</f>
        <v>0</v>
      </c>
      <c r="P132" s="44" t="n">
        <f aca="false">O132</f>
        <v>0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n">
        <f aca="false">F5</f>
        <v>0</v>
      </c>
      <c r="Y132" s="44" t="n">
        <f aca="false">X132</f>
        <v>0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n">
        <f aca="false">F5</f>
        <v>0</v>
      </c>
      <c r="AH132" s="44" t="n">
        <f aca="false">AG132</f>
        <v>0</v>
      </c>
      <c r="AI132" s="37"/>
    </row>
    <row r="133" customFormat="false" ht="18.75" hidden="false" customHeight="false" outlineLevel="0" collapsed="false">
      <c r="A133" s="35" t="s">
        <v>162</v>
      </c>
      <c r="B133" s="35" t="n">
        <f aca="false">(B130*B131)+B132</f>
        <v>0</v>
      </c>
      <c r="C133" s="31" t="n">
        <f aca="false">(C130*C131/100)+C132</f>
        <v>0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n">
        <f aca="false">(O130*O131)+O132</f>
        <v>0</v>
      </c>
      <c r="P133" s="31" t="n">
        <f aca="false">(P130*P131)+P132</f>
        <v>0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13873.9575</v>
      </c>
      <c r="V133" s="35" t="n">
        <f aca="false">(V130*V131)+V132</f>
        <v>0</v>
      </c>
      <c r="W133" s="31" t="n">
        <f aca="false">(W130*W131)+W132</f>
        <v>0</v>
      </c>
      <c r="X133" s="35" t="n">
        <f aca="false">(X130*X131)+X132</f>
        <v>0</v>
      </c>
      <c r="Y133" s="31" t="n">
        <f aca="false">(Y130*Y131)+Y132</f>
        <v>0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13873.9575</v>
      </c>
      <c r="AE133" s="35" t="n">
        <f aca="false">(AE130*AE131)+AE132</f>
        <v>0</v>
      </c>
      <c r="AF133" s="31" t="n">
        <f aca="false">(AF130*AF131)+AF132</f>
        <v>0</v>
      </c>
      <c r="AG133" s="35" t="n">
        <f aca="false">(AG130*AG131)+AG132</f>
        <v>0</v>
      </c>
      <c r="AH133" s="31" t="n">
        <f aca="false">(AH130*AH131)+AH132</f>
        <v>0</v>
      </c>
      <c r="AI133" s="37"/>
    </row>
    <row r="134" customFormat="false" ht="19.5" hidden="false" customHeight="false" outlineLevel="0" collapsed="false">
      <c r="A134" s="60" t="s">
        <v>163</v>
      </c>
      <c r="B134" s="60" t="n">
        <f aca="false">B130-B133</f>
        <v>55495.83</v>
      </c>
      <c r="C134" s="69" t="n">
        <f aca="false">C130-C133</f>
        <v>55495.83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833.33</v>
      </c>
      <c r="G134" s="69" t="n">
        <f aca="false">G130-G133</f>
        <v>833.33</v>
      </c>
      <c r="H134" s="69"/>
      <c r="J134" s="60" t="s">
        <v>163</v>
      </c>
      <c r="K134" s="60" t="n">
        <f aca="false">K130-K133</f>
        <v>55495.83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n">
        <f aca="false">O130-O133</f>
        <v>833.33</v>
      </c>
      <c r="P134" s="69" t="n">
        <f aca="false">P130-P133</f>
        <v>833.33</v>
      </c>
      <c r="Q134" s="69"/>
      <c r="S134" s="60" t="s">
        <v>163</v>
      </c>
      <c r="T134" s="60" t="n">
        <f aca="false">T130-T133</f>
        <v>55495.83</v>
      </c>
      <c r="U134" s="69" t="n">
        <f aca="false">U130-U133</f>
        <v>41621.8725</v>
      </c>
      <c r="V134" s="60" t="n">
        <f aca="false">V130-V133</f>
        <v>0</v>
      </c>
      <c r="W134" s="69" t="n">
        <f aca="false">W130-W133</f>
        <v>0</v>
      </c>
      <c r="X134" s="60" t="n">
        <f aca="false">X130-X133</f>
        <v>833.33</v>
      </c>
      <c r="Y134" s="69" t="n">
        <f aca="false">Y130-Y133</f>
        <v>833.33</v>
      </c>
      <c r="Z134" s="69"/>
      <c r="AB134" s="60" t="s">
        <v>163</v>
      </c>
      <c r="AC134" s="60" t="n">
        <f aca="false">AC130-AC133</f>
        <v>55495.83</v>
      </c>
      <c r="AD134" s="69" t="n">
        <f aca="false">AD130-AD133</f>
        <v>41621.8725</v>
      </c>
      <c r="AE134" s="60" t="n">
        <f aca="false">AE130-AE133</f>
        <v>0</v>
      </c>
      <c r="AF134" s="69" t="n">
        <f aca="false">AF130-AF133</f>
        <v>0</v>
      </c>
      <c r="AG134" s="60" t="n">
        <f aca="false">AG130-AG133</f>
        <v>833.33</v>
      </c>
      <c r="AH134" s="69" t="n">
        <f aca="false">AH130-AH133</f>
        <v>833.33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42"/>
      <c r="C136" s="142"/>
      <c r="D136" s="142"/>
      <c r="E136" s="142"/>
      <c r="F136" s="142"/>
      <c r="G136" s="143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50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50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3" t="n">
        <f aca="false">H9</f>
        <v>56329.16</v>
      </c>
      <c r="H144" s="157" t="n">
        <f aca="false">C134+E134+G134+H137</f>
        <v>56329.16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56329.16</v>
      </c>
      <c r="Q144" s="157" t="n">
        <f aca="false">L134+N134+P134+Q137</f>
        <v>29462.5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56329.16</v>
      </c>
      <c r="Z144" s="157" t="n">
        <f aca="false">U134+W134+Y134+Z137</f>
        <v>42455.2025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56329.16</v>
      </c>
      <c r="AI144" s="157" t="n">
        <f aca="false">AD134+AF134+AH134+AI137</f>
        <v>42455.2025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60" t="n">
        <f aca="false">H10</f>
        <v>645.83</v>
      </c>
      <c r="H145" s="37" t="n">
        <f aca="false">G145</f>
        <v>645.83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645.83</v>
      </c>
      <c r="Q145" s="37" t="n">
        <f aca="false">P145</f>
        <v>645.83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645.83</v>
      </c>
      <c r="Z145" s="37" t="n">
        <f aca="false">Y145</f>
        <v>645.83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645.83</v>
      </c>
      <c r="AI145" s="37" t="n">
        <f aca="false">AH145</f>
        <v>645.83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160" t="n">
        <f aca="false">H11</f>
        <v>11394.998</v>
      </c>
      <c r="H146" s="37" t="n">
        <f aca="false">(H144+H145)*20%</f>
        <v>11394.998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11394.998</v>
      </c>
      <c r="Q146" s="37" t="n">
        <f aca="false">(Q144+Q145)*20%</f>
        <v>6021.666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11394.998</v>
      </c>
      <c r="Z146" s="37" t="n">
        <f aca="false">(Z144+Z145)*20%</f>
        <v>8620.2065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11394.998</v>
      </c>
      <c r="AI146" s="37" t="n">
        <f aca="false">(AI144+AI145)*20%</f>
        <v>8620.2065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60" t="n">
        <f aca="false">H12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60" t="n">
        <f aca="false">H13</f>
        <v>585</v>
      </c>
      <c r="H148" s="37" t="n">
        <f aca="false">G148</f>
        <v>585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585</v>
      </c>
      <c r="Q148" s="37" t="n">
        <f aca="false">P148</f>
        <v>585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585</v>
      </c>
      <c r="Z148" s="37" t="n">
        <f aca="false">Y148</f>
        <v>585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585</v>
      </c>
      <c r="AI148" s="37" t="n">
        <f aca="false">AH148</f>
        <v>585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60" t="n">
        <f aca="false">H14</f>
        <v>65</v>
      </c>
      <c r="H149" s="37" t="n">
        <f aca="false">G149</f>
        <v>65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65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65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65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2" t="n">
        <f aca="false">H15</f>
        <v>69019.988</v>
      </c>
      <c r="H150" s="161" t="n">
        <f aca="false">(H144+H145+H148+H149+H146)-H147</f>
        <v>69019.988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69019.988</v>
      </c>
      <c r="Q150" s="161" t="n">
        <f aca="false">(Q144+Q145+Q148+Q149+Q146)-Q147</f>
        <v>36769.996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69019.988</v>
      </c>
      <c r="Z150" s="161" t="n">
        <f aca="false">(Z144+Z145+Z148+Z149+Z146)-Z147</f>
        <v>52361.239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69019.988</v>
      </c>
      <c r="AI150" s="161" t="n">
        <f aca="false">(AI144+AI145+AI148+AI149+AI146)-AI147</f>
        <v>52361.239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160" t="n">
        <f aca="false">H16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42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s">
        <v>180</v>
      </c>
      <c r="C153" s="165"/>
      <c r="D153" s="165"/>
      <c r="E153" s="165"/>
      <c r="F153" s="165"/>
      <c r="G153" s="160" t="n">
        <f aca="false">H18</f>
        <v>0</v>
      </c>
      <c r="H153" s="44" t="n">
        <f aca="false">G153</f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160" t="n">
        <f aca="false">H19</f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160" t="n">
        <f aca="false">H20</f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2" t="n">
        <f aca="false">G150-((G153*1.2)+(G154*1.2)+(G155*1.2)+(G151*1.2))</f>
        <v>69019.988</v>
      </c>
      <c r="H156" s="168" t="n">
        <f aca="false">H150-((H153*1.2)+(H154*1.2)+(H155*1.2)+(H151*1.2))</f>
        <v>69019.988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69019.988</v>
      </c>
      <c r="Q156" s="168" t="n">
        <f aca="false">Q150-((Q153*1.2)+(Q154*1.2)+(Q155*1.2)+(Q151*1.2))</f>
        <v>36769.996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69019.988</v>
      </c>
      <c r="Z156" s="168" t="n">
        <f aca="false">Z150-((Z153*1.2)+(Z154*1.2)+(Z155*1.2)+(Z151*1.2))</f>
        <v>52361.239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69019.988</v>
      </c>
      <c r="AI156" s="168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60"/>
      <c r="H157" s="44" t="n">
        <f aca="false">((H156-G156)-(H146-G146))+((I155-I154)*0.2)</f>
        <v>0</v>
      </c>
      <c r="I157" s="6" t="n">
        <f aca="false">(H157-G90)/1.2</f>
        <v>-56683.3233333333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n">
        <f aca="false">Q156-P156</f>
        <v>-32249.992</v>
      </c>
      <c r="S157" s="158" t="s">
        <v>182</v>
      </c>
      <c r="T157" s="158"/>
      <c r="U157" s="158"/>
      <c r="V157" s="158"/>
      <c r="W157" s="158"/>
      <c r="X157" s="158"/>
      <c r="Y157" s="160"/>
      <c r="Z157" s="44" t="n">
        <f aca="false">Z156-Y156</f>
        <v>-16658.749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n">
        <f aca="false">AI156-AH156</f>
        <v>-16658.749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7.35" hidden="false" customHeight="false" outlineLevel="0" collapsed="false">
      <c r="A165" s="29" t="s">
        <v>188</v>
      </c>
      <c r="B165" s="30"/>
      <c r="C165" s="30"/>
      <c r="D165" s="79"/>
      <c r="E165" s="30"/>
      <c r="F165" s="79"/>
      <c r="G165" s="172" t="s">
        <v>6</v>
      </c>
      <c r="H165" s="44" t="n">
        <v>1200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189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189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189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189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19.7" hidden="false" customHeight="false" outlineLevel="0" collapsed="false">
      <c r="A167" s="173" t="s">
        <v>190</v>
      </c>
      <c r="B167" s="36"/>
      <c r="C167" s="36"/>
      <c r="D167" s="27"/>
      <c r="E167" s="36"/>
      <c r="F167" s="27"/>
      <c r="G167" s="174" t="n">
        <f aca="false">H156-G163-G166+H165</f>
        <v>70219.988</v>
      </c>
      <c r="H167" s="174"/>
      <c r="J167" s="173" t="s">
        <v>190</v>
      </c>
      <c r="K167" s="36"/>
      <c r="L167" s="36"/>
      <c r="M167" s="27"/>
      <c r="N167" s="36"/>
      <c r="O167" s="27"/>
      <c r="P167" s="174" t="n">
        <f aca="false">Q156-P163-P166</f>
        <v>37769.996</v>
      </c>
      <c r="Q167" s="174"/>
      <c r="S167" s="173" t="s">
        <v>190</v>
      </c>
      <c r="T167" s="36"/>
      <c r="U167" s="36"/>
      <c r="V167" s="27"/>
      <c r="W167" s="36"/>
      <c r="X167" s="27"/>
      <c r="Y167" s="174" t="n">
        <f aca="false">Z156-Y163-Y166</f>
        <v>53361.239</v>
      </c>
      <c r="Z167" s="174"/>
      <c r="AB167" s="173" t="s">
        <v>190</v>
      </c>
      <c r="AC167" s="36"/>
      <c r="AD167" s="36"/>
      <c r="AE167" s="27"/>
      <c r="AF167" s="36"/>
      <c r="AG167" s="27"/>
      <c r="AH167" s="174" t="n">
        <f aca="false">AI156-AH163-AH166</f>
        <v>53361.239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199.99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191</v>
      </c>
      <c r="B171" s="32"/>
      <c r="C171" s="32"/>
      <c r="D171" s="32"/>
      <c r="E171" s="32"/>
      <c r="F171" s="32"/>
      <c r="G171" s="32"/>
      <c r="H171" s="32"/>
      <c r="J171" s="32" t="s">
        <v>191</v>
      </c>
      <c r="K171" s="32"/>
      <c r="L171" s="32"/>
      <c r="M171" s="32"/>
      <c r="N171" s="32"/>
      <c r="O171" s="32"/>
      <c r="P171" s="32"/>
      <c r="Q171" s="32"/>
      <c r="S171" s="32" t="s">
        <v>191</v>
      </c>
      <c r="T171" s="32"/>
      <c r="U171" s="32"/>
      <c r="V171" s="32"/>
      <c r="W171" s="32"/>
      <c r="X171" s="32"/>
      <c r="Y171" s="32"/>
      <c r="Z171" s="32"/>
      <c r="AB171" s="32" t="s">
        <v>191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192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192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192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192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193</v>
      </c>
      <c r="B175" s="178" t="s">
        <v>194</v>
      </c>
      <c r="C175" s="178"/>
      <c r="D175" s="178"/>
      <c r="E175" s="178" t="s">
        <v>195</v>
      </c>
      <c r="F175" s="27"/>
      <c r="G175" s="27" t="s">
        <v>196</v>
      </c>
      <c r="H175" s="37"/>
      <c r="J175" s="177" t="s">
        <v>193</v>
      </c>
      <c r="K175" s="179" t="s">
        <v>194</v>
      </c>
      <c r="L175" s="179"/>
      <c r="M175" s="179"/>
      <c r="N175" s="179" t="s">
        <v>195</v>
      </c>
      <c r="O175" s="27"/>
      <c r="P175" s="27"/>
      <c r="Q175" s="37"/>
      <c r="S175" s="177" t="s">
        <v>193</v>
      </c>
      <c r="T175" s="179" t="s">
        <v>194</v>
      </c>
      <c r="U175" s="179"/>
      <c r="V175" s="179"/>
      <c r="W175" s="179" t="s">
        <v>195</v>
      </c>
      <c r="X175" s="27"/>
      <c r="Y175" s="27"/>
      <c r="Z175" s="37"/>
      <c r="AB175" s="177" t="s">
        <v>193</v>
      </c>
      <c r="AC175" s="179" t="s">
        <v>194</v>
      </c>
      <c r="AD175" s="179"/>
      <c r="AE175" s="179"/>
      <c r="AF175" s="179" t="s">
        <v>195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2230.07732589871</v>
      </c>
      <c r="B176" s="181" t="n">
        <f aca="false">B103</f>
        <v>61.875</v>
      </c>
      <c r="C176" s="178"/>
      <c r="D176" s="178"/>
      <c r="E176" s="181" t="n">
        <f aca="false">B105</f>
        <v>2291.95232589871</v>
      </c>
      <c r="F176" s="27"/>
      <c r="G176" s="27" t="n">
        <f aca="false">ROUND(G104,2)</f>
        <v>2149.6</v>
      </c>
      <c r="H176" s="37"/>
      <c r="J176" s="180" t="n">
        <f aca="false">K104</f>
        <v>1574.50011195851</v>
      </c>
      <c r="K176" s="182" t="n">
        <f aca="false">K103</f>
        <v>0</v>
      </c>
      <c r="L176" s="179"/>
      <c r="M176" s="179"/>
      <c r="N176" s="182" t="n">
        <f aca="false">K105</f>
        <v>1574.50011195851</v>
      </c>
      <c r="O176" s="27"/>
      <c r="P176" s="27"/>
      <c r="Q176" s="37"/>
      <c r="S176" s="180" t="n">
        <f aca="false">T104</f>
        <v>1965.34573907976</v>
      </c>
      <c r="T176" s="182" t="n">
        <f aca="false">T103</f>
        <v>0</v>
      </c>
      <c r="U176" s="179"/>
      <c r="V176" s="179"/>
      <c r="W176" s="182" t="n">
        <f aca="false">T105</f>
        <v>1965.34573907976</v>
      </c>
      <c r="X176" s="27"/>
      <c r="Y176" s="27"/>
      <c r="Z176" s="37"/>
      <c r="AB176" s="180" t="n">
        <f aca="false">AC104</f>
        <v>1965.34573907976</v>
      </c>
      <c r="AC176" s="182" t="n">
        <f aca="false">AC103</f>
        <v>0</v>
      </c>
      <c r="AD176" s="179"/>
      <c r="AE176" s="179"/>
      <c r="AF176" s="182" t="n">
        <f aca="false">AC105</f>
        <v>1965.34573907976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197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197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197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197</v>
      </c>
      <c r="AG178" s="27"/>
      <c r="AH178" s="27"/>
      <c r="AI178" s="37"/>
    </row>
    <row r="179" customFormat="false" ht="18.75" hidden="false" customHeight="false" outlineLevel="0" collapsed="false">
      <c r="A179" s="183" t="str">
        <f aca="false">K29</f>
        <v>33</v>
      </c>
      <c r="B179" s="184" t="str">
        <f aca="false">K30</f>
        <v>5000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33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33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33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198</v>
      </c>
      <c r="B181" s="97" t="s">
        <v>199</v>
      </c>
      <c r="C181" s="97"/>
      <c r="D181" s="27"/>
      <c r="E181" s="97" t="s">
        <v>200</v>
      </c>
      <c r="F181" s="27"/>
      <c r="G181" s="27"/>
      <c r="H181" s="37"/>
      <c r="J181" s="35" t="s">
        <v>198</v>
      </c>
      <c r="K181" s="36" t="s">
        <v>199</v>
      </c>
      <c r="L181" s="36"/>
      <c r="M181" s="27"/>
      <c r="N181" s="36" t="s">
        <v>200</v>
      </c>
      <c r="O181" s="27"/>
      <c r="P181" s="27"/>
      <c r="Q181" s="37"/>
      <c r="S181" s="35" t="s">
        <v>198</v>
      </c>
      <c r="T181" s="36" t="s">
        <v>199</v>
      </c>
      <c r="U181" s="36"/>
      <c r="V181" s="27"/>
      <c r="W181" s="36" t="s">
        <v>200</v>
      </c>
      <c r="X181" s="27"/>
      <c r="Y181" s="27"/>
      <c r="Z181" s="37"/>
      <c r="AB181" s="35" t="s">
        <v>198</v>
      </c>
      <c r="AC181" s="36" t="s">
        <v>199</v>
      </c>
      <c r="AD181" s="36"/>
      <c r="AE181" s="27"/>
      <c r="AF181" s="36" t="s">
        <v>200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56974.99</v>
      </c>
      <c r="B182" s="107" t="n">
        <f aca="false">H146</f>
        <v>11394.998</v>
      </c>
      <c r="C182" s="190"/>
      <c r="D182" s="27"/>
      <c r="E182" s="186" t="n">
        <f aca="false">H148+H149</f>
        <v>650</v>
      </c>
      <c r="F182" s="27"/>
      <c r="G182" s="27"/>
      <c r="H182" s="37"/>
      <c r="J182" s="189" t="n">
        <f aca="false">Q150-Q146-Q148-Q149</f>
        <v>30108.33</v>
      </c>
      <c r="K182" s="42" t="n">
        <f aca="false">Q146</f>
        <v>6021.666</v>
      </c>
      <c r="L182" s="47"/>
      <c r="M182" s="27"/>
      <c r="N182" s="188" t="n">
        <f aca="false">Q148+Q149</f>
        <v>640</v>
      </c>
      <c r="O182" s="27"/>
      <c r="P182" s="27"/>
      <c r="Q182" s="37"/>
      <c r="S182" s="189" t="n">
        <f aca="false">Z150-Z146-Z148-Z149</f>
        <v>43101.0325</v>
      </c>
      <c r="T182" s="42" t="n">
        <f aca="false">Z146</f>
        <v>8620.2065</v>
      </c>
      <c r="U182" s="47"/>
      <c r="V182" s="27"/>
      <c r="W182" s="188" t="n">
        <f aca="false">Z148+Z149</f>
        <v>640</v>
      </c>
      <c r="X182" s="27"/>
      <c r="Y182" s="27"/>
      <c r="Z182" s="37"/>
      <c r="AB182" s="189" t="n">
        <f aca="false">AI150-AI146-AI148-AI149</f>
        <v>43101.0325</v>
      </c>
      <c r="AC182" s="42" t="n">
        <f aca="false">AI146</f>
        <v>8620.2065</v>
      </c>
      <c r="AD182" s="47"/>
      <c r="AE182" s="27"/>
      <c r="AF182" s="188" t="n">
        <f aca="false">AI148+AI149</f>
        <v>640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201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201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201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201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69019.988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n">
        <f aca="false">Q150</f>
        <v>36769.996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n">
        <f aca="false">Z150</f>
        <v>52361.239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n">
        <f aca="false">AI150</f>
        <v>52361.239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190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190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190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190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G167</f>
        <v>70219.988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n">
        <f aca="false">J185-J188-K188</f>
        <v>37769.996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n">
        <f aca="false">S185-S188-T188</f>
        <v>53361.239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n">
        <f aca="false">AB185-AB188-AC188</f>
        <v>53361.239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202</v>
      </c>
      <c r="B190" s="97" t="s">
        <v>62</v>
      </c>
      <c r="C190" s="97"/>
      <c r="D190" s="27"/>
      <c r="E190" s="97" t="s">
        <v>203</v>
      </c>
      <c r="F190" s="27"/>
      <c r="G190" s="27"/>
      <c r="H190" s="37"/>
      <c r="J190" s="35" t="s">
        <v>202</v>
      </c>
      <c r="K190" s="36" t="s">
        <v>62</v>
      </c>
      <c r="L190" s="36"/>
      <c r="M190" s="27"/>
      <c r="N190" s="36" t="s">
        <v>203</v>
      </c>
      <c r="O190" s="27"/>
      <c r="P190" s="27"/>
      <c r="Q190" s="37"/>
      <c r="S190" s="35" t="s">
        <v>202</v>
      </c>
      <c r="T190" s="36" t="s">
        <v>62</v>
      </c>
      <c r="U190" s="36"/>
      <c r="V190" s="27"/>
      <c r="W190" s="36" t="s">
        <v>203</v>
      </c>
      <c r="X190" s="27"/>
      <c r="Y190" s="27"/>
      <c r="Z190" s="37"/>
      <c r="AB190" s="35" t="s">
        <v>202</v>
      </c>
      <c r="AC190" s="36" t="s">
        <v>62</v>
      </c>
      <c r="AD190" s="36"/>
      <c r="AE190" s="27"/>
      <c r="AF190" s="36" t="s">
        <v>203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7142.48642875862</v>
      </c>
      <c r="B191" s="107" t="str">
        <f aca="false">B123</f>
        <v>199.99</v>
      </c>
      <c r="C191" s="107"/>
      <c r="D191" s="27"/>
      <c r="E191" s="107" t="n">
        <f aca="false">E188+A191+(B191*1.2)+A194</f>
        <v>77612.4624287586</v>
      </c>
      <c r="F191" s="27"/>
      <c r="G191" s="27"/>
      <c r="H191" s="109"/>
      <c r="J191" s="115" t="n">
        <f aca="false">(J176*K68)+N194-N188-J194</f>
        <v>12626.0075826722</v>
      </c>
      <c r="K191" s="42" t="n">
        <f aca="false">K123</f>
        <v>239.99</v>
      </c>
      <c r="L191" s="42"/>
      <c r="M191" s="27"/>
      <c r="N191" s="42" t="n">
        <f aca="false">N188+J191+K191+J194</f>
        <v>50655.9935826722</v>
      </c>
      <c r="O191" s="27"/>
      <c r="P191" s="27"/>
      <c r="Q191" s="109"/>
      <c r="S191" s="115" t="n">
        <f aca="false">(S176*T68)+W194-W188-S194</f>
        <v>9541.82465055225</v>
      </c>
      <c r="T191" s="42" t="n">
        <f aca="false">T123</f>
        <v>199.99</v>
      </c>
      <c r="U191" s="42"/>
      <c r="V191" s="27"/>
      <c r="W191" s="42" t="n">
        <f aca="false">W188+S191+T191+S194</f>
        <v>63113.0536505523</v>
      </c>
      <c r="X191" s="27"/>
      <c r="Y191" s="27"/>
      <c r="Z191" s="109"/>
      <c r="AB191" s="115" t="n">
        <f aca="false">(AB176*AC68)+AF194-AF188-AB194</f>
        <v>9541.82465055225</v>
      </c>
      <c r="AC191" s="42" t="n">
        <f aca="false">AC123</f>
        <v>239.99</v>
      </c>
      <c r="AD191" s="42"/>
      <c r="AE191" s="27"/>
      <c r="AF191" s="42" t="n">
        <f aca="false">AF188+AB191+AC191+AB194</f>
        <v>63153.0536505523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204</v>
      </c>
      <c r="B193" s="97" t="s">
        <v>205</v>
      </c>
      <c r="C193" s="97"/>
      <c r="D193" s="27"/>
      <c r="E193" s="97" t="s">
        <v>206</v>
      </c>
      <c r="F193" s="27"/>
      <c r="G193" s="27"/>
      <c r="H193" s="37"/>
      <c r="J193" s="35" t="s">
        <v>204</v>
      </c>
      <c r="K193" s="36" t="s">
        <v>205</v>
      </c>
      <c r="L193" s="36"/>
      <c r="M193" s="27"/>
      <c r="N193" s="36" t="s">
        <v>206</v>
      </c>
      <c r="O193" s="27"/>
      <c r="P193" s="27"/>
      <c r="Q193" s="37"/>
      <c r="S193" s="35" t="s">
        <v>204</v>
      </c>
      <c r="T193" s="36" t="s">
        <v>205</v>
      </c>
      <c r="U193" s="36"/>
      <c r="V193" s="27"/>
      <c r="W193" s="36" t="s">
        <v>206</v>
      </c>
      <c r="X193" s="27"/>
      <c r="Y193" s="27"/>
      <c r="Z193" s="37"/>
      <c r="AB193" s="35" t="s">
        <v>204</v>
      </c>
      <c r="AC193" s="36" t="s">
        <v>205</v>
      </c>
      <c r="AD193" s="36"/>
      <c r="AE193" s="27"/>
      <c r="AF193" s="36" t="s">
        <v>206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A188+B191*1.2</f>
        <v>239.988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207</v>
      </c>
      <c r="B196" s="97" t="s">
        <v>208</v>
      </c>
      <c r="C196" s="97"/>
      <c r="D196" s="97"/>
      <c r="E196" s="170" t="s">
        <v>209</v>
      </c>
      <c r="F196" s="27"/>
      <c r="G196" s="27"/>
      <c r="H196" s="37"/>
      <c r="J196" s="35" t="s">
        <v>207</v>
      </c>
      <c r="K196" s="36" t="s">
        <v>208</v>
      </c>
      <c r="L196" s="36"/>
      <c r="M196" s="36"/>
      <c r="N196" s="43" t="s">
        <v>209</v>
      </c>
      <c r="O196" s="27"/>
      <c r="P196" s="27"/>
      <c r="Q196" s="37"/>
      <c r="S196" s="35" t="s">
        <v>207</v>
      </c>
      <c r="T196" s="36" t="s">
        <v>208</v>
      </c>
      <c r="U196" s="36"/>
      <c r="V196" s="36"/>
      <c r="W196" s="43" t="s">
        <v>209</v>
      </c>
      <c r="X196" s="36"/>
      <c r="Y196" s="36"/>
      <c r="Z196" s="37"/>
      <c r="AB196" s="35" t="s">
        <v>207</v>
      </c>
      <c r="AC196" s="36" t="s">
        <v>208</v>
      </c>
      <c r="AD196" s="36"/>
      <c r="AE196" s="36"/>
      <c r="AF196" s="43" t="s">
        <v>209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</f>
        <v>13.6739976</v>
      </c>
      <c r="B197" s="107" t="n">
        <f aca="false">(G167*B76)/1.2</f>
        <v>2925.83283333333</v>
      </c>
      <c r="C197" s="97"/>
      <c r="D197" s="97"/>
      <c r="E197" s="107" t="n">
        <f aca="false">IF(E114="YES",(K55*A117*0.1),0)</f>
        <v>33</v>
      </c>
      <c r="F197" s="27"/>
      <c r="G197" s="27"/>
      <c r="H197" s="37"/>
      <c r="J197" s="115" t="n">
        <f aca="false">IF(N114="YES",H15*0.000002,0)</f>
        <v>0.138039976</v>
      </c>
      <c r="K197" s="42" t="n">
        <f aca="false">(P167*K76)/1.2</f>
        <v>2262.26538541667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n">
        <f aca="false">(Y167*T76)/1.2</f>
        <v>416.8846796875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n">
        <f aca="false">(AH167*AC76)/1.2</f>
        <v>416.8846796875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210</v>
      </c>
      <c r="B199" s="170" t="s">
        <v>211</v>
      </c>
      <c r="C199" s="97"/>
      <c r="D199" s="97"/>
      <c r="E199" s="170" t="s">
        <v>212</v>
      </c>
      <c r="F199" s="27"/>
      <c r="G199" s="27"/>
      <c r="H199" s="37"/>
      <c r="J199" s="64" t="s">
        <v>210</v>
      </c>
      <c r="K199" s="43" t="s">
        <v>211</v>
      </c>
      <c r="L199" s="36"/>
      <c r="M199" s="36"/>
      <c r="N199" s="43" t="s">
        <v>212</v>
      </c>
      <c r="O199" s="27"/>
      <c r="P199" s="27"/>
      <c r="Q199" s="37"/>
      <c r="S199" s="64" t="s">
        <v>210</v>
      </c>
      <c r="T199" s="43" t="s">
        <v>211</v>
      </c>
      <c r="U199" s="36"/>
      <c r="V199" s="36"/>
      <c r="W199" s="43" t="s">
        <v>212</v>
      </c>
      <c r="X199" s="36"/>
      <c r="Y199" s="36"/>
      <c r="Z199" s="37"/>
      <c r="AB199" s="64" t="s">
        <v>210</v>
      </c>
      <c r="AC199" s="43" t="s">
        <v>211</v>
      </c>
      <c r="AD199" s="36"/>
      <c r="AE199" s="36"/>
      <c r="AF199" s="43" t="s">
        <v>212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B191-100</f>
        <v>99.99</v>
      </c>
      <c r="B200" s="107" t="n">
        <f aca="false">B197+E197+A200</f>
        <v>3058.82283333333</v>
      </c>
      <c r="C200" s="97"/>
      <c r="D200" s="97"/>
      <c r="E200" s="107" t="n">
        <f aca="false">H157</f>
        <v>0</v>
      </c>
      <c r="F200" s="27"/>
      <c r="G200" s="27"/>
      <c r="H200" s="37"/>
      <c r="J200" s="115" t="n">
        <f aca="false">K194-100</f>
        <v>1139.99</v>
      </c>
      <c r="K200" s="42" t="n">
        <f aca="false">K197+N197+J200</f>
        <v>3402.25538541667</v>
      </c>
      <c r="L200" s="36"/>
      <c r="M200" s="36"/>
      <c r="N200" s="42" t="n">
        <f aca="false">Q157</f>
        <v>-32249.992</v>
      </c>
      <c r="O200" s="27"/>
      <c r="P200" s="27"/>
      <c r="Q200" s="37"/>
      <c r="S200" s="115" t="n">
        <f aca="false">T194-100</f>
        <v>1099.99</v>
      </c>
      <c r="T200" s="42" t="n">
        <f aca="false">T197+W197+S200</f>
        <v>1516.8746796875</v>
      </c>
      <c r="U200" s="36"/>
      <c r="V200" s="36"/>
      <c r="W200" s="42" t="n">
        <f aca="false">Z157</f>
        <v>-16658.749</v>
      </c>
      <c r="X200" s="36"/>
      <c r="Y200" s="36"/>
      <c r="Z200" s="37"/>
      <c r="AB200" s="115" t="n">
        <f aca="false">AC194-100</f>
        <v>1139.99</v>
      </c>
      <c r="AC200" s="42" t="n">
        <f aca="false">AC197+AF197+AB200</f>
        <v>1556.8746796875</v>
      </c>
      <c r="AD200" s="36"/>
      <c r="AE200" s="36"/>
      <c r="AF200" s="42" t="n">
        <f aca="false">AI157</f>
        <v>-16658.749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213</v>
      </c>
      <c r="B202" s="97"/>
      <c r="C202" s="97"/>
      <c r="D202" s="71"/>
      <c r="E202" s="71"/>
      <c r="F202" s="71"/>
      <c r="G202" s="71"/>
      <c r="H202" s="72"/>
      <c r="J202" s="70" t="s">
        <v>213</v>
      </c>
      <c r="K202" s="36"/>
      <c r="L202" s="36"/>
      <c r="M202" s="71"/>
      <c r="N202" s="71"/>
      <c r="O202" s="71"/>
      <c r="P202" s="71"/>
      <c r="Q202" s="72"/>
      <c r="S202" s="70" t="s">
        <v>213</v>
      </c>
      <c r="T202" s="36"/>
      <c r="U202" s="36"/>
      <c r="V202" s="71"/>
      <c r="W202" s="71"/>
      <c r="X202" s="71"/>
      <c r="Y202" s="71"/>
      <c r="Z202" s="72"/>
      <c r="AB202" s="70" t="s">
        <v>213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33</v>
      </c>
      <c r="B206" s="78" t="n">
        <f aca="false">B105</f>
        <v>2291.95232589871</v>
      </c>
      <c r="C206" s="78"/>
      <c r="D206" s="78"/>
      <c r="E206" s="27"/>
      <c r="F206" s="27"/>
      <c r="G206" s="27"/>
      <c r="H206" s="37"/>
      <c r="J206" s="77" t="str">
        <f aca="false">K29</f>
        <v>33</v>
      </c>
      <c r="K206" s="78" t="n">
        <f aca="false">K105</f>
        <v>1574.50011195851</v>
      </c>
      <c r="L206" s="78"/>
      <c r="M206" s="78"/>
      <c r="N206" s="27"/>
      <c r="O206" s="27"/>
      <c r="P206" s="27"/>
      <c r="Q206" s="37"/>
      <c r="S206" s="77" t="str">
        <f aca="false">K29</f>
        <v>33</v>
      </c>
      <c r="T206" s="78" t="n">
        <f aca="false">T105</f>
        <v>1965.34573907976</v>
      </c>
      <c r="U206" s="78"/>
      <c r="V206" s="78"/>
      <c r="W206" s="27"/>
      <c r="X206" s="27"/>
      <c r="Y206" s="27"/>
      <c r="Z206" s="37"/>
      <c r="AB206" s="77" t="str">
        <f aca="false">K29</f>
        <v>33</v>
      </c>
      <c r="AC206" s="78" t="n">
        <f aca="false">AC105</f>
        <v>1965.34573907976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214</v>
      </c>
      <c r="B209" s="97" t="s">
        <v>215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4567.21199999999</v>
      </c>
      <c r="B210" s="190" t="n">
        <f aca="false">ROUND((E188+A210+(B191*1.2)+A194),2)</f>
        <v>75037.19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191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216</v>
      </c>
      <c r="B218" s="178" t="str">
        <f aca="false">A206</f>
        <v>33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193</v>
      </c>
      <c r="B220" s="196" t="s">
        <v>194</v>
      </c>
      <c r="C220" s="196"/>
      <c r="D220" s="196"/>
      <c r="E220" s="196" t="s">
        <v>195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2230.07732589871</v>
      </c>
      <c r="B221" s="181" t="n">
        <f aca="false">B176</f>
        <v>61.875</v>
      </c>
      <c r="C221" s="178"/>
      <c r="D221" s="178"/>
      <c r="E221" s="181" t="n">
        <f aca="false">E176</f>
        <v>2291.95232589871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198</v>
      </c>
      <c r="B223" s="97" t="s">
        <v>199</v>
      </c>
      <c r="C223" s="97"/>
      <c r="D223" s="117"/>
      <c r="E223" s="97" t="s">
        <v>200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56974.99</v>
      </c>
      <c r="B224" s="107" t="n">
        <f aca="false">B182</f>
        <v>11394.998</v>
      </c>
      <c r="C224" s="190"/>
      <c r="D224" s="117"/>
      <c r="E224" s="186" t="n">
        <f aca="false">E182</f>
        <v>650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201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69019.988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190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70219.988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202</v>
      </c>
      <c r="B232" s="97" t="s">
        <v>62</v>
      </c>
      <c r="C232" s="97"/>
      <c r="D232" s="117"/>
      <c r="E232" s="97" t="s">
        <v>203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7142.48642875862</v>
      </c>
      <c r="B233" s="107" t="str">
        <f aca="false">B191</f>
        <v>199.99</v>
      </c>
      <c r="C233" s="107"/>
      <c r="D233" s="117"/>
      <c r="E233" s="107" t="n">
        <f aca="false">E191</f>
        <v>77612.4624287586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204</v>
      </c>
      <c r="B235" s="97" t="s">
        <v>205</v>
      </c>
      <c r="C235" s="97"/>
      <c r="D235" s="117"/>
      <c r="E235" s="97" t="s">
        <v>217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239.988</v>
      </c>
      <c r="C236" s="107"/>
      <c r="D236" s="117"/>
      <c r="E236" s="107" t="n">
        <f aca="false">B68</f>
        <v>32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193</v>
      </c>
      <c r="B238" s="97" t="s">
        <v>194</v>
      </c>
      <c r="C238" s="97"/>
      <c r="D238" s="97"/>
      <c r="E238" s="97" t="s">
        <v>195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2230.07732589871</v>
      </c>
      <c r="B239" s="107" t="n">
        <f aca="false">B176</f>
        <v>61.875</v>
      </c>
      <c r="C239" s="190"/>
      <c r="D239" s="190"/>
      <c r="E239" s="107" t="n">
        <f aca="false">E176</f>
        <v>2291.95232589871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218</v>
      </c>
      <c r="B241" s="97" t="s">
        <v>219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</f>
        <v>41.0219928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220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13.6739976</v>
      </c>
      <c r="B245" s="107" t="n">
        <f aca="false">E242+A245</f>
        <v>54.6959904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221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222</v>
      </c>
      <c r="B248" s="97" t="s">
        <v>208</v>
      </c>
      <c r="C248" s="97"/>
      <c r="D248" s="97"/>
      <c r="E248" s="170" t="s">
        <v>209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0</v>
      </c>
      <c r="B249" s="107" t="n">
        <f aca="false">B197</f>
        <v>2925.83283333333</v>
      </c>
      <c r="C249" s="97"/>
      <c r="D249" s="97"/>
      <c r="E249" s="107" t="n">
        <f aca="false">E197</f>
        <v>33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210</v>
      </c>
      <c r="B251" s="170" t="s">
        <v>211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</v>
      </c>
      <c r="B252" s="107" t="n">
        <f aca="false">B249+E249+A252+A249</f>
        <v>3058.82283333333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223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224</v>
      </c>
      <c r="B262" s="200" t="n">
        <f aca="false">B72</f>
        <v>0.065</v>
      </c>
      <c r="C262" s="201"/>
      <c r="D262" s="202" t="s">
        <v>225</v>
      </c>
      <c r="E262" s="202"/>
      <c r="F262" s="200" t="n">
        <f aca="false">B92</f>
        <v>0.089</v>
      </c>
      <c r="G262" s="27"/>
      <c r="H262" s="37"/>
    </row>
    <row r="263" customFormat="false" ht="18.75" hidden="false" customHeight="false" outlineLevel="0" collapsed="false">
      <c r="A263" s="195" t="s">
        <v>226</v>
      </c>
      <c r="B263" s="204" t="n">
        <f aca="false">(E191-B191)-(B210-B191-A194)</f>
        <v>2585.27242875863</v>
      </c>
      <c r="C263" s="201"/>
      <c r="D263" s="202" t="s">
        <v>227</v>
      </c>
      <c r="E263" s="202"/>
      <c r="F263" s="204" t="n">
        <f aca="false">F270+F276+F278+B279+B280</f>
        <v>3510.9994</v>
      </c>
      <c r="G263" s="27"/>
      <c r="H263" s="37"/>
    </row>
    <row r="264" customFormat="false" ht="18.75" hidden="false" customHeight="false" outlineLevel="0" collapsed="false">
      <c r="A264" s="195" t="s">
        <v>228</v>
      </c>
      <c r="B264" s="204" t="n">
        <f aca="false">F271+B272</f>
        <v>429.99</v>
      </c>
      <c r="C264" s="201"/>
      <c r="D264" s="202" t="s">
        <v>229</v>
      </c>
      <c r="E264" s="202"/>
      <c r="F264" s="204" t="n">
        <f aca="false">(B263-F263)+B264</f>
        <v>-495.736971241369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224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230</v>
      </c>
      <c r="B268" s="209" t="n">
        <f aca="false">B73</f>
        <v>0.024</v>
      </c>
      <c r="C268" s="36"/>
      <c r="D268" s="170" t="s">
        <v>231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225</v>
      </c>
      <c r="B269" s="213" t="n">
        <f aca="false">B92</f>
        <v>0.089</v>
      </c>
      <c r="C269" s="47"/>
      <c r="D269" s="170" t="s">
        <v>226</v>
      </c>
      <c r="E269" s="170"/>
      <c r="F269" s="150" t="n">
        <f aca="false">B263</f>
        <v>2585.27242875863</v>
      </c>
      <c r="G269" s="27"/>
      <c r="H269" s="37"/>
    </row>
    <row r="270" customFormat="false" ht="19.5" hidden="false" customHeight="false" outlineLevel="0" collapsed="false">
      <c r="A270" s="35" t="s">
        <v>232</v>
      </c>
      <c r="B270" s="213" t="n">
        <f aca="false">B76</f>
        <v>0.05</v>
      </c>
      <c r="C270" s="36"/>
      <c r="D270" s="170" t="s">
        <v>232</v>
      </c>
      <c r="E270" s="170"/>
      <c r="F270" s="155" t="n">
        <f aca="false">B77</f>
        <v>3510.9994</v>
      </c>
      <c r="G270" s="27"/>
      <c r="H270" s="37"/>
    </row>
    <row r="271" customFormat="false" ht="19.5" hidden="false" customHeight="false" outlineLevel="0" collapsed="false">
      <c r="A271" s="35" t="s">
        <v>233</v>
      </c>
      <c r="B271" s="209" t="n">
        <f aca="false">A117</f>
        <v>0.2</v>
      </c>
      <c r="C271" s="36"/>
      <c r="D271" s="170" t="s">
        <v>233</v>
      </c>
      <c r="E271" s="170"/>
      <c r="F271" s="150" t="n">
        <f aca="false">E249*10</f>
        <v>330</v>
      </c>
      <c r="G271" s="27"/>
      <c r="H271" s="37"/>
    </row>
    <row r="272" customFormat="false" ht="18.75" hidden="false" customHeight="false" outlineLevel="0" collapsed="false">
      <c r="A272" s="35" t="s">
        <v>234</v>
      </c>
      <c r="B272" s="150" t="n">
        <f aca="false">A252</f>
        <v>99.99</v>
      </c>
      <c r="C272" s="36"/>
      <c r="D272" s="43" t="s">
        <v>229</v>
      </c>
      <c r="E272" s="43"/>
      <c r="F272" s="150" t="n">
        <f aca="false">(B263-F263)+B264</f>
        <v>-495.736971241369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235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236</v>
      </c>
      <c r="B275" s="155" t="n">
        <v>0</v>
      </c>
      <c r="C275" s="36"/>
      <c r="D275" s="214" t="s">
        <v>237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238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239</v>
      </c>
      <c r="B277" s="215" t="s">
        <v>6</v>
      </c>
      <c r="C277" s="36"/>
      <c r="D277" s="170" t="s">
        <v>240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241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242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243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0" colorId="64" zoomScale="95" zoomScaleNormal="95" zoomScalePageLayoutView="100" workbookViewId="0">
      <selection pane="topLeft" activeCell="E189" activeCellId="0" sqref="E189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/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498" t="n">
        <v>0</v>
      </c>
      <c r="C4" s="498"/>
      <c r="D4" s="499" t="n">
        <v>0</v>
      </c>
      <c r="E4" s="499"/>
      <c r="F4" s="499" t="n">
        <v>0</v>
      </c>
      <c r="G4" s="499"/>
      <c r="H4" s="133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/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/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/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 t="n">
        <v>23125</v>
      </c>
      <c r="C9" s="156"/>
      <c r="D9" s="156"/>
      <c r="E9" s="156"/>
      <c r="F9" s="156"/>
      <c r="G9" s="143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/>
      <c r="F10" s="158"/>
      <c r="G10" s="160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 t="n">
        <v>0</v>
      </c>
      <c r="C11" s="158"/>
      <c r="D11" s="158"/>
      <c r="E11" s="158"/>
      <c r="F11" s="158"/>
      <c r="G11" s="160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60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 t="n">
        <v>0</v>
      </c>
      <c r="C13" s="158"/>
      <c r="D13" s="158"/>
      <c r="E13" s="158"/>
      <c r="F13" s="158"/>
      <c r="G13" s="160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/>
      <c r="F14" s="158"/>
      <c r="G14" s="160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60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/>
      <c r="F16" s="158"/>
      <c r="G16" s="160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42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43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43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43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33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n">
        <f aca="false">A46</f>
        <v>0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</row>
    <row r="34" customFormat="false" ht="19.5" hidden="false" customHeight="false" outlineLevel="0" collapsed="false">
      <c r="A34" s="44" t="s">
        <v>258</v>
      </c>
      <c r="B34" s="36"/>
      <c r="C34" s="45" t="s">
        <v>52</v>
      </c>
      <c r="D34" s="45"/>
      <c r="E34" s="36"/>
      <c r="F34" s="45" t="n">
        <f aca="false">(A34/12)*C34</f>
        <v>13750</v>
      </c>
      <c r="G34" s="45"/>
      <c r="H34" s="51"/>
      <c r="I34" s="7"/>
      <c r="J34" s="7"/>
      <c r="K34" s="7"/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01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32</v>
      </c>
    </row>
    <row r="37" customFormat="false" ht="19.5" hidden="false" customHeight="false" outlineLevel="0" collapsed="false">
      <c r="A37" s="40" t="n">
        <f aca="false">H15</f>
        <v>69019.988</v>
      </c>
      <c r="B37" s="36"/>
      <c r="C37" s="45" t="s">
        <v>54</v>
      </c>
      <c r="D37" s="45"/>
      <c r="E37" s="36"/>
      <c r="F37" s="47" t="n">
        <f aca="false">A37-C37</f>
        <v>68019.988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32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H11</f>
        <v>11394.998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n">
        <f aca="false">IF(F43="Yes",A46,0)</f>
        <v>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33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314.999939393939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185.000060606061</v>
      </c>
      <c r="L45" s="7"/>
    </row>
    <row r="46" customFormat="false" ht="19.5" hidden="false" customHeight="false" outlineLevel="0" collapsed="false">
      <c r="A46" s="44" t="n">
        <v>0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0.363636363636364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0.606060606060606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185.969757575758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185.969757575758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395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33</v>
      </c>
      <c r="B60" s="78" t="n">
        <f aca="false">K49</f>
        <v>185.969757575758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32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32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32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32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68369.988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68369.988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68369.988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68369.988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74186.3527879342</v>
      </c>
      <c r="C74" s="36"/>
      <c r="D74" s="36"/>
      <c r="E74" s="27"/>
      <c r="F74" s="27"/>
      <c r="G74" s="27"/>
      <c r="H74" s="37"/>
      <c r="J74" s="60" t="s">
        <v>100</v>
      </c>
      <c r="K74" s="69" t="n">
        <f aca="false">(K98*K68)-(K47*K29)</f>
        <v>50372.0035826722</v>
      </c>
      <c r="L74" s="36"/>
      <c r="M74" s="36"/>
      <c r="N74" s="27"/>
      <c r="O74" s="27"/>
      <c r="P74" s="27"/>
      <c r="Q74" s="37"/>
      <c r="S74" s="60" t="s">
        <v>100</v>
      </c>
      <c r="T74" s="69" t="n">
        <f aca="false">(T98*T68)-(K47*K29)</f>
        <v>62879.0636505523</v>
      </c>
      <c r="U74" s="36"/>
      <c r="V74" s="36"/>
      <c r="W74" s="27"/>
      <c r="X74" s="27"/>
      <c r="Y74" s="27"/>
      <c r="Z74" s="37"/>
      <c r="AB74" s="60" t="s">
        <v>100</v>
      </c>
      <c r="AC74" s="69" t="n">
        <f aca="false">(AC98*AC68)-(K47*K29)</f>
        <v>62879.0636505523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0.03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0.03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0.071875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0.009375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0.009375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2106.59964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4914.0928875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640.9686375</v>
      </c>
      <c r="U77" s="36"/>
      <c r="V77" s="36"/>
      <c r="W77" s="27"/>
      <c r="X77" s="27"/>
      <c r="Y77" s="27"/>
      <c r="Z77" s="37"/>
      <c r="AB77" s="60" t="s">
        <v>103</v>
      </c>
      <c r="AC77" s="69" t="n">
        <f aca="false">AH167*AC76</f>
        <v>500.261615625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185.969757575758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0.363636363636364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185.969757575758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185.969757575758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68019.988</v>
      </c>
      <c r="C90" s="36"/>
      <c r="D90" s="36"/>
      <c r="E90" s="27"/>
      <c r="F90" s="29" t="s">
        <v>115</v>
      </c>
      <c r="G90" s="31" t="n">
        <f aca="false">F37</f>
        <v>68019.988</v>
      </c>
      <c r="H90" s="37"/>
      <c r="J90" s="29" t="s">
        <v>115</v>
      </c>
      <c r="K90" s="31" t="n">
        <f aca="false">P167</f>
        <v>37769.996</v>
      </c>
      <c r="L90" s="36"/>
      <c r="M90" s="36"/>
      <c r="N90" s="27"/>
      <c r="O90" s="27"/>
      <c r="P90" s="27"/>
      <c r="Q90" s="37"/>
      <c r="S90" s="29" t="s">
        <v>115</v>
      </c>
      <c r="T90" s="31" t="n">
        <f aca="false">Y167</f>
        <v>53361.239</v>
      </c>
      <c r="U90" s="36"/>
      <c r="V90" s="36"/>
      <c r="W90" s="27"/>
      <c r="X90" s="27"/>
      <c r="Y90" s="27"/>
      <c r="Z90" s="37"/>
      <c r="AB90" s="29" t="s">
        <v>115</v>
      </c>
      <c r="AC90" s="31" t="n">
        <f aca="false">AH167</f>
        <v>53361.239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0.115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0.00958333333333333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32</v>
      </c>
      <c r="C94" s="36"/>
      <c r="D94" s="36"/>
      <c r="E94" s="27"/>
      <c r="F94" s="35" t="s">
        <v>119</v>
      </c>
      <c r="G94" s="37" t="n">
        <f aca="false">IF(G91=0,(B68+B67),(B68))</f>
        <v>32</v>
      </c>
      <c r="H94" s="37"/>
      <c r="J94" s="35" t="s">
        <v>119</v>
      </c>
      <c r="K94" s="37" t="n">
        <f aca="false">IF(K91=0,(K68+K67),(K68))</f>
        <v>33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32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32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4379.8532592462</v>
      </c>
      <c r="C95" s="36"/>
      <c r="D95" s="36"/>
      <c r="E95" s="27"/>
      <c r="F95" s="35" t="s">
        <v>120</v>
      </c>
      <c r="G95" s="37" t="n">
        <f aca="false">(G91/((1+G93)^(G94+1)))</f>
        <v>5020.31079273804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8.55929138316766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8.55929138316766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27.4464895133802</v>
      </c>
      <c r="C96" s="36"/>
      <c r="D96" s="36"/>
      <c r="E96" s="27"/>
      <c r="F96" s="35" t="s">
        <v>121</v>
      </c>
      <c r="G96" s="37" t="n">
        <f aca="false">((1-(1/((1+G93)^G94)))/G93)</f>
        <v>29.3075648349115</v>
      </c>
      <c r="H96" s="37"/>
      <c r="J96" s="35" t="s">
        <v>121</v>
      </c>
      <c r="K96" s="37" t="n">
        <f aca="false">((1-(1/((1+K93)^K94)))/K93)</f>
        <v>23.9885635530494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27.1467145183312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27.1467145183312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63640.1347407538</v>
      </c>
      <c r="C97" s="36"/>
      <c r="D97" s="36"/>
      <c r="E97" s="27"/>
      <c r="F97" s="35" t="s">
        <v>122</v>
      </c>
      <c r="G97" s="37" t="n">
        <f aca="false">G90-G95</f>
        <v>62999.677207262</v>
      </c>
      <c r="H97" s="37"/>
      <c r="J97" s="35" t="s">
        <v>122</v>
      </c>
      <c r="K97" s="37" t="n">
        <f aca="false">K90-K95</f>
        <v>37769.996</v>
      </c>
      <c r="L97" s="36"/>
      <c r="M97" s="36"/>
      <c r="N97" s="27"/>
      <c r="O97" s="27"/>
      <c r="P97" s="27"/>
      <c r="Q97" s="37"/>
      <c r="S97" s="35" t="s">
        <v>122</v>
      </c>
      <c r="T97" s="37" t="n">
        <f aca="false">T90-T95</f>
        <v>53352.6797086168</v>
      </c>
      <c r="U97" s="36"/>
      <c r="V97" s="36"/>
      <c r="W97" s="27"/>
      <c r="X97" s="27"/>
      <c r="Y97" s="27"/>
      <c r="Z97" s="37"/>
      <c r="AB97" s="35" t="s">
        <v>122</v>
      </c>
      <c r="AC97" s="37" t="n">
        <f aca="false">AC90-AC95</f>
        <v>53352.6797086168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2318.69852462294</v>
      </c>
      <c r="C98" s="36"/>
      <c r="D98" s="36"/>
      <c r="E98" s="27"/>
      <c r="F98" s="35" t="s">
        <v>123</v>
      </c>
      <c r="G98" s="37" t="n">
        <f aca="false">(G97/G96)</f>
        <v>2149.60463491719</v>
      </c>
      <c r="H98" s="37"/>
      <c r="J98" s="35" t="s">
        <v>123</v>
      </c>
      <c r="K98" s="37" t="n">
        <f aca="false">(K97/K96)</f>
        <v>1574.50011195851</v>
      </c>
      <c r="L98" s="36"/>
      <c r="M98" s="36"/>
      <c r="N98" s="27"/>
      <c r="O98" s="27"/>
      <c r="P98" s="27"/>
      <c r="Q98" s="37"/>
      <c r="S98" s="35" t="s">
        <v>123</v>
      </c>
      <c r="T98" s="37" t="n">
        <f aca="false">(T97/T96)</f>
        <v>1965.34573907976</v>
      </c>
      <c r="U98" s="36"/>
      <c r="V98" s="36"/>
      <c r="W98" s="27"/>
      <c r="X98" s="27"/>
      <c r="Y98" s="27"/>
      <c r="Z98" s="37"/>
      <c r="AB98" s="35" t="s">
        <v>123</v>
      </c>
      <c r="AC98" s="37" t="n">
        <f aca="false">(AC97/AC96)</f>
        <v>1965.34573907976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74198.3527879342</v>
      </c>
      <c r="C99" s="36"/>
      <c r="D99" s="36"/>
      <c r="E99" s="27"/>
      <c r="F99" s="35" t="s">
        <v>124</v>
      </c>
      <c r="G99" s="37" t="n">
        <f aca="false">((G98*(G94))+G86)</f>
        <v>68787.3483173502</v>
      </c>
      <c r="H99" s="37"/>
      <c r="J99" s="35" t="s">
        <v>124</v>
      </c>
      <c r="K99" s="37" t="n">
        <f aca="false">((K98*(K94))+K86)</f>
        <v>51958.5036946307</v>
      </c>
      <c r="L99" s="36"/>
      <c r="M99" s="36"/>
      <c r="N99" s="27"/>
      <c r="O99" s="27"/>
      <c r="P99" s="27"/>
      <c r="Q99" s="37"/>
      <c r="S99" s="35" t="s">
        <v>124</v>
      </c>
      <c r="T99" s="37" t="n">
        <f aca="false">(T98*(T94))+T86</f>
        <v>62891.0636505523</v>
      </c>
      <c r="U99" s="36"/>
      <c r="V99" s="36"/>
      <c r="W99" s="27"/>
      <c r="X99" s="27"/>
      <c r="Y99" s="27"/>
      <c r="Z99" s="37"/>
      <c r="AB99" s="35" t="s">
        <v>124</v>
      </c>
      <c r="AC99" s="37" t="n">
        <f aca="false">(AC98*(AC68))+AC86</f>
        <v>62891.0636505523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n">
        <f aca="false">(K99/(1-K80))*K80</f>
        <v>0</v>
      </c>
      <c r="L100" s="36"/>
      <c r="M100" s="36"/>
      <c r="N100" s="27"/>
      <c r="O100" s="27"/>
      <c r="P100" s="27"/>
      <c r="Q100" s="37"/>
      <c r="S100" s="35" t="s">
        <v>125</v>
      </c>
      <c r="T100" s="37" t="n">
        <f aca="false">(T99/(1-T80))*T80</f>
        <v>0</v>
      </c>
      <c r="U100" s="36"/>
      <c r="V100" s="36"/>
      <c r="W100" s="27"/>
      <c r="X100" s="27"/>
      <c r="Y100" s="27"/>
      <c r="Z100" s="37"/>
      <c r="AB100" s="35" t="s">
        <v>125</v>
      </c>
      <c r="AC100" s="37" t="n">
        <f aca="false">(AC99/(1-AC80))*AC80</f>
        <v>0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74198.3527879342</v>
      </c>
      <c r="C101" s="36"/>
      <c r="D101" s="36"/>
      <c r="E101" s="27"/>
      <c r="F101" s="60" t="s">
        <v>126</v>
      </c>
      <c r="G101" s="69" t="n">
        <f aca="false">(G99+G100)</f>
        <v>68787.3483173502</v>
      </c>
      <c r="H101" s="37"/>
      <c r="J101" s="60" t="s">
        <v>126</v>
      </c>
      <c r="K101" s="69" t="n">
        <f aca="false">(K99+K100)</f>
        <v>51958.5036946307</v>
      </c>
      <c r="L101" s="36"/>
      <c r="M101" s="36"/>
      <c r="N101" s="27"/>
      <c r="O101" s="27"/>
      <c r="P101" s="27"/>
      <c r="Q101" s="37"/>
      <c r="S101" s="60" t="s">
        <v>126</v>
      </c>
      <c r="T101" s="69" t="n">
        <f aca="false">(T99+T100)</f>
        <v>62891.0636505523</v>
      </c>
      <c r="U101" s="36"/>
      <c r="V101" s="36"/>
      <c r="W101" s="27"/>
      <c r="X101" s="27"/>
      <c r="Y101" s="27"/>
      <c r="Z101" s="37"/>
      <c r="AB101" s="60" t="s">
        <v>126</v>
      </c>
      <c r="AC101" s="69" t="n">
        <f aca="false">(AC99+AC100)</f>
        <v>62891.0636505523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((A46*A34)+((A46*A34)*A117))/(B68)*1.2</f>
        <v>0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2318.69852462294</v>
      </c>
      <c r="C104" s="36"/>
      <c r="D104" s="36"/>
      <c r="E104" s="27"/>
      <c r="F104" s="99" t="s">
        <v>128</v>
      </c>
      <c r="G104" s="100" t="n">
        <f aca="false">G101/(G94)</f>
        <v>2149.60463491719</v>
      </c>
      <c r="H104" s="37"/>
      <c r="J104" s="99" t="s">
        <v>128</v>
      </c>
      <c r="K104" s="100" t="n">
        <f aca="false">K101/(K94)</f>
        <v>1574.50011195851</v>
      </c>
      <c r="L104" s="36"/>
      <c r="M104" s="36"/>
      <c r="N104" s="27"/>
      <c r="O104" s="27"/>
      <c r="P104" s="27"/>
      <c r="Q104" s="37"/>
      <c r="S104" s="99" t="s">
        <v>128</v>
      </c>
      <c r="T104" s="100" t="n">
        <f aca="false">T101/(T94)</f>
        <v>1965.34573907976</v>
      </c>
      <c r="U104" s="36"/>
      <c r="V104" s="36"/>
      <c r="W104" s="27"/>
      <c r="X104" s="27"/>
      <c r="Y104" s="27"/>
      <c r="Z104" s="37"/>
      <c r="AB104" s="99" t="s">
        <v>128</v>
      </c>
      <c r="AC104" s="100" t="n">
        <f aca="false">AC101/(AC68)</f>
        <v>1965.34573907976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2318.69852462294</v>
      </c>
      <c r="C105" s="36"/>
      <c r="D105" s="36"/>
      <c r="E105" s="27" t="s">
        <v>28</v>
      </c>
      <c r="F105" s="101" t="s">
        <v>129</v>
      </c>
      <c r="G105" s="102" t="n">
        <f aca="false">G103+G104</f>
        <v>2149.60463491719</v>
      </c>
      <c r="H105" s="37"/>
      <c r="J105" s="101" t="s">
        <v>129</v>
      </c>
      <c r="K105" s="102" t="n">
        <f aca="false">(K103+K104)</f>
        <v>1574.50011195851</v>
      </c>
      <c r="L105" s="36"/>
      <c r="M105" s="36"/>
      <c r="N105" s="27"/>
      <c r="O105" s="27"/>
      <c r="P105" s="27"/>
      <c r="Q105" s="37"/>
      <c r="S105" s="101" t="s">
        <v>129</v>
      </c>
      <c r="T105" s="102" t="n">
        <f aca="false">T103+T104</f>
        <v>1965.34573907976</v>
      </c>
      <c r="U105" s="36"/>
      <c r="V105" s="36"/>
      <c r="W105" s="27"/>
      <c r="X105" s="27"/>
      <c r="Y105" s="27"/>
      <c r="Z105" s="37"/>
      <c r="AB105" s="101" t="s">
        <v>129</v>
      </c>
      <c r="AC105" s="102" t="n">
        <f aca="false">AC103+AC104</f>
        <v>1965.34573907976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n">
        <v>0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138</v>
      </c>
      <c r="C114" s="107"/>
      <c r="D114" s="107"/>
      <c r="E114" s="108" t="s">
        <v>28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0.115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151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27"/>
      <c r="C127" s="27"/>
      <c r="D127" s="27"/>
      <c r="E127" s="27"/>
      <c r="F127" s="27"/>
      <c r="G127" s="2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29" t="n">
        <f aca="false">B3</f>
        <v>55495.83</v>
      </c>
      <c r="C130" s="44" t="n">
        <f aca="false">B130</f>
        <v>55495.83</v>
      </c>
      <c r="D130" s="29" t="n">
        <f aca="false">D3</f>
        <v>0</v>
      </c>
      <c r="E130" s="44" t="n">
        <f aca="false">D130</f>
        <v>0</v>
      </c>
      <c r="F130" s="29" t="n">
        <f aca="false">F3</f>
        <v>833.33</v>
      </c>
      <c r="G130" s="44" t="n">
        <f aca="false">F130</f>
        <v>833.33</v>
      </c>
      <c r="H130" s="126" t="n">
        <f aca="false">H3</f>
        <v>0</v>
      </c>
      <c r="J130" s="29" t="s">
        <v>159</v>
      </c>
      <c r="K130" s="29" t="n">
        <f aca="false">B3</f>
        <v>55495.83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n">
        <f aca="false">F3</f>
        <v>833.33</v>
      </c>
      <c r="P130" s="44" t="n">
        <f aca="false">O130</f>
        <v>833.33</v>
      </c>
      <c r="Q130" s="126" t="n">
        <f aca="false">H3</f>
        <v>0</v>
      </c>
      <c r="S130" s="29" t="s">
        <v>159</v>
      </c>
      <c r="T130" s="29" t="n">
        <f aca="false">B3</f>
        <v>55495.83</v>
      </c>
      <c r="U130" s="44" t="n">
        <f aca="false">T130</f>
        <v>55495.83</v>
      </c>
      <c r="V130" s="29" t="n">
        <f aca="false">D3</f>
        <v>0</v>
      </c>
      <c r="W130" s="44" t="n">
        <f aca="false">V130</f>
        <v>0</v>
      </c>
      <c r="X130" s="29" t="n">
        <f aca="false">F3</f>
        <v>833.33</v>
      </c>
      <c r="Y130" s="44" t="n">
        <f aca="false">X130</f>
        <v>833.33</v>
      </c>
      <c r="Z130" s="126" t="n">
        <f aca="false">H3</f>
        <v>0</v>
      </c>
      <c r="AB130" s="29" t="s">
        <v>159</v>
      </c>
      <c r="AC130" s="29" t="n">
        <f aca="false">B3</f>
        <v>55495.83</v>
      </c>
      <c r="AD130" s="44" t="n">
        <f aca="false">AC130</f>
        <v>55495.83</v>
      </c>
      <c r="AE130" s="29" t="n">
        <f aca="false">D3</f>
        <v>0</v>
      </c>
      <c r="AF130" s="44" t="n">
        <f aca="false">AE130</f>
        <v>0</v>
      </c>
      <c r="AG130" s="29" t="n">
        <f aca="false">F3</f>
        <v>833.33</v>
      </c>
      <c r="AH130" s="44" t="n">
        <f aca="false">AG130</f>
        <v>833.33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31" t="n">
        <f aca="false">B4</f>
        <v>0</v>
      </c>
      <c r="C131" s="502" t="n">
        <f aca="false">B131</f>
        <v>0</v>
      </c>
      <c r="D131" s="131" t="n">
        <f aca="false">D4</f>
        <v>0</v>
      </c>
      <c r="E131" s="132" t="n">
        <f aca="false">D131</f>
        <v>0</v>
      </c>
      <c r="F131" s="131" t="n">
        <f aca="false">F4</f>
        <v>0</v>
      </c>
      <c r="G131" s="132" t="n">
        <f aca="false">F131</f>
        <v>0</v>
      </c>
      <c r="H131" s="133"/>
      <c r="J131" s="35" t="s">
        <v>160</v>
      </c>
      <c r="K131" s="131" t="n">
        <f aca="false">B4</f>
        <v>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n">
        <f aca="false">F4</f>
        <v>0</v>
      </c>
      <c r="P131" s="132" t="n">
        <f aca="false">O131</f>
        <v>0</v>
      </c>
      <c r="Q131" s="133"/>
      <c r="S131" s="35" t="s">
        <v>160</v>
      </c>
      <c r="T131" s="131" t="n">
        <f aca="false">B4</f>
        <v>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n">
        <f aca="false">F4</f>
        <v>0</v>
      </c>
      <c r="Y131" s="132" t="n">
        <f aca="false">X131</f>
        <v>0</v>
      </c>
      <c r="Z131" s="133"/>
      <c r="AB131" s="35" t="s">
        <v>160</v>
      </c>
      <c r="AC131" s="131" t="n">
        <f aca="false">B4</f>
        <v>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n">
        <f aca="false">F4</f>
        <v>0</v>
      </c>
      <c r="AH131" s="132" t="n">
        <f aca="false">AG131</f>
        <v>0</v>
      </c>
      <c r="AI131" s="133"/>
    </row>
    <row r="132" customFormat="false" ht="19.5" hidden="false" customHeight="false" outlineLevel="0" collapsed="false">
      <c r="A132" s="35" t="s">
        <v>161</v>
      </c>
      <c r="B132" s="35" t="n">
        <f aca="false">B5</f>
        <v>0</v>
      </c>
      <c r="C132" s="44" t="n">
        <f aca="false">B132</f>
        <v>0</v>
      </c>
      <c r="D132" s="35" t="n">
        <f aca="false">D5</f>
        <v>0</v>
      </c>
      <c r="E132" s="44" t="n">
        <f aca="false">D132</f>
        <v>0</v>
      </c>
      <c r="F132" s="35" t="n">
        <f aca="false">F5</f>
        <v>0</v>
      </c>
      <c r="G132" s="44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n">
        <f aca="false">F5</f>
        <v>0</v>
      </c>
      <c r="P132" s="44" t="n">
        <f aca="false">O132</f>
        <v>0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n">
        <f aca="false">F5</f>
        <v>0</v>
      </c>
      <c r="Y132" s="44" t="n">
        <f aca="false">X132</f>
        <v>0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n">
        <f aca="false">F5</f>
        <v>0</v>
      </c>
      <c r="AH132" s="44" t="n">
        <f aca="false">AG132</f>
        <v>0</v>
      </c>
      <c r="AI132" s="37"/>
    </row>
    <row r="133" customFormat="false" ht="18.75" hidden="false" customHeight="false" outlineLevel="0" collapsed="false">
      <c r="A133" s="35" t="s">
        <v>162</v>
      </c>
      <c r="B133" s="35" t="n">
        <f aca="false">(B130*B131)+B132</f>
        <v>0</v>
      </c>
      <c r="C133" s="31" t="n">
        <f aca="false">(C130*C131/100)+C132</f>
        <v>0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n">
        <f aca="false">(O130*O131)+O132</f>
        <v>0</v>
      </c>
      <c r="P133" s="31" t="n">
        <f aca="false">(P130*P131)+P132</f>
        <v>0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13873.9575</v>
      </c>
      <c r="V133" s="35" t="n">
        <f aca="false">(V130*V131)+V132</f>
        <v>0</v>
      </c>
      <c r="W133" s="31" t="n">
        <f aca="false">(W130*W131)+W132</f>
        <v>0</v>
      </c>
      <c r="X133" s="35" t="n">
        <f aca="false">(X130*X131)+X132</f>
        <v>0</v>
      </c>
      <c r="Y133" s="31" t="n">
        <f aca="false">(Y130*Y131)+Y132</f>
        <v>0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13873.9575</v>
      </c>
      <c r="AE133" s="35" t="n">
        <f aca="false">(AE130*AE131)+AE132</f>
        <v>0</v>
      </c>
      <c r="AF133" s="31" t="n">
        <f aca="false">(AF130*AF131)+AF132</f>
        <v>0</v>
      </c>
      <c r="AG133" s="35" t="n">
        <f aca="false">(AG130*AG131)+AG132</f>
        <v>0</v>
      </c>
      <c r="AH133" s="31" t="n">
        <f aca="false">(AH130*AH131)+AH132</f>
        <v>0</v>
      </c>
      <c r="AI133" s="37"/>
    </row>
    <row r="134" customFormat="false" ht="19.5" hidden="false" customHeight="false" outlineLevel="0" collapsed="false">
      <c r="A134" s="60" t="s">
        <v>163</v>
      </c>
      <c r="B134" s="60" t="n">
        <f aca="false">B130-B133</f>
        <v>55495.83</v>
      </c>
      <c r="C134" s="69" t="n">
        <f aca="false">C130-C133</f>
        <v>55495.83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833.33</v>
      </c>
      <c r="G134" s="69" t="n">
        <f aca="false">G130-G133</f>
        <v>833.33</v>
      </c>
      <c r="H134" s="69"/>
      <c r="J134" s="60" t="s">
        <v>163</v>
      </c>
      <c r="K134" s="60" t="n">
        <f aca="false">K130-K133</f>
        <v>55495.83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n">
        <f aca="false">O130-O133</f>
        <v>833.33</v>
      </c>
      <c r="P134" s="69" t="n">
        <f aca="false">P130-P133</f>
        <v>833.33</v>
      </c>
      <c r="Q134" s="69"/>
      <c r="S134" s="60" t="s">
        <v>163</v>
      </c>
      <c r="T134" s="60" t="n">
        <f aca="false">T130-T133</f>
        <v>55495.83</v>
      </c>
      <c r="U134" s="69" t="n">
        <f aca="false">U130-U133</f>
        <v>41621.8725</v>
      </c>
      <c r="V134" s="60" t="n">
        <f aca="false">V130-V133</f>
        <v>0</v>
      </c>
      <c r="W134" s="69" t="n">
        <f aca="false">W130-W133</f>
        <v>0</v>
      </c>
      <c r="X134" s="60" t="n">
        <f aca="false">X130-X133</f>
        <v>833.33</v>
      </c>
      <c r="Y134" s="69" t="n">
        <f aca="false">Y130-Y133</f>
        <v>833.33</v>
      </c>
      <c r="Z134" s="69"/>
      <c r="AB134" s="60" t="s">
        <v>163</v>
      </c>
      <c r="AC134" s="60" t="n">
        <f aca="false">AC130-AC133</f>
        <v>55495.83</v>
      </c>
      <c r="AD134" s="69" t="n">
        <f aca="false">AD130-AD133</f>
        <v>41621.8725</v>
      </c>
      <c r="AE134" s="60" t="n">
        <f aca="false">AE130-AE133</f>
        <v>0</v>
      </c>
      <c r="AF134" s="69" t="n">
        <f aca="false">AF130-AF133</f>
        <v>0</v>
      </c>
      <c r="AG134" s="60" t="n">
        <f aca="false">AG130-AG133</f>
        <v>833.33</v>
      </c>
      <c r="AH134" s="69" t="n">
        <f aca="false">AH130-AH133</f>
        <v>833.33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42"/>
      <c r="C136" s="142"/>
      <c r="D136" s="142"/>
      <c r="E136" s="142"/>
      <c r="F136" s="142"/>
      <c r="G136" s="143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50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50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3" t="n">
        <f aca="false">H9</f>
        <v>56329.16</v>
      </c>
      <c r="H144" s="157" t="n">
        <f aca="false">C134+E134+G134+H137</f>
        <v>56329.16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56329.16</v>
      </c>
      <c r="Q144" s="157" t="n">
        <f aca="false">L134+N134+P134+Q137</f>
        <v>29462.5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56329.16</v>
      </c>
      <c r="Z144" s="157" t="n">
        <f aca="false">U134+W134+Y134+Z137</f>
        <v>42455.2025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56329.16</v>
      </c>
      <c r="AI144" s="157" t="n">
        <f aca="false">AD134+AF134+AH134+AI137</f>
        <v>42455.2025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60" t="n">
        <f aca="false">H10</f>
        <v>645.83</v>
      </c>
      <c r="H145" s="37" t="n">
        <f aca="false">G145</f>
        <v>645.83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645.83</v>
      </c>
      <c r="Q145" s="37" t="n">
        <f aca="false">P145</f>
        <v>645.83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645.83</v>
      </c>
      <c r="Z145" s="37" t="n">
        <f aca="false">Y145</f>
        <v>645.83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645.83</v>
      </c>
      <c r="AI145" s="37" t="n">
        <f aca="false">AH145</f>
        <v>645.83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160" t="n">
        <f aca="false">H11</f>
        <v>11394.998</v>
      </c>
      <c r="H146" s="37" t="n">
        <f aca="false">(H144+H145)*20%</f>
        <v>11394.998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11394.998</v>
      </c>
      <c r="Q146" s="37" t="n">
        <f aca="false">(Q144+Q145)*20%</f>
        <v>6021.666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11394.998</v>
      </c>
      <c r="Z146" s="37" t="n">
        <f aca="false">(Z144+Z145)*20%</f>
        <v>8620.2065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11394.998</v>
      </c>
      <c r="AI146" s="37" t="n">
        <f aca="false">(AI144+AI145)*20%</f>
        <v>8620.2065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60" t="n">
        <f aca="false">H12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60" t="n">
        <f aca="false">H13</f>
        <v>585</v>
      </c>
      <c r="H148" s="37" t="n">
        <f aca="false">G148</f>
        <v>585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585</v>
      </c>
      <c r="Q148" s="37" t="n">
        <f aca="false">P148</f>
        <v>585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585</v>
      </c>
      <c r="Z148" s="37" t="n">
        <f aca="false">Y148</f>
        <v>585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585</v>
      </c>
      <c r="AI148" s="37" t="n">
        <f aca="false">AH148</f>
        <v>585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60" t="n">
        <f aca="false">H14</f>
        <v>65</v>
      </c>
      <c r="H149" s="37" t="n">
        <f aca="false">G149</f>
        <v>65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65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65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65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2" t="n">
        <f aca="false">H15</f>
        <v>69019.988</v>
      </c>
      <c r="H150" s="161" t="n">
        <f aca="false">(H144+H145+H148+H149+H146)-H147</f>
        <v>69019.988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69019.988</v>
      </c>
      <c r="Q150" s="161" t="n">
        <f aca="false">(Q144+Q145+Q148+Q149+Q146)-Q147</f>
        <v>36769.996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69019.988</v>
      </c>
      <c r="Z150" s="161" t="n">
        <f aca="false">(Z144+Z145+Z148+Z149+Z146)-Z147</f>
        <v>52361.239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69019.988</v>
      </c>
      <c r="AI150" s="161" t="n">
        <f aca="false">(AI144+AI145+AI148+AI149+AI146)-AI147</f>
        <v>52361.239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160" t="n">
        <f aca="false">H16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42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s">
        <v>180</v>
      </c>
      <c r="C153" s="165"/>
      <c r="D153" s="165"/>
      <c r="E153" s="165"/>
      <c r="F153" s="165"/>
      <c r="G153" s="160" t="n">
        <f aca="false">H18</f>
        <v>0</v>
      </c>
      <c r="H153" s="44" t="n">
        <f aca="false">G153</f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160" t="n">
        <f aca="false">H19</f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160" t="n">
        <f aca="false">H20</f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2" t="n">
        <f aca="false">G150-((G153*1.2)+(G154*1.2)+(G155*1.2)+(G151*1.2))</f>
        <v>69019.988</v>
      </c>
      <c r="H156" s="168" t="n">
        <f aca="false">H150-((H153*1.2)+(H154*1.2)+(H155*1.2)+(H151*1.2))</f>
        <v>69019.988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69019.988</v>
      </c>
      <c r="Q156" s="168" t="n">
        <f aca="false">Q150-((Q153*1.2)+(Q154*1.2)+(Q155*1.2)+(Q151*1.2))</f>
        <v>36769.996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69019.988</v>
      </c>
      <c r="Z156" s="168" t="n">
        <f aca="false">Z150-((Z153*1.2)+(Z154*1.2)+(Z155*1.2)+(Z151*1.2))</f>
        <v>52361.239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69019.988</v>
      </c>
      <c r="AI156" s="168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60"/>
      <c r="H157" s="44" t="n">
        <f aca="false">((H156-G156)-(H146-G146))+((I155-I154)*0.2)</f>
        <v>0</v>
      </c>
      <c r="I157" s="6" t="n">
        <f aca="false">(H157-G90)/1.2</f>
        <v>-56683.3233333333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n">
        <f aca="false">Q156-P156</f>
        <v>-32249.992</v>
      </c>
      <c r="S157" s="158" t="s">
        <v>182</v>
      </c>
      <c r="T157" s="158"/>
      <c r="U157" s="158"/>
      <c r="V157" s="158"/>
      <c r="W157" s="158"/>
      <c r="X157" s="158"/>
      <c r="Y157" s="160"/>
      <c r="Z157" s="44" t="n">
        <f aca="false">Z156-Y156</f>
        <v>-16658.749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n">
        <f aca="false">AI156-AH156</f>
        <v>-16658.749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7.35" hidden="false" customHeight="false" outlineLevel="0" collapsed="false">
      <c r="A165" s="29" t="s">
        <v>188</v>
      </c>
      <c r="B165" s="30"/>
      <c r="C165" s="30"/>
      <c r="D165" s="79"/>
      <c r="E165" s="30"/>
      <c r="F165" s="79"/>
      <c r="G165" s="172" t="s">
        <v>6</v>
      </c>
      <c r="H165" s="44" t="n">
        <v>1200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189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189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189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189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19.7" hidden="false" customHeight="false" outlineLevel="0" collapsed="false">
      <c r="A167" s="173" t="s">
        <v>190</v>
      </c>
      <c r="B167" s="36"/>
      <c r="C167" s="36"/>
      <c r="D167" s="27"/>
      <c r="E167" s="36"/>
      <c r="F167" s="27"/>
      <c r="G167" s="174" t="n">
        <f aca="false">H156-G163-G166+H165</f>
        <v>70219.988</v>
      </c>
      <c r="H167" s="174"/>
      <c r="J167" s="173" t="s">
        <v>190</v>
      </c>
      <c r="K167" s="36"/>
      <c r="L167" s="36"/>
      <c r="M167" s="27"/>
      <c r="N167" s="36"/>
      <c r="O167" s="27"/>
      <c r="P167" s="174" t="n">
        <f aca="false">Q156-P163-P166</f>
        <v>37769.996</v>
      </c>
      <c r="Q167" s="174"/>
      <c r="S167" s="173" t="s">
        <v>190</v>
      </c>
      <c r="T167" s="36"/>
      <c r="U167" s="36"/>
      <c r="V167" s="27"/>
      <c r="W167" s="36"/>
      <c r="X167" s="27"/>
      <c r="Y167" s="174" t="n">
        <f aca="false">Z156-Y163-Y166</f>
        <v>53361.239</v>
      </c>
      <c r="Z167" s="174"/>
      <c r="AB167" s="173" t="s">
        <v>190</v>
      </c>
      <c r="AC167" s="36"/>
      <c r="AD167" s="36"/>
      <c r="AE167" s="27"/>
      <c r="AF167" s="36"/>
      <c r="AG167" s="27"/>
      <c r="AH167" s="174" t="n">
        <f aca="false">AI156-AH163-AH166</f>
        <v>53361.239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239.99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191</v>
      </c>
      <c r="B171" s="32"/>
      <c r="C171" s="32"/>
      <c r="D171" s="32"/>
      <c r="E171" s="32"/>
      <c r="F171" s="32"/>
      <c r="G171" s="32"/>
      <c r="H171" s="32"/>
      <c r="J171" s="32" t="s">
        <v>191</v>
      </c>
      <c r="K171" s="32"/>
      <c r="L171" s="32"/>
      <c r="M171" s="32"/>
      <c r="N171" s="32"/>
      <c r="O171" s="32"/>
      <c r="P171" s="32"/>
      <c r="Q171" s="32"/>
      <c r="S171" s="32" t="s">
        <v>191</v>
      </c>
      <c r="T171" s="32"/>
      <c r="U171" s="32"/>
      <c r="V171" s="32"/>
      <c r="W171" s="32"/>
      <c r="X171" s="32"/>
      <c r="Y171" s="32"/>
      <c r="Z171" s="32"/>
      <c r="AB171" s="32" t="s">
        <v>191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192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192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192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192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193</v>
      </c>
      <c r="B175" s="178" t="s">
        <v>194</v>
      </c>
      <c r="C175" s="178"/>
      <c r="D175" s="178"/>
      <c r="E175" s="178" t="s">
        <v>195</v>
      </c>
      <c r="F175" s="27"/>
      <c r="G175" s="27" t="s">
        <v>196</v>
      </c>
      <c r="H175" s="37"/>
      <c r="J175" s="177" t="s">
        <v>193</v>
      </c>
      <c r="K175" s="179" t="s">
        <v>194</v>
      </c>
      <c r="L175" s="179"/>
      <c r="M175" s="179"/>
      <c r="N175" s="179" t="s">
        <v>195</v>
      </c>
      <c r="O175" s="27"/>
      <c r="P175" s="27"/>
      <c r="Q175" s="37"/>
      <c r="S175" s="177" t="s">
        <v>193</v>
      </c>
      <c r="T175" s="179" t="s">
        <v>194</v>
      </c>
      <c r="U175" s="179"/>
      <c r="V175" s="179"/>
      <c r="W175" s="179" t="s">
        <v>195</v>
      </c>
      <c r="X175" s="27"/>
      <c r="Y175" s="27"/>
      <c r="Z175" s="37"/>
      <c r="AB175" s="177" t="s">
        <v>193</v>
      </c>
      <c r="AC175" s="179" t="s">
        <v>194</v>
      </c>
      <c r="AD175" s="179"/>
      <c r="AE175" s="179"/>
      <c r="AF175" s="179" t="s">
        <v>195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2318.69852462294</v>
      </c>
      <c r="B176" s="181" t="n">
        <f aca="false">B103</f>
        <v>0</v>
      </c>
      <c r="C176" s="178"/>
      <c r="D176" s="178"/>
      <c r="E176" s="181" t="n">
        <f aca="false">B105</f>
        <v>2318.69852462294</v>
      </c>
      <c r="F176" s="27"/>
      <c r="G176" s="27" t="n">
        <f aca="false">ROUND(G104,2)</f>
        <v>2149.6</v>
      </c>
      <c r="H176" s="37"/>
      <c r="J176" s="180" t="n">
        <f aca="false">K104</f>
        <v>1574.50011195851</v>
      </c>
      <c r="K176" s="182" t="n">
        <f aca="false">K103</f>
        <v>0</v>
      </c>
      <c r="L176" s="179"/>
      <c r="M176" s="179"/>
      <c r="N176" s="182" t="n">
        <f aca="false">K105</f>
        <v>1574.50011195851</v>
      </c>
      <c r="O176" s="27"/>
      <c r="P176" s="27"/>
      <c r="Q176" s="37"/>
      <c r="S176" s="180" t="n">
        <f aca="false">T104</f>
        <v>1965.34573907976</v>
      </c>
      <c r="T176" s="182" t="n">
        <f aca="false">T103</f>
        <v>0</v>
      </c>
      <c r="U176" s="179"/>
      <c r="V176" s="179"/>
      <c r="W176" s="182" t="n">
        <f aca="false">T105</f>
        <v>1965.34573907976</v>
      </c>
      <c r="X176" s="27"/>
      <c r="Y176" s="27"/>
      <c r="Z176" s="37"/>
      <c r="AB176" s="180" t="n">
        <f aca="false">AC104</f>
        <v>1965.34573907976</v>
      </c>
      <c r="AC176" s="182" t="n">
        <f aca="false">AC103</f>
        <v>0</v>
      </c>
      <c r="AD176" s="179"/>
      <c r="AE176" s="179"/>
      <c r="AF176" s="182" t="n">
        <f aca="false">AC105</f>
        <v>1965.34573907976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197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197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197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197</v>
      </c>
      <c r="AG178" s="27"/>
      <c r="AH178" s="27"/>
      <c r="AI178" s="37"/>
    </row>
    <row r="179" customFormat="false" ht="18.75" hidden="false" customHeight="false" outlineLevel="0" collapsed="false">
      <c r="A179" s="183" t="n">
        <f aca="false">B38</f>
        <v>0</v>
      </c>
      <c r="B179" s="184" t="n">
        <f aca="false">B39</f>
        <v>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33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33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33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198</v>
      </c>
      <c r="B181" s="97" t="s">
        <v>199</v>
      </c>
      <c r="C181" s="97"/>
      <c r="D181" s="27"/>
      <c r="E181" s="97" t="s">
        <v>200</v>
      </c>
      <c r="F181" s="27"/>
      <c r="G181" s="27"/>
      <c r="H181" s="37"/>
      <c r="J181" s="35" t="s">
        <v>198</v>
      </c>
      <c r="K181" s="36" t="s">
        <v>199</v>
      </c>
      <c r="L181" s="36"/>
      <c r="M181" s="27"/>
      <c r="N181" s="36" t="s">
        <v>200</v>
      </c>
      <c r="O181" s="27"/>
      <c r="P181" s="27"/>
      <c r="Q181" s="37"/>
      <c r="S181" s="35" t="s">
        <v>198</v>
      </c>
      <c r="T181" s="36" t="s">
        <v>199</v>
      </c>
      <c r="U181" s="36"/>
      <c r="V181" s="27"/>
      <c r="W181" s="36" t="s">
        <v>200</v>
      </c>
      <c r="X181" s="27"/>
      <c r="Y181" s="27"/>
      <c r="Z181" s="37"/>
      <c r="AB181" s="35" t="s">
        <v>198</v>
      </c>
      <c r="AC181" s="36" t="s">
        <v>199</v>
      </c>
      <c r="AD181" s="36"/>
      <c r="AE181" s="27"/>
      <c r="AF181" s="36" t="s">
        <v>200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56974.99</v>
      </c>
      <c r="B182" s="107" t="n">
        <f aca="false">H146</f>
        <v>11394.998</v>
      </c>
      <c r="C182" s="190"/>
      <c r="D182" s="27"/>
      <c r="E182" s="186" t="n">
        <f aca="false">H148+H149</f>
        <v>650</v>
      </c>
      <c r="F182" s="27"/>
      <c r="G182" s="27"/>
      <c r="H182" s="37"/>
      <c r="J182" s="189" t="n">
        <f aca="false">Q150-Q146-Q148-Q149</f>
        <v>30108.33</v>
      </c>
      <c r="K182" s="42" t="n">
        <f aca="false">Q146</f>
        <v>6021.666</v>
      </c>
      <c r="L182" s="47"/>
      <c r="M182" s="27"/>
      <c r="N182" s="188" t="n">
        <f aca="false">Q148+Q149</f>
        <v>640</v>
      </c>
      <c r="O182" s="27"/>
      <c r="P182" s="27"/>
      <c r="Q182" s="37"/>
      <c r="S182" s="189" t="n">
        <f aca="false">Z150-Z146-Z148-Z149</f>
        <v>43101.0325</v>
      </c>
      <c r="T182" s="42" t="n">
        <f aca="false">Z146</f>
        <v>8620.2065</v>
      </c>
      <c r="U182" s="47"/>
      <c r="V182" s="27"/>
      <c r="W182" s="188" t="n">
        <f aca="false">Z148+Z149</f>
        <v>640</v>
      </c>
      <c r="X182" s="27"/>
      <c r="Y182" s="27"/>
      <c r="Z182" s="37"/>
      <c r="AB182" s="189" t="n">
        <f aca="false">AI150-AI146-AI148-AI149</f>
        <v>43101.0325</v>
      </c>
      <c r="AC182" s="42" t="n">
        <f aca="false">AI146</f>
        <v>8620.2065</v>
      </c>
      <c r="AD182" s="47"/>
      <c r="AE182" s="27"/>
      <c r="AF182" s="188" t="n">
        <f aca="false">AI148+AI149</f>
        <v>640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201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201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201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201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69019.988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n">
        <f aca="false">Q150</f>
        <v>36769.996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n">
        <f aca="false">Z150</f>
        <v>52361.239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n">
        <f aca="false">AI150</f>
        <v>52361.239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190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190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190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190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G167</f>
        <v>70219.988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n">
        <f aca="false">J185-J188-K188</f>
        <v>37769.996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n">
        <f aca="false">S185-S188-T188</f>
        <v>53361.239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n">
        <f aca="false">AB185-AB188-AC188</f>
        <v>53361.239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202</v>
      </c>
      <c r="B190" s="97" t="s">
        <v>62</v>
      </c>
      <c r="C190" s="97"/>
      <c r="D190" s="27"/>
      <c r="E190" s="97" t="s">
        <v>203</v>
      </c>
      <c r="F190" s="27"/>
      <c r="G190" s="27"/>
      <c r="H190" s="37"/>
      <c r="J190" s="35" t="s">
        <v>202</v>
      </c>
      <c r="K190" s="36" t="s">
        <v>62</v>
      </c>
      <c r="L190" s="36"/>
      <c r="M190" s="27"/>
      <c r="N190" s="36" t="s">
        <v>203</v>
      </c>
      <c r="O190" s="27"/>
      <c r="P190" s="27"/>
      <c r="Q190" s="37"/>
      <c r="S190" s="35" t="s">
        <v>202</v>
      </c>
      <c r="T190" s="36" t="s">
        <v>62</v>
      </c>
      <c r="U190" s="36"/>
      <c r="V190" s="27"/>
      <c r="W190" s="36" t="s">
        <v>203</v>
      </c>
      <c r="X190" s="27"/>
      <c r="Y190" s="27"/>
      <c r="Z190" s="37"/>
      <c r="AB190" s="35" t="s">
        <v>202</v>
      </c>
      <c r="AC190" s="36" t="s">
        <v>62</v>
      </c>
      <c r="AD190" s="36"/>
      <c r="AE190" s="27"/>
      <c r="AF190" s="36" t="s">
        <v>203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9978.36478793419</v>
      </c>
      <c r="B191" s="107" t="str">
        <f aca="false">B123</f>
        <v>239.99</v>
      </c>
      <c r="C191" s="107"/>
      <c r="D191" s="27"/>
      <c r="E191" s="107" t="n">
        <f aca="false">E188+A191+B191+A194</f>
        <v>80448.3427879342</v>
      </c>
      <c r="F191" s="27"/>
      <c r="G191" s="27"/>
      <c r="H191" s="109"/>
      <c r="J191" s="115" t="n">
        <f aca="false">(J176*K68)+N194-N188-J194</f>
        <v>12626.0075826722</v>
      </c>
      <c r="K191" s="42" t="n">
        <f aca="false">K123</f>
        <v>239.99</v>
      </c>
      <c r="L191" s="42"/>
      <c r="M191" s="27"/>
      <c r="N191" s="42" t="n">
        <f aca="false">N188+J191+K191+J194</f>
        <v>50655.9935826722</v>
      </c>
      <c r="O191" s="27"/>
      <c r="P191" s="27"/>
      <c r="Q191" s="109"/>
      <c r="S191" s="115" t="n">
        <f aca="false">(S176*T68)+W194-W188-S194</f>
        <v>9541.82465055225</v>
      </c>
      <c r="T191" s="42" t="n">
        <f aca="false">T123</f>
        <v>199.99</v>
      </c>
      <c r="U191" s="42"/>
      <c r="V191" s="27"/>
      <c r="W191" s="42" t="n">
        <f aca="false">W188+S191+T191+S194</f>
        <v>63113.0536505523</v>
      </c>
      <c r="X191" s="27"/>
      <c r="Y191" s="27"/>
      <c r="Z191" s="109"/>
      <c r="AB191" s="115" t="n">
        <f aca="false">(AB176*AC68)+AF194-AF188-AB194</f>
        <v>9541.82465055225</v>
      </c>
      <c r="AC191" s="42" t="n">
        <f aca="false">AC123</f>
        <v>239.99</v>
      </c>
      <c r="AD191" s="42"/>
      <c r="AE191" s="27"/>
      <c r="AF191" s="42" t="n">
        <f aca="false">AF188+AB191+AC191+AB194</f>
        <v>63153.0536505523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204</v>
      </c>
      <c r="B193" s="97" t="s">
        <v>205</v>
      </c>
      <c r="C193" s="97"/>
      <c r="D193" s="27"/>
      <c r="E193" s="97" t="s">
        <v>206</v>
      </c>
      <c r="F193" s="27"/>
      <c r="G193" s="27"/>
      <c r="H193" s="37"/>
      <c r="J193" s="35" t="s">
        <v>204</v>
      </c>
      <c r="K193" s="36" t="s">
        <v>205</v>
      </c>
      <c r="L193" s="36"/>
      <c r="M193" s="27"/>
      <c r="N193" s="36" t="s">
        <v>206</v>
      </c>
      <c r="O193" s="27"/>
      <c r="P193" s="27"/>
      <c r="Q193" s="37"/>
      <c r="S193" s="35" t="s">
        <v>204</v>
      </c>
      <c r="T193" s="36" t="s">
        <v>205</v>
      </c>
      <c r="U193" s="36"/>
      <c r="V193" s="27"/>
      <c r="W193" s="36" t="s">
        <v>206</v>
      </c>
      <c r="X193" s="27"/>
      <c r="Y193" s="27"/>
      <c r="Z193" s="37"/>
      <c r="AB193" s="35" t="s">
        <v>204</v>
      </c>
      <c r="AC193" s="36" t="s">
        <v>205</v>
      </c>
      <c r="AD193" s="36"/>
      <c r="AE193" s="27"/>
      <c r="AF193" s="36" t="s">
        <v>206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</f>
        <v>239.99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207</v>
      </c>
      <c r="B196" s="97" t="s">
        <v>208</v>
      </c>
      <c r="C196" s="97"/>
      <c r="D196" s="97"/>
      <c r="E196" s="170" t="s">
        <v>209</v>
      </c>
      <c r="F196" s="27"/>
      <c r="G196" s="27"/>
      <c r="H196" s="37"/>
      <c r="J196" s="35" t="s">
        <v>207</v>
      </c>
      <c r="K196" s="36" t="s">
        <v>208</v>
      </c>
      <c r="L196" s="36"/>
      <c r="M196" s="36"/>
      <c r="N196" s="43" t="s">
        <v>209</v>
      </c>
      <c r="O196" s="27"/>
      <c r="P196" s="27"/>
      <c r="Q196" s="37"/>
      <c r="S196" s="35" t="s">
        <v>207</v>
      </c>
      <c r="T196" s="36" t="s">
        <v>208</v>
      </c>
      <c r="U196" s="36"/>
      <c r="V196" s="36"/>
      <c r="W196" s="43" t="s">
        <v>209</v>
      </c>
      <c r="X196" s="36"/>
      <c r="Y196" s="36"/>
      <c r="Z196" s="37"/>
      <c r="AB196" s="35" t="s">
        <v>207</v>
      </c>
      <c r="AC196" s="36" t="s">
        <v>208</v>
      </c>
      <c r="AD196" s="36"/>
      <c r="AE196" s="36"/>
      <c r="AF196" s="43" t="s">
        <v>209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J18*0.000002*100*1.2</f>
        <v>16.40879712</v>
      </c>
      <c r="B197" s="107" t="n">
        <f aca="false">(G167*B76)/1.2</f>
        <v>1755.4997</v>
      </c>
      <c r="C197" s="97"/>
      <c r="D197" s="97"/>
      <c r="E197" s="107" t="n">
        <f aca="false">IF(E114="YES",(K55*A117*0.1),0)</f>
        <v>0</v>
      </c>
      <c r="F197" s="27"/>
      <c r="G197" s="27"/>
      <c r="H197" s="37"/>
      <c r="J197" s="115" t="n">
        <f aca="false">IF(N114="YES",H15*0.000002,0)</f>
        <v>0.138039976</v>
      </c>
      <c r="K197" s="42" t="n">
        <f aca="false">(P167*K76)/1.2</f>
        <v>2262.26538541667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n">
        <f aca="false">(Y167*T76)/1.2</f>
        <v>416.8846796875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n">
        <f aca="false">(AH167*AC76)/1.2</f>
        <v>416.8846796875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210</v>
      </c>
      <c r="B199" s="170" t="s">
        <v>211</v>
      </c>
      <c r="C199" s="97"/>
      <c r="D199" s="97"/>
      <c r="E199" s="170" t="s">
        <v>212</v>
      </c>
      <c r="F199" s="27"/>
      <c r="G199" s="27"/>
      <c r="H199" s="37"/>
      <c r="J199" s="64" t="s">
        <v>210</v>
      </c>
      <c r="K199" s="43" t="s">
        <v>211</v>
      </c>
      <c r="L199" s="36"/>
      <c r="M199" s="36"/>
      <c r="N199" s="43" t="s">
        <v>212</v>
      </c>
      <c r="O199" s="27"/>
      <c r="P199" s="27"/>
      <c r="Q199" s="37"/>
      <c r="S199" s="64" t="s">
        <v>210</v>
      </c>
      <c r="T199" s="43" t="s">
        <v>211</v>
      </c>
      <c r="U199" s="36"/>
      <c r="V199" s="36"/>
      <c r="W199" s="43" t="s">
        <v>212</v>
      </c>
      <c r="X199" s="36"/>
      <c r="Y199" s="36"/>
      <c r="Z199" s="37"/>
      <c r="AB199" s="64" t="s">
        <v>210</v>
      </c>
      <c r="AC199" s="43" t="s">
        <v>211</v>
      </c>
      <c r="AD199" s="36"/>
      <c r="AE199" s="36"/>
      <c r="AF199" s="43" t="s">
        <v>212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(B191/1.2)-100</f>
        <v>99.9916666666667</v>
      </c>
      <c r="B200" s="107" t="n">
        <f aca="false">B197+E197+A200</f>
        <v>1855.49136666667</v>
      </c>
      <c r="C200" s="97"/>
      <c r="D200" s="97"/>
      <c r="E200" s="107" t="n">
        <f aca="false">H157</f>
        <v>0</v>
      </c>
      <c r="F200" s="27"/>
      <c r="G200" s="27"/>
      <c r="H200" s="37"/>
      <c r="J200" s="115" t="n">
        <f aca="false">K194-100</f>
        <v>1139.99</v>
      </c>
      <c r="K200" s="42" t="n">
        <f aca="false">K197+N197+J200</f>
        <v>3402.25538541667</v>
      </c>
      <c r="L200" s="36"/>
      <c r="M200" s="36"/>
      <c r="N200" s="42" t="n">
        <f aca="false">Q157</f>
        <v>-32249.992</v>
      </c>
      <c r="O200" s="27"/>
      <c r="P200" s="27"/>
      <c r="Q200" s="37"/>
      <c r="S200" s="115" t="n">
        <f aca="false">T194-100</f>
        <v>1099.99</v>
      </c>
      <c r="T200" s="42" t="n">
        <f aca="false">T197+W197+S200</f>
        <v>1516.8746796875</v>
      </c>
      <c r="U200" s="36"/>
      <c r="V200" s="36"/>
      <c r="W200" s="42" t="n">
        <f aca="false">Z157</f>
        <v>-16658.749</v>
      </c>
      <c r="X200" s="36"/>
      <c r="Y200" s="36"/>
      <c r="Z200" s="37"/>
      <c r="AB200" s="115" t="n">
        <f aca="false">AC194-100</f>
        <v>1139.99</v>
      </c>
      <c r="AC200" s="42" t="n">
        <f aca="false">AC197+AF197+AB200</f>
        <v>1556.8746796875</v>
      </c>
      <c r="AD200" s="36"/>
      <c r="AE200" s="36"/>
      <c r="AF200" s="42" t="n">
        <f aca="false">AI157</f>
        <v>-16658.749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213</v>
      </c>
      <c r="B202" s="97"/>
      <c r="C202" s="97"/>
      <c r="D202" s="71"/>
      <c r="E202" s="71"/>
      <c r="F202" s="71"/>
      <c r="G202" s="71"/>
      <c r="H202" s="72"/>
      <c r="J202" s="70" t="s">
        <v>213</v>
      </c>
      <c r="K202" s="36"/>
      <c r="L202" s="36"/>
      <c r="M202" s="71"/>
      <c r="N202" s="71"/>
      <c r="O202" s="71"/>
      <c r="P202" s="71"/>
      <c r="Q202" s="72"/>
      <c r="S202" s="70" t="s">
        <v>213</v>
      </c>
      <c r="T202" s="36"/>
      <c r="U202" s="36"/>
      <c r="V202" s="71"/>
      <c r="W202" s="71"/>
      <c r="X202" s="71"/>
      <c r="Y202" s="71"/>
      <c r="Z202" s="72"/>
      <c r="AB202" s="70" t="s">
        <v>213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33</v>
      </c>
      <c r="B206" s="78" t="n">
        <f aca="false">B105</f>
        <v>2318.69852462294</v>
      </c>
      <c r="C206" s="78"/>
      <c r="D206" s="78"/>
      <c r="E206" s="27"/>
      <c r="F206" s="27"/>
      <c r="G206" s="27"/>
      <c r="H206" s="37"/>
      <c r="J206" s="77" t="str">
        <f aca="false">K29</f>
        <v>33</v>
      </c>
      <c r="K206" s="78" t="n">
        <f aca="false">K105</f>
        <v>1574.50011195851</v>
      </c>
      <c r="L206" s="78"/>
      <c r="M206" s="78"/>
      <c r="N206" s="27"/>
      <c r="O206" s="27"/>
      <c r="P206" s="27"/>
      <c r="Q206" s="37"/>
      <c r="S206" s="77" t="str">
        <f aca="false">K29</f>
        <v>33</v>
      </c>
      <c r="T206" s="78" t="n">
        <f aca="false">T105</f>
        <v>1965.34573907976</v>
      </c>
      <c r="U206" s="78"/>
      <c r="V206" s="78"/>
      <c r="W206" s="27"/>
      <c r="X206" s="27"/>
      <c r="Y206" s="27"/>
      <c r="Z206" s="37"/>
      <c r="AB206" s="77" t="str">
        <f aca="false">K29</f>
        <v>33</v>
      </c>
      <c r="AC206" s="78" t="n">
        <f aca="false">AC105</f>
        <v>1965.34573907976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214</v>
      </c>
      <c r="B209" s="97" t="s">
        <v>215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4567.21199999999</v>
      </c>
      <c r="B210" s="190" t="n">
        <f aca="false">E188+A210+B191+A194</f>
        <v>75037.19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191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216</v>
      </c>
      <c r="B218" s="178" t="str">
        <f aca="false">A206</f>
        <v>33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193</v>
      </c>
      <c r="B220" s="196" t="s">
        <v>194</v>
      </c>
      <c r="C220" s="196"/>
      <c r="D220" s="196"/>
      <c r="E220" s="196" t="s">
        <v>195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2318.69852462294</v>
      </c>
      <c r="B221" s="181" t="n">
        <f aca="false">B176</f>
        <v>0</v>
      </c>
      <c r="C221" s="178"/>
      <c r="D221" s="178"/>
      <c r="E221" s="181" t="n">
        <f aca="false">E176</f>
        <v>2318.69852462294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198</v>
      </c>
      <c r="B223" s="97" t="s">
        <v>199</v>
      </c>
      <c r="C223" s="97"/>
      <c r="D223" s="117"/>
      <c r="E223" s="97" t="s">
        <v>200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56974.99</v>
      </c>
      <c r="B224" s="107" t="n">
        <f aca="false">B182</f>
        <v>11394.998</v>
      </c>
      <c r="C224" s="190"/>
      <c r="D224" s="117"/>
      <c r="E224" s="186" t="n">
        <f aca="false">E182</f>
        <v>650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201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69019.988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190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70219.988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202</v>
      </c>
      <c r="B232" s="97" t="s">
        <v>62</v>
      </c>
      <c r="C232" s="97"/>
      <c r="D232" s="117"/>
      <c r="E232" s="97" t="s">
        <v>203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9978.36478793419</v>
      </c>
      <c r="B233" s="107" t="str">
        <f aca="false">B191</f>
        <v>239.99</v>
      </c>
      <c r="C233" s="107"/>
      <c r="D233" s="117"/>
      <c r="E233" s="107" t="n">
        <f aca="false">E191</f>
        <v>80448.3427879342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204</v>
      </c>
      <c r="B235" s="97" t="s">
        <v>205</v>
      </c>
      <c r="C235" s="97"/>
      <c r="D235" s="117"/>
      <c r="E235" s="97" t="s">
        <v>217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239.99</v>
      </c>
      <c r="C236" s="107"/>
      <c r="D236" s="117"/>
      <c r="E236" s="107" t="n">
        <f aca="false">B68</f>
        <v>32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193</v>
      </c>
      <c r="B238" s="97" t="s">
        <v>194</v>
      </c>
      <c r="C238" s="97"/>
      <c r="D238" s="97"/>
      <c r="E238" s="97" t="s">
        <v>195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2318.69852462294</v>
      </c>
      <c r="B239" s="107" t="n">
        <f aca="false">B176</f>
        <v>0</v>
      </c>
      <c r="C239" s="190"/>
      <c r="D239" s="190"/>
      <c r="E239" s="107" t="n">
        <f aca="false">E176</f>
        <v>2318.69852462294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218</v>
      </c>
      <c r="B241" s="97" t="s">
        <v>219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J18*0.000006*100*1.2</f>
        <v>49.22639136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220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16.40879712</v>
      </c>
      <c r="B245" s="107" t="n">
        <f aca="false">E242+A245</f>
        <v>65.63518848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221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222</v>
      </c>
      <c r="B248" s="97" t="s">
        <v>208</v>
      </c>
      <c r="C248" s="97"/>
      <c r="D248" s="97"/>
      <c r="E248" s="170" t="s">
        <v>209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0</v>
      </c>
      <c r="B249" s="107" t="n">
        <f aca="false">B197</f>
        <v>1755.4997</v>
      </c>
      <c r="C249" s="97"/>
      <c r="D249" s="97"/>
      <c r="E249" s="107" t="n">
        <f aca="false">E197</f>
        <v>0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210</v>
      </c>
      <c r="B251" s="170" t="s">
        <v>211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99.9916666666667</v>
      </c>
      <c r="B252" s="107" t="n">
        <f aca="false">B249+E249+A252+A249</f>
        <v>1855.49136666667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223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224</v>
      </c>
      <c r="B262" s="200" t="n">
        <f aca="false">B72</f>
        <v>0.065</v>
      </c>
      <c r="C262" s="201"/>
      <c r="D262" s="202" t="s">
        <v>225</v>
      </c>
      <c r="E262" s="202"/>
      <c r="F262" s="200" t="n">
        <f aca="false">B92</f>
        <v>0.115</v>
      </c>
      <c r="G262" s="27"/>
      <c r="H262" s="37"/>
    </row>
    <row r="263" customFormat="false" ht="18.75" hidden="false" customHeight="false" outlineLevel="0" collapsed="false">
      <c r="A263" s="195" t="s">
        <v>226</v>
      </c>
      <c r="B263" s="203" t="n">
        <f aca="false">(E191-B191)-(B210-B191-A194)</f>
        <v>5421.1527879342</v>
      </c>
      <c r="C263" s="201"/>
      <c r="D263" s="202" t="s">
        <v>227</v>
      </c>
      <c r="E263" s="202"/>
      <c r="F263" s="204" t="n">
        <f aca="false">F270+F276+F278+B279+B280</f>
        <v>2106.59964</v>
      </c>
      <c r="G263" s="27"/>
      <c r="H263" s="37"/>
    </row>
    <row r="264" customFormat="false" ht="18.75" hidden="false" customHeight="false" outlineLevel="0" collapsed="false">
      <c r="A264" s="195" t="s">
        <v>228</v>
      </c>
      <c r="B264" s="204" t="n">
        <f aca="false">F271+B272</f>
        <v>99.9916666666667</v>
      </c>
      <c r="C264" s="201"/>
      <c r="D264" s="202" t="s">
        <v>229</v>
      </c>
      <c r="E264" s="202"/>
      <c r="F264" s="204" t="n">
        <f aca="false">(B263-F263)+B264</f>
        <v>3414.54481460087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224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230</v>
      </c>
      <c r="B268" s="209" t="n">
        <f aca="false">B73</f>
        <v>0.05</v>
      </c>
      <c r="C268" s="36"/>
      <c r="D268" s="170" t="s">
        <v>231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225</v>
      </c>
      <c r="B269" s="213" t="n">
        <f aca="false">B92</f>
        <v>0.115</v>
      </c>
      <c r="C269" s="47"/>
      <c r="D269" s="170" t="s">
        <v>226</v>
      </c>
      <c r="E269" s="170"/>
      <c r="F269" s="150" t="n">
        <f aca="false">B263</f>
        <v>5421.1527879342</v>
      </c>
      <c r="G269" s="27"/>
      <c r="H269" s="37"/>
    </row>
    <row r="270" customFormat="false" ht="19.5" hidden="false" customHeight="false" outlineLevel="0" collapsed="false">
      <c r="A270" s="35" t="s">
        <v>232</v>
      </c>
      <c r="B270" s="213" t="n">
        <f aca="false">B76</f>
        <v>0.03</v>
      </c>
      <c r="C270" s="36"/>
      <c r="D270" s="170" t="s">
        <v>232</v>
      </c>
      <c r="E270" s="170"/>
      <c r="F270" s="155" t="n">
        <f aca="false">B77</f>
        <v>2106.59964</v>
      </c>
      <c r="G270" s="27"/>
      <c r="H270" s="37"/>
    </row>
    <row r="271" customFormat="false" ht="19.5" hidden="false" customHeight="false" outlineLevel="0" collapsed="false">
      <c r="A271" s="35" t="s">
        <v>233</v>
      </c>
      <c r="B271" s="209" t="n">
        <f aca="false">A117</f>
        <v>0.2</v>
      </c>
      <c r="C271" s="36"/>
      <c r="D271" s="170" t="s">
        <v>233</v>
      </c>
      <c r="E271" s="170"/>
      <c r="F271" s="150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234</v>
      </c>
      <c r="B272" s="150" t="n">
        <f aca="false">A252</f>
        <v>99.9916666666667</v>
      </c>
      <c r="C272" s="36"/>
      <c r="D272" s="43" t="s">
        <v>229</v>
      </c>
      <c r="E272" s="43"/>
      <c r="F272" s="150" t="n">
        <f aca="false">(B263-F263)+B264</f>
        <v>3414.54481460087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235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236</v>
      </c>
      <c r="B275" s="155" t="n">
        <v>0</v>
      </c>
      <c r="C275" s="36"/>
      <c r="D275" s="214" t="s">
        <v>237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238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239</v>
      </c>
      <c r="B277" s="215" t="s">
        <v>6</v>
      </c>
      <c r="C277" s="36"/>
      <c r="D277" s="170" t="s">
        <v>240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241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242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243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3775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400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36.0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401</v>
      </c>
      <c r="C30" s="176"/>
      <c r="D30" s="219"/>
      <c r="E30" s="220"/>
      <c r="F30" s="67"/>
      <c r="G30" s="222" t="s">
        <v>41</v>
      </c>
      <c r="H30" s="463" t="n">
        <v>10000.0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66666.66666666667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6000.0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340.766287249849</v>
      </c>
      <c r="E33" s="220"/>
      <c r="F33" s="67"/>
      <c r="G33" s="223" t="s">
        <v>365</v>
      </c>
      <c r="H33" s="466" t="n">
        <f aca="false">E21-E11</f>
        <v>18875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290.766287249849</v>
      </c>
      <c r="B36" s="107" t="n">
        <f aca="false">IF(B26="YES",H42,"")</f>
        <v>50</v>
      </c>
      <c r="C36" s="225"/>
      <c r="D36" s="188" t="n">
        <f aca="false">H31</f>
        <v>14075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18875</v>
      </c>
      <c r="I39" s="242" t="n">
        <f aca="false">(I48*H46)+H44</f>
        <v>53179.8349839542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14075</v>
      </c>
      <c r="B40" s="111" t="n">
        <f aca="false">IF(B26="YES",H42,"0")</f>
        <v>50</v>
      </c>
      <c r="C40" s="111"/>
      <c r="D40" s="188" t="n">
        <f aca="false">I32</f>
        <v>1800</v>
      </c>
      <c r="E40" s="220"/>
      <c r="F40" s="67"/>
      <c r="G40" s="67" t="s">
        <v>116</v>
      </c>
      <c r="H40" s="242" t="n">
        <f aca="false">A40/1.2</f>
        <v>11729.1666666667</v>
      </c>
      <c r="I40" s="242" t="n">
        <f aca="false">H39-I39</f>
        <v>-34304.8349839542</v>
      </c>
      <c r="J40" s="67" t="n">
        <v>0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9458.10797424941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30.0</v>
      </c>
      <c r="B45" s="219"/>
      <c r="C45" s="469" t="n">
        <v>30.0</v>
      </c>
      <c r="D45" s="469"/>
      <c r="E45" s="220"/>
      <c r="F45" s="67"/>
      <c r="G45" s="67" t="s">
        <v>383</v>
      </c>
      <c r="H45" s="242" t="n">
        <f aca="false">(H39-H44)</f>
        <v>9416.89202575059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290.766287249849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340.766287249849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340.766287249849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385</v>
      </c>
      <c r="B60" s="219" t="n">
        <f aca="false">E19</f>
        <v>22650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37405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10000.0</v>
      </c>
      <c r="D64" s="294" t="n">
        <f aca="false">B64</f>
        <v>10000</v>
      </c>
      <c r="E64" s="472" t="n">
        <f aca="false">D64/(B58+B57)</f>
        <v>277.777777777778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300.0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238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165.0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0.0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508.75</v>
      </c>
      <c r="C76" s="219"/>
      <c r="D76" s="294" t="n">
        <f aca="false">B76</f>
        <v>508.75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479"/>
      <c r="D80" s="294" t="n">
        <f aca="false">B80</f>
        <v>200</v>
      </c>
      <c r="E80" s="472" t="n">
        <f aca="false">(D73+D76+D79+D80)/(B58+B57)</f>
        <v>35.7986111111111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11955.4166666667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332.094907407407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290.766287249849</v>
      </c>
      <c r="C83" s="479"/>
      <c r="D83" s="219"/>
      <c r="E83" s="472" t="n">
        <f aca="false">B83+E80+E77+E64</f>
        <v>616.688355151083</v>
      </c>
      <c r="F83" s="67"/>
      <c r="G83" s="309" t="s">
        <v>114</v>
      </c>
      <c r="H83" s="310" t="n">
        <f aca="false">H47</f>
        <v>290.766287249849</v>
      </c>
      <c r="I83" s="219"/>
      <c r="J83" s="219"/>
      <c r="K83" s="220"/>
      <c r="L83" s="67"/>
      <c r="M83" s="309" t="s">
        <v>114</v>
      </c>
      <c r="N83" s="310" t="n">
        <f aca="false">H47</f>
        <v>290.766287249849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22423.0030076612</v>
      </c>
      <c r="C85" s="479"/>
      <c r="D85" s="479"/>
      <c r="E85" s="472" t="n">
        <f aca="false">B85/(B58+B57)</f>
        <v>622.861194657256</v>
      </c>
      <c r="F85" s="67"/>
      <c r="G85" s="291" t="s">
        <v>124</v>
      </c>
      <c r="H85" s="135" t="n">
        <f aca="false">((H83*H29)+H81)*1.2</f>
        <v>13840.0036091935</v>
      </c>
      <c r="I85" s="219"/>
      <c r="J85" s="219"/>
      <c r="K85" s="220"/>
      <c r="L85" s="67"/>
      <c r="M85" s="291" t="s">
        <v>124</v>
      </c>
      <c r="N85" s="135" t="n">
        <f aca="false">((N83*H29)+N81)</f>
        <v>11189.5863409946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189.94879514356</v>
      </c>
      <c r="C86" s="479" t="s">
        <v>241</v>
      </c>
      <c r="D86" s="219"/>
      <c r="E86" s="472" t="n">
        <f aca="false">B86/(B58+B57)</f>
        <v>5.27635542065445</v>
      </c>
      <c r="F86" s="67"/>
      <c r="G86" s="218" t="s">
        <v>125</v>
      </c>
      <c r="H86" s="304" t="n">
        <f aca="false">((((H83*H29)+H81))/(1-H70))*H70</f>
        <v>97.7007112387599</v>
      </c>
      <c r="I86" s="219"/>
      <c r="J86" s="219"/>
      <c r="K86" s="220"/>
      <c r="L86" s="67"/>
      <c r="M86" s="218" t="s">
        <v>125</v>
      </c>
      <c r="N86" s="304" t="n">
        <f aca="false">(N85/(1-N70))*N70</f>
        <v>94.7887507708292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22612.9518028048</v>
      </c>
      <c r="C87" s="479"/>
      <c r="D87" s="481"/>
      <c r="E87" s="472" t="n">
        <f aca="false">E86+E85</f>
        <v>628.137550077911</v>
      </c>
      <c r="F87" s="67"/>
      <c r="G87" s="288" t="s">
        <v>126</v>
      </c>
      <c r="H87" s="137" t="n">
        <f aca="false">IF(H110="YES",((H85+H86)-K114),(H85+H86))</f>
        <v>13937.7043204322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11284.3750917654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65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63.2195121951219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52.6829268292683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628.137550077911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339.94400781542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275.228660774765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693.137550077911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403.163520010542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327.911587604034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1000.0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400.0</v>
      </c>
      <c r="C102" s="111"/>
      <c r="D102" s="111" t="n">
        <v>200.0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400</v>
      </c>
      <c r="B105" s="318" t="n">
        <v>0.3</v>
      </c>
      <c r="C105" s="318"/>
      <c r="D105" s="111" t="n">
        <v>200.0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((E118*1.2)+E117)-E114</f>
        <v>1239.988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339.94400781542</v>
      </c>
      <c r="H127" s="181" t="n">
        <f aca="false">IF(G105="YES",H89*H57,0)</f>
        <v>379.317073170732</v>
      </c>
      <c r="I127" s="181"/>
      <c r="J127" s="338" t="n">
        <f aca="false">H91</f>
        <v>403.163520010542</v>
      </c>
      <c r="K127" s="220"/>
      <c r="L127" s="67"/>
      <c r="M127" s="337" t="n">
        <f aca="false">N90</f>
        <v>275.228660774765</v>
      </c>
      <c r="N127" s="181" t="n">
        <f aca="false">IF(M105="YES",N89*N57,0)</f>
        <v>316.09756097561</v>
      </c>
      <c r="O127" s="181"/>
      <c r="P127" s="181" t="n">
        <f aca="false">N91</f>
        <v>327.911587604034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628.137550077911</v>
      </c>
      <c r="B128" s="325" t="n">
        <f aca="false">IF(A105="YES",B89,0)</f>
        <v>65</v>
      </c>
      <c r="C128" s="329"/>
      <c r="D128" s="325" t="n">
        <f aca="false">B91</f>
        <v>693.137550077911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628.137550077911</v>
      </c>
      <c r="C131" s="321"/>
      <c r="D131" s="42" t="n">
        <f aca="false">IF(A105="YES",B89*B57,0)</f>
        <v>65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2039.66404689252</v>
      </c>
      <c r="H133" s="107" t="n">
        <f aca="false">IF(G105="YES",H89*H57,0)</f>
        <v>379.317073170732</v>
      </c>
      <c r="I133" s="225"/>
      <c r="J133" s="188" t="n">
        <f aca="false">H91*H57</f>
        <v>2418.98112006325</v>
      </c>
      <c r="K133" s="220"/>
      <c r="L133" s="67"/>
      <c r="M133" s="189" t="n">
        <f aca="false">N90*N57</f>
        <v>1651.37196464859</v>
      </c>
      <c r="N133" s="107" t="n">
        <f aca="false">IF(M105="YES",N89*N57,0)</f>
        <v>316.09756097561</v>
      </c>
      <c r="O133" s="225"/>
      <c r="P133" s="188" t="n">
        <f aca="false">N91*N57</f>
        <v>1967.4695256242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693.137550077911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628.137550077911</v>
      </c>
      <c r="B137" s="42" t="n">
        <f aca="false">IF(A105="YES",B89,0)</f>
        <v>65</v>
      </c>
      <c r="C137" s="321"/>
      <c r="D137" s="42" t="n">
        <f aca="false">B91</f>
        <v>693.137550077911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22.443</v>
      </c>
      <c r="B140" s="347" t="n">
        <f aca="false">IF(A105="YES",B61*0.000002,0)*100</f>
        <v>7.481</v>
      </c>
      <c r="C140" s="348"/>
      <c r="D140" s="347" t="n">
        <f aca="false">A140+B140</f>
        <v>29.924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554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403.163520010542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327.911587604034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693.137550077911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628.137550077911</v>
      </c>
      <c r="B177" s="362" t="n">
        <f aca="false">IF(A105="YES",B89,0)</f>
        <v>65</v>
      </c>
      <c r="C177" s="364"/>
      <c r="D177" s="362" t="n">
        <f aca="false">B91</f>
        <v>693.137550077911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628.137550077911</v>
      </c>
      <c r="C180" s="360"/>
      <c r="D180" s="107" t="n">
        <f aca="false">IF(A105="YES",B89*B57,0)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693.137550077911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628.137550077911</v>
      </c>
      <c r="B186" s="107" t="n">
        <f aca="false">IF(A105="YES",B89,0)</f>
        <v>65</v>
      </c>
      <c r="C186" s="360"/>
      <c r="D186" s="107" t="n">
        <f aca="false">B91</f>
        <v>693.137550077911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22.443</v>
      </c>
      <c r="B189" s="372" t="n">
        <f aca="false">B140</f>
        <v>7.481</v>
      </c>
      <c r="C189" s="373"/>
      <c r="D189" s="372" t="n">
        <f aca="false">A189+B189</f>
        <v>29.924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554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0.07</v>
      </c>
      <c r="C209" s="325" t="s">
        <v>226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879.99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10879.98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10000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10879.98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189.94879514356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1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</v>
      </c>
      <c r="C4" s="128" t="n">
        <v>0</v>
      </c>
      <c r="D4" s="128" t="n">
        <v>0</v>
      </c>
      <c r="E4" s="128"/>
      <c r="F4" s="128" t="n">
        <v>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 t="n">
        <v>0</v>
      </c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 t="n">
        <v>23125</v>
      </c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 t="n">
        <v>0</v>
      </c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 t="n">
        <v>0</v>
      </c>
      <c r="C13" s="158"/>
      <c r="D13" s="158"/>
      <c r="E13" s="158" t="n">
        <v>585</v>
      </c>
      <c r="F13" s="158"/>
      <c r="G13" s="159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396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258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57" t="s">
        <v>6</v>
      </c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73697.9914833806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0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63640.1367407538</v>
      </c>
      <c r="C88" s="97" t="n">
        <f aca="false">B81-B86</f>
        <v>63640.1367407538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2318.69859749201</v>
      </c>
      <c r="C89" s="97" t="n">
        <f aca="false">(B88/B87)</f>
        <v>2318.69859749201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74198.3551197442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74198.3551197442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2318.69859749201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2318.69859749201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1200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70219.988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180" t="n">
        <f aca="false">B95</f>
        <v>2318.69859749201</v>
      </c>
      <c r="B167" s="181" t="str">
        <f aca="false">B94</f>
        <v>0</v>
      </c>
      <c r="C167" s="178"/>
      <c r="D167" s="178"/>
      <c r="E167" s="181" t="n">
        <f aca="false">B96</f>
        <v>2318.69859749201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n">
        <f aca="false">B29</f>
        <v>12345</v>
      </c>
      <c r="B170" s="184" t="n">
        <f aca="false">B30</f>
        <v>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70219.988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9978.36711974423</v>
      </c>
      <c r="B182" s="107" t="str">
        <f aca="false">B114</f>
        <v>239.99</v>
      </c>
      <c r="C182" s="107"/>
      <c r="D182" s="27"/>
      <c r="E182" s="107" t="n">
        <f aca="false">E179+A182+B182+A185</f>
        <v>80448.3451197443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16.40879712</v>
      </c>
      <c r="B188" s="107" t="n">
        <f aca="false">(G158*B67)/1.2</f>
        <v>0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99.9916666666667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2318.69859749201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4567.21199999999</v>
      </c>
      <c r="B201" s="190" t="n">
        <f aca="false">E179+A201+B182+A185</f>
        <v>75037.19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2318.69859749201</v>
      </c>
      <c r="B212" s="181" t="str">
        <f aca="false">B167</f>
        <v>0</v>
      </c>
      <c r="C212" s="178"/>
      <c r="D212" s="178"/>
      <c r="E212" s="181" t="n">
        <f aca="false">E167</f>
        <v>2318.69859749201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70219.988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9978.36711974423</v>
      </c>
      <c r="B224" s="107" t="str">
        <f aca="false">B182</f>
        <v>239.99</v>
      </c>
      <c r="C224" s="107"/>
      <c r="D224" s="117"/>
      <c r="E224" s="107" t="n">
        <f aca="false">E182</f>
        <v>80448.3451197443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2318.69859749201</v>
      </c>
      <c r="B230" s="107" t="str">
        <f aca="false">B167</f>
        <v>0</v>
      </c>
      <c r="C230" s="190"/>
      <c r="D230" s="190"/>
      <c r="E230" s="107" t="n">
        <f aca="false">E167</f>
        <v>2318.69859749201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J18*0.000006*100*1.2</f>
        <v>49.22639136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16.40879712</v>
      </c>
      <c r="B236" s="107" t="n">
        <f aca="false">E233+A236</f>
        <v>65.63518848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0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99.9916666666667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5421.15511974425</v>
      </c>
      <c r="C254" s="201"/>
      <c r="D254" s="202" t="s">
        <v>227</v>
      </c>
      <c r="E254" s="202"/>
      <c r="F254" s="204" t="n">
        <f aca="false">F261+F267+F269+B270+B271</f>
        <v>0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5521.14678641091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5421.15511974425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</v>
      </c>
      <c r="C261" s="36"/>
      <c r="D261" s="170" t="s">
        <v>232</v>
      </c>
      <c r="E261" s="170"/>
      <c r="F261" s="155" t="n">
        <f aca="false">B68</f>
        <v>0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5521.14678641091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9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</v>
      </c>
      <c r="C4" s="128" t="n">
        <v>0</v>
      </c>
      <c r="D4" s="128" t="n">
        <v>0</v>
      </c>
      <c r="E4" s="128"/>
      <c r="F4" s="128" t="n">
        <v>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 t="n">
        <v>0</v>
      </c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396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258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73697.9914833806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0.03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2106.59964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63640.1367407538</v>
      </c>
      <c r="C88" s="97" t="n">
        <f aca="false">B81-B86</f>
        <v>63640.1367407538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2318.69859749201</v>
      </c>
      <c r="C89" s="97" t="n">
        <f aca="false">(B88/B87)</f>
        <v>2318.69859749201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74198.3551197442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74198.3551197442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2318.69859749201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2318.69859749201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/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245</v>
      </c>
      <c r="C114" s="111"/>
      <c r="D114" s="111"/>
      <c r="E114" s="111" t="s">
        <v>27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 t="s">
        <v>27</v>
      </c>
      <c r="B120" s="120" t="n">
        <v>0</v>
      </c>
      <c r="C120" s="121" t="s">
        <v>158</v>
      </c>
      <c r="D120" s="120" t="s">
        <v>157</v>
      </c>
      <c r="E120" s="122" t="n">
        <v>0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1200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70219.988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 t="n">
        <v>0</v>
      </c>
      <c r="F161" s="27"/>
      <c r="G161" s="27" t="n">
        <v>0</v>
      </c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 t="n">
        <v>0</v>
      </c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180" t="n">
        <f aca="false">B95</f>
        <v>2318.69859749201</v>
      </c>
      <c r="B167" s="181" t="str">
        <f aca="false">B94</f>
        <v>0</v>
      </c>
      <c r="C167" s="178"/>
      <c r="D167" s="178"/>
      <c r="E167" s="181" t="n">
        <f aca="false">B96</f>
        <v>2318.69859749201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33</v>
      </c>
      <c r="B170" s="184" t="str">
        <f aca="false">H30</f>
        <v>5000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70219.988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9978.36711974423</v>
      </c>
      <c r="B182" s="107" t="str">
        <f aca="false">B114</f>
        <v>199.99</v>
      </c>
      <c r="C182" s="107"/>
      <c r="D182" s="27"/>
      <c r="E182" s="107" t="n">
        <f aca="false">E179+A182+(B182*1.2)+A185</f>
        <v>80448.3431197443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13.6739976</v>
      </c>
      <c r="B188" s="107" t="n">
        <f aca="false">(G158*B67)/1.2</f>
        <v>1755.4997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1855.4897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2318.69859749201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4567.21199999999</v>
      </c>
      <c r="B201" s="190" t="n">
        <f aca="false">E179+A201+(B182*1.2)+A185</f>
        <v>75037.188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2318.69859749201</v>
      </c>
      <c r="B212" s="181" t="str">
        <f aca="false">B167</f>
        <v>0</v>
      </c>
      <c r="C212" s="178"/>
      <c r="D212" s="178"/>
      <c r="E212" s="181" t="n">
        <f aca="false">E167</f>
        <v>2318.69859749201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70219.988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9978.36711974423</v>
      </c>
      <c r="B224" s="107" t="str">
        <f aca="false">B182</f>
        <v>199.99</v>
      </c>
      <c r="C224" s="107"/>
      <c r="D224" s="117"/>
      <c r="E224" s="107" t="n">
        <f aca="false">E182</f>
        <v>80448.3431197443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2318.69859749201</v>
      </c>
      <c r="B230" s="107" t="str">
        <f aca="false">B167</f>
        <v>0</v>
      </c>
      <c r="C230" s="190"/>
      <c r="D230" s="190"/>
      <c r="E230" s="107" t="n">
        <f aca="false">E167</f>
        <v>2318.69859749201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</f>
        <v>41.0219928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13.6739976</v>
      </c>
      <c r="B236" s="107" t="n">
        <f aca="false">E233+A236</f>
        <v>54.6959904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1755.4997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1855.4897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5421.15511974425</v>
      </c>
      <c r="C254" s="201"/>
      <c r="D254" s="202" t="s">
        <v>227</v>
      </c>
      <c r="E254" s="202"/>
      <c r="F254" s="204" t="n">
        <f aca="false">F261+F267+F269+B270+B271</f>
        <v>2106.59964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3414.54547974425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5421.15511974425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0.03</v>
      </c>
      <c r="C261" s="36"/>
      <c r="D261" s="170" t="s">
        <v>232</v>
      </c>
      <c r="E261" s="170"/>
      <c r="F261" s="155" t="n">
        <f aca="false">B68</f>
        <v>2106.59964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3414.54547974425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</v>
      </c>
      <c r="C4" s="128" t="n">
        <v>0</v>
      </c>
      <c r="D4" s="128" t="n">
        <v>0</v>
      </c>
      <c r="E4" s="128"/>
      <c r="F4" s="128" t="n">
        <v>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 t="n">
        <v>0</v>
      </c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396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258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73697.9914833806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0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63640.1367407538</v>
      </c>
      <c r="C88" s="97" t="n">
        <f aca="false">B81-B86</f>
        <v>63640.1367407538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2318.69859749201</v>
      </c>
      <c r="C89" s="97" t="n">
        <f aca="false">(B88/B87)</f>
        <v>2318.69859749201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74198.3551197442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74198.3551197442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2318.69859749201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2318.69859749201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281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5</v>
      </c>
      <c r="C108" s="111"/>
      <c r="D108" s="111"/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1200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70219.988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266" t="n">
        <f aca="false">B95</f>
        <v>2318.69859749201</v>
      </c>
      <c r="B167" s="181" t="str">
        <f aca="false">B94</f>
        <v>0</v>
      </c>
      <c r="C167" s="178"/>
      <c r="D167" s="178"/>
      <c r="E167" s="181" t="n">
        <f aca="false">B96</f>
        <v>2318.69859749201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33</v>
      </c>
      <c r="B170" s="233" t="str">
        <f aca="false">H30</f>
        <v>5000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70219.988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9978.36711974423</v>
      </c>
      <c r="B182" s="107" t="str">
        <f aca="false">B114</f>
        <v>239.99</v>
      </c>
      <c r="C182" s="107"/>
      <c r="D182" s="27"/>
      <c r="E182" s="107" t="n">
        <f aca="false">E179+A182+B182+A185</f>
        <v>80448.3451197443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16.40879712</v>
      </c>
      <c r="B188" s="107" t="n">
        <f aca="false">(G158*B67)/1.2</f>
        <v>0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99.9916666666667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2318.69859749201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4567.21199999999</v>
      </c>
      <c r="B201" s="190" t="n">
        <f aca="false">E179+A201+B182+A185</f>
        <v>75037.19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2318.69859749201</v>
      </c>
      <c r="B212" s="181" t="str">
        <f aca="false">B167</f>
        <v>0</v>
      </c>
      <c r="C212" s="178"/>
      <c r="D212" s="178"/>
      <c r="E212" s="181" t="n">
        <f aca="false">E167</f>
        <v>2318.69859749201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70219.988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9978.36711974423</v>
      </c>
      <c r="B224" s="107" t="str">
        <f aca="false">B182</f>
        <v>239.99</v>
      </c>
      <c r="C224" s="107"/>
      <c r="D224" s="117"/>
      <c r="E224" s="107" t="n">
        <f aca="false">E182</f>
        <v>80448.3451197443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2318.69859749201</v>
      </c>
      <c r="B230" s="107" t="str">
        <f aca="false">B167</f>
        <v>0</v>
      </c>
      <c r="C230" s="190"/>
      <c r="D230" s="190"/>
      <c r="E230" s="107" t="n">
        <f aca="false">E167</f>
        <v>2318.69859749201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16.40879712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0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99.9916666666667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5421.15511974425</v>
      </c>
      <c r="C254" s="201"/>
      <c r="D254" s="202" t="s">
        <v>227</v>
      </c>
      <c r="E254" s="202"/>
      <c r="F254" s="204" t="n">
        <f aca="false">F261+F267+F269+B270+B271</f>
        <v>0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5521.14678641091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5421.15511974425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</v>
      </c>
      <c r="C261" s="36"/>
      <c r="D261" s="170" t="s">
        <v>232</v>
      </c>
      <c r="E261" s="170"/>
      <c r="F261" s="155" t="n">
        <f aca="false">B68</f>
        <v>0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5521.14678641091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3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8.19</v>
      </c>
      <c r="E32" s="230"/>
      <c r="F32" s="67"/>
      <c r="G32" s="231" t="s">
        <v>253</v>
      </c>
      <c r="H32" s="229" t="str">
        <f aca="false">A41</f>
        <v>8.19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508.19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397</v>
      </c>
      <c r="B41" s="245" t="n">
        <f aca="false">IF(B38="YES",D38+A41,D38)</f>
        <v>508.19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str">
        <f aca="false">H32</f>
        <v>8.19</v>
      </c>
      <c r="I44" s="402" t="n">
        <f aca="false">((A41*(B35-1))+D32)/B35</f>
        <v>8.19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509.19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509.19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288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289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6112.56582666667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509.380485555556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12124.5658266667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102.709109463493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12227.2749361302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10.647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1018.93957801085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1029.58657801085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 t="s">
        <v>138</v>
      </c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350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n">
        <v>199.99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 t="s">
        <v>27</v>
      </c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28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 t="n">
        <v>0</v>
      </c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1018.93957801085</v>
      </c>
      <c r="B134" s="325" t="n">
        <f aca="false">IF(A111="YES",B95,0)</f>
        <v>10.647</v>
      </c>
      <c r="C134" s="330"/>
      <c r="D134" s="325" t="n">
        <f aca="false">B97</f>
        <v>1029.58657801085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1018.93957801085</v>
      </c>
      <c r="C137" s="321"/>
      <c r="D137" s="42" t="n">
        <f aca="false">IF(A111="YES",B95*B63,0)</f>
        <v>10.647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1029.58657801085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1018.93957801085</v>
      </c>
      <c r="B143" s="42" t="n">
        <f aca="false">IF(A111="YES",B95,0)</f>
        <v>10.647</v>
      </c>
      <c r="C143" s="321"/>
      <c r="D143" s="42" t="n">
        <f aca="false">B97</f>
        <v>1029.58657801085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1.9656</v>
      </c>
      <c r="H148" s="107" t="n">
        <f aca="false">G108-100</f>
        <v>139.988</v>
      </c>
      <c r="I148" s="107"/>
      <c r="J148" s="107" t="n">
        <f aca="false">(H145+J145+G148+H148)-H151</f>
        <v>1506.82855</v>
      </c>
      <c r="K148" s="109"/>
      <c r="L148" s="67"/>
      <c r="M148" s="115" t="n">
        <f aca="false">IF(M111="YES",((A41*N111)*0.1)*(M133),0)</f>
        <v>1.9656</v>
      </c>
      <c r="N148" s="107" t="n">
        <f aca="false">M108-100</f>
        <v>99.99</v>
      </c>
      <c r="O148" s="107"/>
      <c r="P148" s="107" t="n">
        <f aca="false">(N145+P145+M148+N148)-N151</f>
        <v>1466.83055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IF(A111="YES",(A41/100*B111)*B131,0)*0.1</f>
        <v>2.9484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602.9384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1029.58657801085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1018.93957801085</v>
      </c>
      <c r="B177" s="362" t="n">
        <f aca="false">IF(A111="YES",B95,0)</f>
        <v>10.647</v>
      </c>
      <c r="C177" s="365"/>
      <c r="D177" s="362" t="n">
        <f aca="false">B91</f>
        <v>12124.5658266667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1018.93957801085</v>
      </c>
      <c r="C180" s="360"/>
      <c r="D180" s="107" t="n">
        <f aca="false">IF(A111="YES",B95*B63,0)</f>
        <v>10.647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1029.58657801085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1018.93957801085</v>
      </c>
      <c r="B186" s="107" t="n">
        <f aca="false">IF(A111="YES",B95,0)</f>
        <v>10.647</v>
      </c>
      <c r="C186" s="360"/>
      <c r="D186" s="107" t="n">
        <f aca="false">B97</f>
        <v>1029.58657801085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2.9484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602.9384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369.474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5055.37316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5055.37316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29.484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102.709109463493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8.19</v>
      </c>
      <c r="E32" s="230"/>
      <c r="F32" s="67"/>
      <c r="G32" s="231" t="s">
        <v>253</v>
      </c>
      <c r="H32" s="229" t="str">
        <f aca="false">A41</f>
        <v>8.19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508.19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397</v>
      </c>
      <c r="B41" s="245" t="n">
        <f aca="false">IF(B38="YES",D38+A41,D38)</f>
        <v>508.19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str">
        <f aca="false">H32</f>
        <v>8.19</v>
      </c>
      <c r="I44" s="402" t="n">
        <f aca="false">((A41*(B35-1))+D32)/B35</f>
        <v>8.19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509.19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509.19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</v>
      </c>
      <c r="C80" s="219"/>
      <c r="D80" s="219"/>
      <c r="E80" s="436" t="n">
        <f aca="false">E79+D82</f>
        <v>703.333333333333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355</v>
      </c>
      <c r="C81" s="219"/>
      <c r="D81" s="219"/>
      <c r="E81" s="220" t="n">
        <f aca="false">E80/12</f>
        <v>58.6111111111111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14601.478992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14704.5551849649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12.7764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1225.37959874708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1238.15599874708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 t="s">
        <v>138</v>
      </c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293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n">
        <v>239.99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 t="s">
        <v>27</v>
      </c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28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 t="n">
        <v>0</v>
      </c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1225.37959874708</v>
      </c>
      <c r="B134" s="325" t="n">
        <f aca="false">IF(A111="YES",B95,0)</f>
        <v>12.7764</v>
      </c>
      <c r="C134" s="330"/>
      <c r="D134" s="325" t="n">
        <f aca="false">B97</f>
        <v>1238.15599874708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1225.37959874708</v>
      </c>
      <c r="C137" s="321"/>
      <c r="D137" s="42" t="n">
        <f aca="false">IF(A111="YES",B95*B63,0)</f>
        <v>12.7764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1238.15599874708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1225.37959874708</v>
      </c>
      <c r="B143" s="42" t="n">
        <f aca="false">IF(A111="YES",B95,0)</f>
        <v>12.7764</v>
      </c>
      <c r="C143" s="321"/>
      <c r="D143" s="42" t="n">
        <f aca="false">B97</f>
        <v>1238.15599874708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49.22639136</v>
      </c>
      <c r="B146" s="347" t="n">
        <f aca="false">G18*0.000002*1.2*100</f>
        <v>16.40879712</v>
      </c>
      <c r="C146" s="348"/>
      <c r="D146" s="347" t="n">
        <f aca="false">A146+B146</f>
        <v>65.63518848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1.9656</v>
      </c>
      <c r="H148" s="107" t="n">
        <f aca="false">G108-100</f>
        <v>139.988</v>
      </c>
      <c r="I148" s="107"/>
      <c r="J148" s="107" t="n">
        <f aca="false">(H145+J145+G148+H148)-H151</f>
        <v>1506.82855</v>
      </c>
      <c r="K148" s="109"/>
      <c r="L148" s="67"/>
      <c r="M148" s="115" t="n">
        <f aca="false">IF(M111="YES",((A41*N111)*0.1)*(M133),0)</f>
        <v>1.9656</v>
      </c>
      <c r="N148" s="107" t="n">
        <f aca="false">M108-100</f>
        <v>99.99</v>
      </c>
      <c r="O148" s="107"/>
      <c r="P148" s="107" t="n">
        <f aca="false">(N145+P145+M148+N148)-N151</f>
        <v>1466.83055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IF(A111="YES",(A41/100*B111)*B131,0)*0.1</f>
        <v>2.9484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602.940066666667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1238.15599874708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1225.37959874708</v>
      </c>
      <c r="B177" s="362" t="n">
        <f aca="false">IF(A111="YES",B95,0)</f>
        <v>12.7764</v>
      </c>
      <c r="C177" s="365"/>
      <c r="D177" s="362" t="n">
        <f aca="false">B91</f>
        <v>14601.478992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1225.37959874708</v>
      </c>
      <c r="C180" s="360"/>
      <c r="D180" s="107" t="n">
        <f aca="false">IF(A111="YES",B95*B63,0)</f>
        <v>12.7764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1238.15599874708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1225.37959874708</v>
      </c>
      <c r="B186" s="107" t="n">
        <f aca="false">IF(A111="YES",B95,0)</f>
        <v>12.7764</v>
      </c>
      <c r="C186" s="360"/>
      <c r="D186" s="107" t="n">
        <f aca="false">B97</f>
        <v>1238.15599874708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G18*0.000002*1.2*100</f>
        <v>16.40879712</v>
      </c>
      <c r="C189" s="373"/>
      <c r="D189" s="372" t="n">
        <f aca="false">A189+B189</f>
        <v>65.63518848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2.9484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602.940066666667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369.475666666667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5055.37482666667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5055.37482666667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29.484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-28758.33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-28758.33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84254.16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 t="n">
        <v>23125</v>
      </c>
      <c r="C9" s="491"/>
      <c r="D9" s="491"/>
      <c r="E9" s="507" t="n">
        <f aca="false">B7+C7+D7+E3</f>
        <v>85087.49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85733.32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 t="n">
        <v>0</v>
      </c>
      <c r="C11" s="493"/>
      <c r="D11" s="493"/>
      <c r="E11" s="304" t="n">
        <f aca="false">(E9+E10)*20%</f>
        <v>17146.664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 t="n">
        <v>0</v>
      </c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103529.984</v>
      </c>
      <c r="F15" s="67"/>
      <c r="G15" s="277" t="n">
        <f aca="false">E15</f>
        <v>103529.984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103529.984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8.19</v>
      </c>
      <c r="E32" s="230"/>
      <c r="F32" s="67"/>
      <c r="G32" s="231" t="s">
        <v>253</v>
      </c>
      <c r="H32" s="229" t="str">
        <f aca="false">A41</f>
        <v>8.19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508.19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397</v>
      </c>
      <c r="B41" s="245" t="n">
        <f aca="false">IF(B38="YES",D38+A41,D38)</f>
        <v>508.19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str">
        <f aca="false">H32</f>
        <v>8.19</v>
      </c>
      <c r="I44" s="402" t="n">
        <f aca="false">((A41*(B35-1))+D32)/B35</f>
        <v>8.19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509.19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509.19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9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3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</v>
      </c>
      <c r="C80" s="219"/>
      <c r="D80" s="219"/>
      <c r="E80" s="436" t="n">
        <f aca="false">E79+D82</f>
        <v>703.333333333333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355</v>
      </c>
      <c r="C81" s="219"/>
      <c r="D81" s="219"/>
      <c r="E81" s="220" t="n">
        <f aca="false">E80/12</f>
        <v>58.6111111111111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12167.89916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12270.9753529649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10.647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1022.58127941374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1033.22827941374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360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s">
        <v>361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3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1022.58127941374</v>
      </c>
      <c r="B134" s="325" t="n">
        <f aca="false">IF(A111="YES",B95,0)</f>
        <v>10.647</v>
      </c>
      <c r="C134" s="330"/>
      <c r="D134" s="325" t="n">
        <f aca="false">B97</f>
        <v>1033.22827941374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Terminal pause with 9 down </v>
      </c>
      <c r="B137" s="42" t="n">
        <f aca="false">B96*B63</f>
        <v>9203.23151472368</v>
      </c>
      <c r="C137" s="321"/>
      <c r="D137" s="42" t="n">
        <f aca="false">IF(A111="YES",B95*B63,0)</f>
        <v>95.823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9299.05451472368</v>
      </c>
      <c r="B140" s="42" t="n">
        <f aca="false">E120</f>
        <v>0</v>
      </c>
      <c r="C140" s="321"/>
      <c r="D140" s="341" t="n">
        <f aca="false">B64</f>
        <v>3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0.621179904</v>
      </c>
      <c r="H142" s="107" t="n">
        <f aca="false">IF(G111="YES",E15*0.000002,0)</f>
        <v>0.207059968</v>
      </c>
      <c r="I142" s="107"/>
      <c r="J142" s="107" t="n">
        <f aca="false">G142+H142</f>
        <v>0.828239872</v>
      </c>
      <c r="K142" s="109"/>
      <c r="L142" s="67"/>
      <c r="M142" s="115" t="n">
        <f aca="false">E15*0.000006</f>
        <v>0.621179904</v>
      </c>
      <c r="N142" s="107" t="n">
        <f aca="false">IF(M111="YES",E15*0.000002,0)</f>
        <v>0.207059968</v>
      </c>
      <c r="O142" s="107"/>
      <c r="P142" s="107" t="n">
        <f aca="false">M142+N142</f>
        <v>0.828239872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1022.58127941374</v>
      </c>
      <c r="B143" s="42" t="n">
        <f aca="false">IF(A111="YES",B95,0)</f>
        <v>10.647</v>
      </c>
      <c r="C143" s="321"/>
      <c r="D143" s="42" t="n">
        <f aca="false">B97</f>
        <v>1033.22827941374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1.9656</v>
      </c>
      <c r="H148" s="107" t="n">
        <f aca="false">G108-100</f>
        <v>139.988</v>
      </c>
      <c r="I148" s="107"/>
      <c r="J148" s="107" t="n">
        <f aca="false">(H145+J145+G148+H148)-H151</f>
        <v>1506.82855</v>
      </c>
      <c r="K148" s="109"/>
      <c r="L148" s="67"/>
      <c r="M148" s="115" t="n">
        <f aca="false">IF(M111="YES",((A41*N111)*0.1)*(M133),0)</f>
        <v>1.9656</v>
      </c>
      <c r="N148" s="107" t="n">
        <f aca="false">M108-100</f>
        <v>99.99</v>
      </c>
      <c r="O148" s="107"/>
      <c r="P148" s="107" t="n">
        <f aca="false">(N145+P145+M148+N148)-N151</f>
        <v>1466.83055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IF(A111="YES",(A41/100*B111)*B131,0)*0.1</f>
        <v>2.9484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602.9384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1033.22827941374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1022.58127941374</v>
      </c>
      <c r="B177" s="362" t="n">
        <f aca="false">IF(A111="YES",B95,0)</f>
        <v>10.647</v>
      </c>
      <c r="C177" s="365"/>
      <c r="D177" s="362" t="n">
        <f aca="false">B91</f>
        <v>12167.89916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Terminal pause with 9 down </v>
      </c>
      <c r="B180" s="107" t="n">
        <f aca="false">B96*B63</f>
        <v>9203.23151472368</v>
      </c>
      <c r="C180" s="360"/>
      <c r="D180" s="107" t="n">
        <f aca="false">IF(A111="YES",B95*B63,0)</f>
        <v>95.823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9299.05451472368</v>
      </c>
      <c r="B183" s="107" t="n">
        <f aca="false">E120</f>
        <v>0</v>
      </c>
      <c r="C183" s="360"/>
      <c r="D183" s="368" t="n">
        <f aca="false">B64</f>
        <v>3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1022.58127941374</v>
      </c>
      <c r="B186" s="107" t="n">
        <f aca="false">IF(A111="YES",B95,0)</f>
        <v>10.647</v>
      </c>
      <c r="C186" s="360"/>
      <c r="D186" s="107" t="n">
        <f aca="false">B97</f>
        <v>1033.22827941374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2.9484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602.9384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369.474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5055.37316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5055.37316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29.484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3" colorId="64" zoomScale="95" zoomScaleNormal="95" zoomScalePageLayoutView="100" workbookViewId="0">
      <selection pane="topLeft" activeCell="B70" activeCellId="0" sqref="B70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0.0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06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60</v>
      </c>
      <c r="E32" s="230"/>
      <c r="F32" s="67"/>
      <c r="G32" s="231" t="s">
        <v>253</v>
      </c>
      <c r="H32" s="229" t="str">
        <f aca="false">A41</f>
        <v>60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560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406</v>
      </c>
      <c r="B41" s="245" t="n">
        <f aca="false">IF(B38="YES",D38+A41,D38)</f>
        <v>560</v>
      </c>
      <c r="C41" s="245"/>
      <c r="D41" s="108" t="s">
        <v>410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108" t="s">
        <v>412</v>
      </c>
      <c r="C44" s="108"/>
      <c r="D44" s="108" t="s">
        <v>413</v>
      </c>
      <c r="E44" s="108"/>
      <c r="F44" s="67"/>
      <c r="G44" s="67" t="s">
        <v>267</v>
      </c>
      <c r="H44" s="242" t="str">
        <f aca="false">H32</f>
        <v>60</v>
      </c>
      <c r="I44" s="402" t="n">
        <f aca="false">((A41*(B35-1))+D32)/B35</f>
        <v>60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561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414</v>
      </c>
      <c r="C47" s="435"/>
      <c r="D47" s="108" t="s">
        <v>414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561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347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10000.0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288</v>
      </c>
      <c r="B80" s="438" t="n">
        <v>0.0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289</v>
      </c>
      <c r="B81" s="440" t="n">
        <v>0.0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6112.56582666667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509.380485555556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12124.5658266667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102.709109463493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12227.2749361302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78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1018.93957801085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1096.93957801085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359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400</v>
      </c>
      <c r="B111" s="318" t="n">
        <v>30.0</v>
      </c>
      <c r="C111" s="318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1018.93957801085</v>
      </c>
      <c r="B134" s="325" t="n">
        <f aca="false">IF(A111="YES",B95,0)</f>
        <v>78</v>
      </c>
      <c r="C134" s="330"/>
      <c r="D134" s="325" t="n">
        <f aca="false">B97</f>
        <v>1096.93957801085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1018.93957801085</v>
      </c>
      <c r="C137" s="321"/>
      <c r="D137" s="42" t="n">
        <f aca="false">IF(A111="YES",B95*B63,0)</f>
        <v>78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1096.93957801085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1018.93957801085</v>
      </c>
      <c r="B143" s="42" t="n">
        <f aca="false">IF(A111="YES",B95,0)</f>
        <v>78</v>
      </c>
      <c r="C143" s="321"/>
      <c r="D143" s="42" t="n">
        <f aca="false">B97</f>
        <v>1096.93957801085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14.4</v>
      </c>
      <c r="H148" s="107" t="n">
        <f aca="false">G108-100</f>
        <v>139.988</v>
      </c>
      <c r="I148" s="107"/>
      <c r="J148" s="107" t="n">
        <f aca="false">(H145+J145+G148+H148)-H151</f>
        <v>1519.26295</v>
      </c>
      <c r="K148" s="109"/>
      <c r="L148" s="67"/>
      <c r="M148" s="115" t="n">
        <f aca="false">IF(M111="YES",((A41*N111)*0.1)*(M133),0)</f>
        <v>14.4</v>
      </c>
      <c r="N148" s="107" t="n">
        <f aca="false">M108-100</f>
        <v>99.99</v>
      </c>
      <c r="O148" s="107"/>
      <c r="P148" s="107" t="n">
        <f aca="false">(N145+P145+M148+N148)-N151</f>
        <v>1479.26495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107" t="n">
        <f aca="false">B108</f>
        <v>400</v>
      </c>
      <c r="C154" s="42"/>
      <c r="D154" s="42" t="n">
        <f aca="false">IF(A111="YES",(A41/100*B111)*B131,0)*0.1</f>
        <v>21.6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621.59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1096.93957801085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1018.93957801085</v>
      </c>
      <c r="B177" s="362" t="n">
        <f aca="false">IF(A111="YES",B95,0)</f>
        <v>78</v>
      </c>
      <c r="C177" s="365"/>
      <c r="D177" s="362" t="n">
        <f aca="false">B91</f>
        <v>12124.5658266667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1018.93957801085</v>
      </c>
      <c r="C180" s="360"/>
      <c r="D180" s="107" t="n">
        <f aca="false">IF(A111="YES",B95*B63,0)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1096.93957801085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1018.93957801085</v>
      </c>
      <c r="B186" s="107" t="n">
        <f aca="false">IF(A111="YES",B95,0)</f>
        <v>78</v>
      </c>
      <c r="C186" s="360"/>
      <c r="D186" s="107" t="n">
        <f aca="false">B97</f>
        <v>1096.93957801085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21.6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621.59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555.99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5241.88916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5241.88916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216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102.709109463493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357</v>
      </c>
      <c r="B41" s="245" t="str">
        <f aca="false">IF(B38="YES",D38+A41,D38)</f>
        <v>500</v>
      </c>
      <c r="C41" s="245"/>
      <c r="D41" s="108" t="s">
        <v>343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345</v>
      </c>
      <c r="C44" s="108"/>
      <c r="D44" s="108" t="s">
        <v>357</v>
      </c>
      <c r="E44" s="108"/>
      <c r="F44" s="67"/>
      <c r="G44" s="67" t="s">
        <v>267</v>
      </c>
      <c r="H44" s="242" t="str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358</v>
      </c>
      <c r="C47" s="435"/>
      <c r="D47" s="108" t="s">
        <v>358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</v>
      </c>
      <c r="C80" s="219"/>
      <c r="D80" s="219"/>
      <c r="E80" s="436" t="n">
        <f aca="false">E79+D82</f>
        <v>703.333333333333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355</v>
      </c>
      <c r="C81" s="219"/>
      <c r="D81" s="219"/>
      <c r="E81" s="220" t="n">
        <f aca="false">E80/12</f>
        <v>58.6111111111111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14601.478992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14704.5551849649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1225.37959874708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1225.37959874708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293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1225.37959874708</v>
      </c>
      <c r="B134" s="325" t="n">
        <f aca="false">IF(A111="YES",B95,0)</f>
        <v>0</v>
      </c>
      <c r="C134" s="330"/>
      <c r="D134" s="325" t="n">
        <f aca="false">B97</f>
        <v>1225.37959874708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1225.37959874708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1225.37959874708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1225.37959874708</v>
      </c>
      <c r="B143" s="42" t="n">
        <f aca="false">IF(A111="YES",B95,0)</f>
        <v>0</v>
      </c>
      <c r="C143" s="321"/>
      <c r="D143" s="42" t="n">
        <f aca="false">B97</f>
        <v>1225.37959874708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49.22639136</v>
      </c>
      <c r="B146" s="347" t="n">
        <f aca="false">G18*0.000002*1.2*100</f>
        <v>16.40879712</v>
      </c>
      <c r="C146" s="348"/>
      <c r="D146" s="347" t="n">
        <f aca="false">A146+B146</f>
        <v>65.63518848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1504.86295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1464.86495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599.991666666667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1225.37959874708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1225.37959874708</v>
      </c>
      <c r="B177" s="362" t="n">
        <f aca="false">IF(A111="YES",B95,0)</f>
        <v>0</v>
      </c>
      <c r="C177" s="365"/>
      <c r="D177" s="362" t="n">
        <f aca="false">B97</f>
        <v>1225.37959874708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1225.37959874708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1225.37959874708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1225.37959874708</v>
      </c>
      <c r="B186" s="107" t="n">
        <f aca="false">IF(A111="YES",B95,0)</f>
        <v>0</v>
      </c>
      <c r="C186" s="360"/>
      <c r="D186" s="107" t="n">
        <f aca="false">B97</f>
        <v>1225.37959874708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G18*0.000002*1.2*100</f>
        <v>16.40879712</v>
      </c>
      <c r="C189" s="373"/>
      <c r="D189" s="372" t="n">
        <f aca="false">A189+B189</f>
        <v>65.63518848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599.991666666667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339.991666666667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5025.89082666667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5025.89082666667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253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79</v>
      </c>
      <c r="B41" s="245" t="n">
        <f aca="false">IF(B38="YES",D38+A41,D38)</f>
        <v>550</v>
      </c>
      <c r="C41" s="245"/>
      <c r="D41" s="108" t="s">
        <v>343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345</v>
      </c>
      <c r="C44" s="108"/>
      <c r="D44" s="108" t="s">
        <v>358</v>
      </c>
      <c r="E44" s="108"/>
      <c r="F44" s="67"/>
      <c r="G44" s="67" t="s">
        <v>267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358</v>
      </c>
      <c r="C47" s="435"/>
      <c r="D47" s="108" t="s">
        <v>358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</v>
      </c>
      <c r="C80" s="219"/>
      <c r="D80" s="219"/>
      <c r="E80" s="436" t="n">
        <f aca="false">E79+D82</f>
        <v>703.333333333333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355</v>
      </c>
      <c r="C81" s="219"/>
      <c r="D81" s="219"/>
      <c r="E81" s="220" t="n">
        <f aca="false">E80/12</f>
        <v>58.6111111111111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12167.89916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12270.9753529649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65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1022.58127941374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1087.58127941374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1022.58127941374</v>
      </c>
      <c r="B134" s="325" t="n">
        <f aca="false">IF(A111="YES",B95,0)</f>
        <v>65</v>
      </c>
      <c r="C134" s="330"/>
      <c r="D134" s="325" t="n">
        <f aca="false">B97</f>
        <v>1087.58127941374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1022.58127941374</v>
      </c>
      <c r="C137" s="321"/>
      <c r="D137" s="42" t="n">
        <f aca="false">IF(A111="YES",B95*B63,0)</f>
        <v>65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1087.58127941374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1022.58127941374</v>
      </c>
      <c r="B143" s="42" t="n">
        <f aca="false">IF(A111="YES",B95,0)</f>
        <v>65</v>
      </c>
      <c r="C143" s="321"/>
      <c r="D143" s="42" t="n">
        <f aca="false">B97</f>
        <v>1087.58127941374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1516.86295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1476.86495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IF(A111="YES",(A41/100*B111)*B131,0)*0.1</f>
        <v>18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617.99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1087.58127941374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1022.58127941374</v>
      </c>
      <c r="B177" s="362" t="n">
        <f aca="false">IF(A111="YES",B95,0)</f>
        <v>65</v>
      </c>
      <c r="C177" s="365"/>
      <c r="D177" s="362" t="n">
        <f aca="false">B91</f>
        <v>12167.89916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1022.58127941374</v>
      </c>
      <c r="C180" s="360"/>
      <c r="D180" s="107" t="n">
        <f aca="false">IF(A111="YES",B95*B63,0)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1087.58127941374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1022.58127941374</v>
      </c>
      <c r="B186" s="107" t="n">
        <f aca="false">IF(A111="YES",B95,0)</f>
        <v>65</v>
      </c>
      <c r="C186" s="360"/>
      <c r="D186" s="107" t="n">
        <f aca="false">B97</f>
        <v>1087.58127941374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B154</f>
        <v>400</v>
      </c>
      <c r="C197" s="107"/>
      <c r="D197" s="107" t="n">
        <f aca="false">IF(A111="YES",(A41/100*B111)*B131,0)*0.1</f>
        <v>18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617.99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519.99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5205.88916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5205.88916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180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4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</v>
      </c>
      <c r="C4" s="128" t="n">
        <v>0</v>
      </c>
      <c r="D4" s="128" t="n">
        <v>0</v>
      </c>
      <c r="E4" s="128"/>
      <c r="F4" s="128" t="n">
        <v>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 t="n">
        <v>0</v>
      </c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18.46</v>
      </c>
      <c r="E32" s="230"/>
      <c r="F32" s="67"/>
      <c r="G32" s="231" t="s">
        <v>253</v>
      </c>
      <c r="H32" s="229" t="n">
        <f aca="false">A41</f>
        <v>18.46</v>
      </c>
      <c r="J32" s="48" t="s">
        <v>46</v>
      </c>
      <c r="K32" s="267" t="s">
        <v>396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518.46</v>
      </c>
      <c r="B35" s="227" t="s">
        <v>258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s">
        <v>395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18.46</v>
      </c>
      <c r="B41" s="245" t="n">
        <f aca="false">IF(B38="YES",D38+A41,D38)</f>
        <v>518.46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18.46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518.823636363636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518.823636363636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A54" s="4" t="s">
        <v>6</v>
      </c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0.072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76116.3983102275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0.03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2106.59964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0.137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0.0114166666666667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4125.32107917265</v>
      </c>
      <c r="C86" s="97" t="n">
        <f aca="false">(B82/((1+B84)^(B85+1)))</f>
        <v>4125.32107917265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26.6800219733353</v>
      </c>
      <c r="C87" s="97" t="n">
        <f aca="false">((1-(1/((1+B84)^B85)))/B84)</f>
        <v>26.6800219733353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63894.6689208274</v>
      </c>
      <c r="C88" s="97" t="n">
        <f aca="false">B81-B86</f>
        <v>63894.6689208274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2394.85068583097</v>
      </c>
      <c r="C89" s="97" t="n">
        <f aca="false">(B88/B87)</f>
        <v>2394.85068583097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76635.2219465911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76635.2219465911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n">
        <f aca="false">IF(B38="YES",((H36/B85)*(1+A108)),"0")</f>
        <v>22.84425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2394.85068583097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2417.69493583097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27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/>
      <c r="E108" s="112" t="n">
        <f aca="false">B83</f>
        <v>0.137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245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1200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70219.988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266" t="n">
        <f aca="false">B95</f>
        <v>2394.85068583097</v>
      </c>
      <c r="B167" s="181" t="n">
        <f aca="false">B94</f>
        <v>22.84425</v>
      </c>
      <c r="C167" s="178"/>
      <c r="D167" s="178"/>
      <c r="E167" s="181" t="n">
        <f aca="false">B96</f>
        <v>2417.69493583097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33</v>
      </c>
      <c r="B170" s="233" t="str">
        <f aca="false">H30</f>
        <v>5000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70219.988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12415.21</v>
      </c>
      <c r="B182" s="107" t="str">
        <f aca="false">B114</f>
        <v>199.99</v>
      </c>
      <c r="C182" s="107"/>
      <c r="D182" s="27"/>
      <c r="E182" s="107" t="n">
        <f aca="false">ROUND(E179, 2)+ROUND(A182, 2)+(ROUND(B182, 2)*1.2)+ROUND(A185, 2)</f>
        <v>82885.188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13.6739976</v>
      </c>
      <c r="B188" s="107" t="n">
        <f aca="false">(G158*B67)/1.2</f>
        <v>1755.4997</v>
      </c>
      <c r="C188" s="97"/>
      <c r="D188" s="97"/>
      <c r="E188" s="107" t="n">
        <f aca="false">IF(E105="YES",(H36*A108)*0.1,0)</f>
        <v>12.1836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1867.6733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2417.69493583097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4567.21199999999</v>
      </c>
      <c r="B201" s="190" t="n">
        <f aca="false">E179+A201+(B182*1.2)+A185</f>
        <v>75037.188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2394.85068583097</v>
      </c>
      <c r="B212" s="181" t="n">
        <f aca="false">B167</f>
        <v>22.84425</v>
      </c>
      <c r="C212" s="178"/>
      <c r="D212" s="178"/>
      <c r="E212" s="181" t="n">
        <f aca="false">E167</f>
        <v>2417.69493583097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70219.988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12415.21</v>
      </c>
      <c r="B224" s="107" t="str">
        <f aca="false">B182</f>
        <v>199.99</v>
      </c>
      <c r="C224" s="107"/>
      <c r="D224" s="117"/>
      <c r="E224" s="107" t="n">
        <f aca="false">E182</f>
        <v>82885.188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2394.85068583097</v>
      </c>
      <c r="B230" s="107" t="n">
        <f aca="false">B167</f>
        <v>22.84425</v>
      </c>
      <c r="C230" s="190"/>
      <c r="D230" s="190"/>
      <c r="E230" s="107" t="n">
        <f aca="false">E167</f>
        <v>2417.69493583097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13.6739976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1755.4997</v>
      </c>
      <c r="C240" s="97"/>
      <c r="D240" s="97"/>
      <c r="E240" s="107" t="n">
        <f aca="false">IF(E105="YES",(H36*A108)*0.1,0)</f>
        <v>12.1836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1867.6733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0.137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7858.00000000002</v>
      </c>
      <c r="C254" s="201"/>
      <c r="D254" s="202" t="s">
        <v>227</v>
      </c>
      <c r="E254" s="202"/>
      <c r="F254" s="204" t="n">
        <f aca="false">F261+F267+F269+B270+B271</f>
        <v>2106.59964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221.826</v>
      </c>
      <c r="C255" s="201"/>
      <c r="D255" s="202" t="s">
        <v>229</v>
      </c>
      <c r="E255" s="202"/>
      <c r="F255" s="204" t="n">
        <f aca="false">(B254-F254)+B255</f>
        <v>5973.22636000001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0.072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0.137</v>
      </c>
      <c r="C260" s="47"/>
      <c r="D260" s="170" t="s">
        <v>226</v>
      </c>
      <c r="E260" s="170"/>
      <c r="F260" s="150" t="n">
        <f aca="false">B254</f>
        <v>7858.00000000002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0.03</v>
      </c>
      <c r="C261" s="36"/>
      <c r="D261" s="170" t="s">
        <v>232</v>
      </c>
      <c r="E261" s="170"/>
      <c r="F261" s="155" t="n">
        <f aca="false">B68</f>
        <v>2106.59964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121.836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5973.22636000001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9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5" customWidth="true" hidden="false" style="6" width="18.88" collapsed="false" outlineLevel="0"/>
    <col min="6" max="6" customWidth="true" hidden="false" style="6" width="31.92" collapsed="false" outlineLevel="0"/>
    <col min="7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550</v>
      </c>
      <c r="F10" s="158"/>
      <c r="G10" s="159"/>
      <c r="H10" s="448" t="n">
        <v>645.83</v>
      </c>
      <c r="I10" s="7"/>
      <c r="J10" s="7"/>
      <c r="K10" s="6" t="s">
        <v>28</v>
      </c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 t="n">
        <v>0</v>
      </c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400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17.9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36.0</v>
      </c>
      <c r="P29" s="216"/>
    </row>
    <row r="30" customFormat="false" ht="17.9" hidden="false" customHeight="false" outlineLevel="0" collapsed="false">
      <c r="A30" s="35" t="s">
        <v>192</v>
      </c>
      <c r="B30" s="108" t="s">
        <v>401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28050.0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1423.44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1219.06019526256</v>
      </c>
      <c r="F33" s="236"/>
      <c r="G33" s="236"/>
      <c r="H33" s="51"/>
      <c r="I33" s="7"/>
      <c r="J33" s="38" t="s">
        <v>365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0.065</v>
      </c>
      <c r="P35" s="216"/>
    </row>
    <row r="36" customFormat="false" ht="18.75" hidden="false" customHeight="false" outlineLevel="0" collapsed="false">
      <c r="A36" s="189" t="n">
        <f aca="false">K47</f>
        <v>1179.52019526256</v>
      </c>
      <c r="B36" s="236" t="n">
        <f aca="false">IF(B26="YES",K42,"0.00")</f>
        <v>39.54</v>
      </c>
      <c r="C36" s="236"/>
      <c r="D36" s="236"/>
      <c r="E36" s="236" t="n">
        <f aca="false">K31</f>
        <v>28050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43952.1081463547</v>
      </c>
      <c r="N39" s="6" t="n">
        <f aca="false">K39-L39</f>
        <v>13672.8818536453</v>
      </c>
      <c r="P39" s="216"/>
    </row>
    <row r="40" customFormat="false" ht="19.5" hidden="false" customHeight="false" outlineLevel="0" collapsed="false">
      <c r="A40" s="111" t="n">
        <f aca="false">E36*A45/100</f>
        <v>28050</v>
      </c>
      <c r="B40" s="111" t="n">
        <f aca="false">IF(B26="YES",K42,"0.00")</f>
        <v>39.54</v>
      </c>
      <c r="C40" s="111"/>
      <c r="D40" s="111"/>
      <c r="E40" s="186" t="n">
        <f aca="false">K32</f>
        <v>1423.44</v>
      </c>
      <c r="F40" s="190"/>
      <c r="G40" s="190"/>
      <c r="H40" s="51"/>
      <c r="J40" s="7" t="s">
        <v>116</v>
      </c>
      <c r="K40" s="7" t="n">
        <f aca="false">(A40)/1.2</f>
        <v>23375</v>
      </c>
      <c r="L40" s="7" t="n">
        <f aca="false">K39-L39</f>
        <v>13672.8818536453</v>
      </c>
      <c r="N40" s="6" t="n">
        <f aca="false">N38-N39</f>
        <v>-10761.2018536453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0.00541666666666667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39.54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19140.2079659795</v>
      </c>
      <c r="L44" s="7"/>
      <c r="P44" s="216"/>
    </row>
    <row r="45" customFormat="false" ht="19.5" hidden="false" customHeight="false" outlineLevel="0" collapsed="false">
      <c r="A45" s="456" t="n">
        <v>100.0</v>
      </c>
      <c r="B45" s="97"/>
      <c r="C45" s="66" t="n">
        <v>100.0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38484.7820340206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32.627488862498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1179.52019526256</v>
      </c>
      <c r="L47" s="7" t="n">
        <f aca="false">L49-K42</f>
        <v>760.46</v>
      </c>
      <c r="M47" s="6" t="n">
        <f aca="false">K47-L47</f>
        <v>419.060195262557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1219.06019526256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1219.06019526256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0.065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0.024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26481.097092106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9401.13696960783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-904.773084087559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-904.773084087559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3417.666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5127.7491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683.69988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533.61239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1179.52019526256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1179.52019526256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1219.06019526256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1219.06019526256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82023.984</v>
      </c>
      <c r="C81" s="97"/>
      <c r="D81" s="97"/>
      <c r="E81" s="117"/>
      <c r="F81" s="29" t="s">
        <v>115</v>
      </c>
      <c r="G81" s="31" t="n">
        <f aca="false">G158</f>
        <v>82023.984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53361.239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28050</v>
      </c>
      <c r="C82" s="97"/>
      <c r="D82" s="97"/>
      <c r="E82" s="117"/>
      <c r="F82" s="35" t="s">
        <v>116</v>
      </c>
      <c r="G82" s="37" t="n">
        <f aca="false">IF(A111="YES",A40,0)</f>
        <v>28050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28050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28050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0.089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0.00741666666666667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21498.3005628674</v>
      </c>
      <c r="C86" s="97"/>
      <c r="D86" s="97"/>
      <c r="E86" s="117"/>
      <c r="F86" s="35" t="s">
        <v>120</v>
      </c>
      <c r="G86" s="37" t="n">
        <f aca="false">(G82/((1+G84)^(G85+1)))</f>
        <v>23092.6609109542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18974.9231259576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18974.9231259576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30.7264493562845</v>
      </c>
      <c r="C87" s="97"/>
      <c r="D87" s="97"/>
      <c r="E87" s="117"/>
      <c r="F87" s="35" t="s">
        <v>121</v>
      </c>
      <c r="G87" s="37" t="n">
        <f aca="false">((1-(1/((1+G84)^G85)))/G84)</f>
        <v>31.8042210938366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60525.6834371327</v>
      </c>
      <c r="C88" s="97"/>
      <c r="D88" s="97"/>
      <c r="E88" s="117"/>
      <c r="F88" s="35" t="s">
        <v>122</v>
      </c>
      <c r="G88" s="37" t="n">
        <f aca="false">G81-G86</f>
        <v>58931.3230890458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34386.3158740424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34386.3158740424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1969.82354633023</v>
      </c>
      <c r="C89" s="97"/>
      <c r="D89" s="97"/>
      <c r="E89" s="117"/>
      <c r="F89" s="35" t="s">
        <v>123</v>
      </c>
      <c r="G89" s="37" t="n">
        <f aca="false">(G88/G87)</f>
        <v>1852.94030358965</v>
      </c>
      <c r="H89" s="37"/>
      <c r="J89" s="35" t="s">
        <v>123</v>
      </c>
      <c r="K89" s="37" t="n">
        <f aca="false">(K88/K87)</f>
        <v>1481.82468568742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1187.3701127247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1187.3701127247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68943.8241215581</v>
      </c>
      <c r="C90" s="97"/>
      <c r="D90" s="97"/>
      <c r="E90" s="117"/>
      <c r="F90" s="35" t="s">
        <v>124</v>
      </c>
      <c r="G90" s="37" t="n">
        <f aca="false">((G89*(G85))+G77)</f>
        <v>64852.9106256377</v>
      </c>
      <c r="H90" s="37"/>
      <c r="J90" s="35" t="s">
        <v>124</v>
      </c>
      <c r="K90" s="37" t="n">
        <f aca="false">((K89*(K85))+K77)</f>
        <v>53345.6886847473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41557.9539453645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41557.9539453645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68943.8241215581</v>
      </c>
      <c r="C92" s="97"/>
      <c r="D92" s="97"/>
      <c r="E92" s="117"/>
      <c r="F92" s="60" t="s">
        <v>126</v>
      </c>
      <c r="G92" s="69" t="n">
        <f aca="false">(G90+G91)</f>
        <v>64852.9106256377</v>
      </c>
      <c r="H92" s="37"/>
      <c r="J92" s="60" t="s">
        <v>126</v>
      </c>
      <c r="K92" s="69" t="n">
        <f aca="false">(K90+K91)</f>
        <v>53345.6886847473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41557.9539453645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41557.9539453645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48.8036571428571</v>
      </c>
      <c r="C94" s="97"/>
      <c r="D94" s="97"/>
      <c r="E94" s="117"/>
      <c r="F94" s="93" t="s">
        <v>127</v>
      </c>
      <c r="G94" s="98" t="n">
        <f aca="false">IF(B26="YES",((E40/B85)*(1+A108)*(C45/100)),"0")</f>
        <v>48.8036571428571</v>
      </c>
      <c r="H94" s="37"/>
      <c r="J94" s="93" t="s">
        <v>127</v>
      </c>
      <c r="K94" s="94" t="n">
        <f aca="false">((E40/K85)*(1+J108))*1.2</f>
        <v>61.6824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48.8036571428571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58.5643885714286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1969.82354633023</v>
      </c>
      <c r="C95" s="97"/>
      <c r="D95" s="97"/>
      <c r="E95" s="117"/>
      <c r="F95" s="99" t="s">
        <v>128</v>
      </c>
      <c r="G95" s="100" t="n">
        <f aca="false">G92/(G85)</f>
        <v>1852.94030358965</v>
      </c>
      <c r="H95" s="37"/>
      <c r="J95" s="99" t="s">
        <v>128</v>
      </c>
      <c r="K95" s="100" t="n">
        <f aca="false">K92/(K85)</f>
        <v>1481.82468568742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1187.3701127247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1187.3701127247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2018.62720347309</v>
      </c>
      <c r="C96" s="97"/>
      <c r="D96" s="97"/>
      <c r="E96" s="117"/>
      <c r="F96" s="101" t="s">
        <v>129</v>
      </c>
      <c r="G96" s="102" t="n">
        <f aca="false">G94+G95</f>
        <v>1901.74396073251</v>
      </c>
      <c r="H96" s="37"/>
      <c r="J96" s="101" t="s">
        <v>129</v>
      </c>
      <c r="K96" s="102" t="n">
        <f aca="false">(K94+K95)</f>
        <v>1543.50708568742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1236.17376986756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1245.93450129613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400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s">
        <v>402</v>
      </c>
      <c r="C108" s="111"/>
      <c r="D108" s="111" t="n">
        <v>0</v>
      </c>
      <c r="E108" s="112" t="n">
        <f aca="false">B83</f>
        <v>0.089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400</v>
      </c>
      <c r="B111" s="111" t="n">
        <v>1000.0</v>
      </c>
      <c r="C111" s="111"/>
      <c r="D111" s="111"/>
      <c r="E111" s="111" t="n">
        <v>1000.0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403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0.0</v>
      </c>
      <c r="D122" s="127" t="n">
        <f aca="false">D4</f>
        <v>0</v>
      </c>
      <c r="E122" s="128" t="n">
        <v>0.0</v>
      </c>
      <c r="F122" s="127" t="n">
        <f aca="false">F4</f>
        <v>0</v>
      </c>
      <c r="G122" s="458" t="n">
        <v>0.0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-11503.33</v>
      </c>
      <c r="D123" s="134" t="n">
        <f aca="false">D5</f>
        <v>0</v>
      </c>
      <c r="E123" s="125" t="n">
        <v>0.0</v>
      </c>
      <c r="F123" s="134" t="n">
        <f aca="false">F5</f>
        <v>0</v>
      </c>
      <c r="G123" s="125" t="n">
        <v>0.0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13873.9575</v>
      </c>
      <c r="V124" s="134" t="n">
        <f aca="false">(V121*V122)+V123</f>
        <v>0</v>
      </c>
      <c r="W124" s="135" t="n">
        <f aca="false">(W121*W122)+W123</f>
        <v>0</v>
      </c>
      <c r="X124" s="134" t="n">
        <f aca="false">(X121*X122)+X123</f>
        <v>0</v>
      </c>
      <c r="Y124" s="135" t="n">
        <f aca="false">(Y121*Y122)+Y123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41621.8725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42455.2025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8620.2065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52361.239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52361.239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-58767.2116666667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-16658.749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1200.0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82023.984</v>
      </c>
      <c r="H158" s="174"/>
      <c r="J158" s="173" t="s">
        <v>190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190</v>
      </c>
      <c r="T158" s="97"/>
      <c r="U158" s="97"/>
      <c r="V158" s="117"/>
      <c r="W158" s="97"/>
      <c r="X158" s="117"/>
      <c r="Y158" s="174" t="n">
        <f aca="false">Z147-Y154-Y157</f>
        <v>53361.239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1969.82354633023</v>
      </c>
      <c r="B167" s="181" t="n">
        <f aca="false">B94</f>
        <v>48.8036571428571</v>
      </c>
      <c r="C167" s="178"/>
      <c r="D167" s="178"/>
      <c r="E167" s="181" t="n">
        <f aca="false">B96</f>
        <v>2018.62720347309</v>
      </c>
      <c r="F167" s="27"/>
      <c r="G167" s="27" t="n">
        <f aca="false">ROUND(G95,2)</f>
        <v>1852.94</v>
      </c>
      <c r="H167" s="37"/>
      <c r="J167" s="180" t="n">
        <f aca="false">K95</f>
        <v>1481.82468568742</v>
      </c>
      <c r="K167" s="181" t="n">
        <f aca="false">K94</f>
        <v>61.6824</v>
      </c>
      <c r="L167" s="178"/>
      <c r="M167" s="178"/>
      <c r="N167" s="181" t="n">
        <f aca="false">K96</f>
        <v>1543.50708568742</v>
      </c>
      <c r="O167" s="27"/>
      <c r="P167" s="27"/>
      <c r="Q167" s="37"/>
      <c r="S167" s="180" t="n">
        <f aca="false">T95</f>
        <v>1187.3701127247</v>
      </c>
      <c r="T167" s="181" t="n">
        <f aca="false">T94</f>
        <v>48.8036571428571</v>
      </c>
      <c r="U167" s="178"/>
      <c r="V167" s="178"/>
      <c r="W167" s="181" t="n">
        <f aca="false">T96</f>
        <v>1236.17376986756</v>
      </c>
      <c r="X167" s="27"/>
      <c r="Y167" s="27"/>
      <c r="Z167" s="37"/>
      <c r="AB167" s="180" t="n">
        <f aca="false">AC95</f>
        <v>1187.3701127247</v>
      </c>
      <c r="AC167" s="181" t="n">
        <f aca="false">AC94</f>
        <v>58.5643885714286</v>
      </c>
      <c r="AD167" s="178"/>
      <c r="AE167" s="178"/>
      <c r="AF167" s="181" t="n">
        <f aca="false">AC96</f>
        <v>1245.93450129613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28050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28050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28050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28050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43101.0325</v>
      </c>
      <c r="T173" s="107" t="n">
        <f aca="false">Z137</f>
        <v>8620.2065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82823.984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52361.239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82023.984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53361.239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14969.72</v>
      </c>
      <c r="B182" s="107" t="str">
        <f aca="false">B114</f>
        <v>199.99</v>
      </c>
      <c r="C182" s="107"/>
      <c r="D182" s="27"/>
      <c r="E182" s="107" t="n">
        <f aca="false">ROUND(E179, 2)+ROUND(A182, 2)+(ROUND(B182, 2)*1.2)+ROUND(A185, 2)</f>
        <v>97243.688</v>
      </c>
      <c r="F182" s="27"/>
      <c r="G182" s="27"/>
      <c r="H182" s="109"/>
      <c r="J182" s="115" t="n">
        <f aca="false">(J167*K59)+N185-N179-J185</f>
        <v>42143.8679990599</v>
      </c>
      <c r="K182" s="107" t="n">
        <f aca="false">K114</f>
        <v>239.99</v>
      </c>
      <c r="L182" s="107"/>
      <c r="M182" s="27"/>
      <c r="N182" s="107" t="n">
        <f aca="false">N179+J182+K182+J185</f>
        <v>80173.8539990599</v>
      </c>
      <c r="O182" s="27"/>
      <c r="P182" s="27"/>
      <c r="Q182" s="109"/>
      <c r="S182" s="115" t="n">
        <f aca="false">(S167*T59)+W185-W179-S185</f>
        <v>16246.7149453645</v>
      </c>
      <c r="T182" s="107" t="n">
        <f aca="false">T114</f>
        <v>199.99</v>
      </c>
      <c r="U182" s="107"/>
      <c r="V182" s="27"/>
      <c r="W182" s="107" t="n">
        <f aca="false">W179+S182+T182+S185</f>
        <v>69817.9439453645</v>
      </c>
      <c r="X182" s="27"/>
      <c r="Y182" s="27"/>
      <c r="Z182" s="109"/>
      <c r="AB182" s="115" t="n">
        <f aca="false">(AB167*AC59)+AF185-AF179-AB185</f>
        <v>16246.7149453645</v>
      </c>
      <c r="AC182" s="107" t="n">
        <f aca="false">AC114</f>
        <v>239.99</v>
      </c>
      <c r="AD182" s="107"/>
      <c r="AE182" s="27"/>
      <c r="AF182" s="107" t="n">
        <f aca="false">AF179+AB182+AC182+AB185</f>
        <v>69857.9439453645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A179+(B182*1.2)</f>
        <v>2239.988</v>
      </c>
      <c r="C185" s="107"/>
      <c r="D185" s="27"/>
      <c r="E185" s="107" t="n">
        <f aca="false">IF( E170=0 , A185+E167, E170+A185)</f>
        <v>28060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28070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28060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28060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13.6739976</v>
      </c>
      <c r="B188" s="107" t="n">
        <f aca="false">(G158*B67)/1.2</f>
        <v>3417.666</v>
      </c>
      <c r="C188" s="97"/>
      <c r="D188" s="97"/>
      <c r="E188" s="107" t="n">
        <f aca="false">(E40*A108)*0.1*(C45/100)</f>
        <v>28.4688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2360.62475</v>
      </c>
      <c r="L188" s="97"/>
      <c r="M188" s="97"/>
      <c r="N188" s="107" t="n">
        <f aca="false">(E40*J108)*0.1</f>
        <v>42.7032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444.676991666667</v>
      </c>
      <c r="U188" s="97"/>
      <c r="V188" s="97"/>
      <c r="W188" s="107" t="n">
        <f aca="false">(E40*S108)*0.1</f>
        <v>28.4688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444.676991666667</v>
      </c>
      <c r="AD188" s="97"/>
      <c r="AE188" s="97"/>
      <c r="AF188" s="107" t="n">
        <f aca="false">(E40*AB108)*0.1</f>
        <v>28.4688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3546.1248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3543.31795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1573.13579166667</v>
      </c>
      <c r="U191" s="97"/>
      <c r="V191" s="97"/>
      <c r="W191" s="107" t="n">
        <f aca="false">Z148</f>
        <v>-16658.749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1613.13579166667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2018.62720347309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n">
        <f aca="false">K96</f>
        <v>1543.50708568742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n">
        <f aca="false">T96</f>
        <v>1236.17376986756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n">
        <f aca="false">AC96</f>
        <v>1245.93450129613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10878.916</v>
      </c>
      <c r="B201" s="190" t="n">
        <f aca="false">E179+A201+(B182*1.2)+A185</f>
        <v>93152.888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1969.82354633023</v>
      </c>
      <c r="B212" s="181" t="n">
        <f aca="false">B167</f>
        <v>48.8036571428571</v>
      </c>
      <c r="C212" s="178"/>
      <c r="D212" s="178"/>
      <c r="E212" s="181" t="n">
        <f aca="false">E167</f>
        <v>2018.62720347309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82023.984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14969.72</v>
      </c>
      <c r="B224" s="107" t="str">
        <f aca="false">B182</f>
        <v>199.99</v>
      </c>
      <c r="C224" s="107"/>
      <c r="D224" s="117"/>
      <c r="E224" s="107" t="n">
        <f aca="false">E182</f>
        <v>97243.688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1969.82354633023</v>
      </c>
      <c r="B230" s="107" t="n">
        <f aca="false">B167</f>
        <v>48.8036571428571</v>
      </c>
      <c r="C230" s="190"/>
      <c r="D230" s="190"/>
      <c r="E230" s="107" t="n">
        <f aca="false">E167</f>
        <v>2018.62720347309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28050</v>
      </c>
      <c r="B233" s="107" t="n">
        <f aca="false">E185</f>
        <v>28060</v>
      </c>
      <c r="C233" s="97"/>
      <c r="D233" s="97"/>
      <c r="E233" s="107" t="n">
        <f aca="false">A188</f>
        <v>13.6739976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3417.666</v>
      </c>
      <c r="C240" s="97"/>
      <c r="D240" s="97"/>
      <c r="E240" s="107" t="n">
        <f aca="false">E188</f>
        <v>28.4688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15049.4548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0.065</v>
      </c>
      <c r="C253" s="201"/>
      <c r="D253" s="202" t="s">
        <v>225</v>
      </c>
      <c r="E253" s="202"/>
      <c r="F253" s="200" t="n">
        <f aca="false">B83</f>
        <v>0.089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4100.8</v>
      </c>
      <c r="C254" s="201"/>
      <c r="D254" s="202" t="s">
        <v>227</v>
      </c>
      <c r="E254" s="202"/>
      <c r="F254" s="204" t="n">
        <f aca="false">F261+F267+F269+B270+B271</f>
        <v>4101.1992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384.678</v>
      </c>
      <c r="C255" s="201"/>
      <c r="D255" s="202" t="s">
        <v>229</v>
      </c>
      <c r="E255" s="202"/>
      <c r="F255" s="204" t="n">
        <f aca="false">(B254-F254)+B255</f>
        <v>384.278800000002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0.024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0.089</v>
      </c>
      <c r="C260" s="47"/>
      <c r="D260" s="170" t="s">
        <v>226</v>
      </c>
      <c r="E260" s="170"/>
      <c r="F260" s="150" t="n">
        <f aca="false">B254</f>
        <v>4100.8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0.05</v>
      </c>
      <c r="C261" s="36"/>
      <c r="D261" s="170" t="s">
        <v>232</v>
      </c>
      <c r="E261" s="170"/>
      <c r="F261" s="155" t="n">
        <f aca="false">B68*1.2</f>
        <v>4101.1992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284.688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384.278800000002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1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404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35.0</v>
      </c>
      <c r="P29" s="216"/>
    </row>
    <row r="30" customFormat="false" ht="19.5" hidden="false" customHeight="false" outlineLevel="0" collapsed="false">
      <c r="A30" s="35" t="s">
        <v>192</v>
      </c>
      <c r="B30" s="108" t="s">
        <v>357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35000.0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9462.5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 t="n">
        <v>0</v>
      </c>
      <c r="J32" s="33" t="s">
        <v>45</v>
      </c>
      <c r="K32" s="455" t="n">
        <v>0.0</v>
      </c>
      <c r="P32" s="216"/>
    </row>
    <row r="33" customFormat="false" ht="36.75" hidden="false" customHeight="false" outlineLevel="0" collapsed="false">
      <c r="A33" s="183" t="n">
        <f aca="false">A52</f>
        <v>35</v>
      </c>
      <c r="B33" s="236" t="n">
        <f aca="false">B51</f>
        <v>35000</v>
      </c>
      <c r="C33" s="97"/>
      <c r="D33" s="97"/>
      <c r="E33" s="236" t="n">
        <f aca="false">K48</f>
        <v>1703.46527337661</v>
      </c>
      <c r="F33" s="236"/>
      <c r="G33" s="236"/>
      <c r="H33" s="51"/>
      <c r="I33" s="7"/>
      <c r="J33" s="38" t="s">
        <v>365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1703.46527337661</v>
      </c>
      <c r="B36" s="236" t="str">
        <f aca="false">IF(B26="YES",K42,"0.00")</f>
        <v>0.00</v>
      </c>
      <c r="C36" s="236"/>
      <c r="D36" s="236"/>
      <c r="E36" s="236" t="n">
        <f aca="false">K31</f>
        <v>5677.5</v>
      </c>
      <c r="F36" s="236"/>
      <c r="G36" s="236"/>
      <c r="H36" s="51"/>
      <c r="I36" s="7"/>
      <c r="J36" s="7" t="s">
        <v>59</v>
      </c>
      <c r="K36" s="7" t="n">
        <f aca="false">K29</f>
        <v>35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29097.7257124496</v>
      </c>
      <c r="N39" s="6" t="n">
        <f aca="false">K39-L39</f>
        <v>28527.2642875504</v>
      </c>
      <c r="P39" s="216"/>
    </row>
    <row r="40" customFormat="false" ht="19.5" hidden="false" customHeight="false" outlineLevel="0" collapsed="false">
      <c r="A40" s="111" t="n">
        <f aca="false">E36*A45/100</f>
        <v>28050.0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4731.25</v>
      </c>
      <c r="L40" s="7" t="n">
        <f aca="false">K39-L39</f>
        <v>28527.2642875504</v>
      </c>
      <c r="N40" s="6" t="n">
        <f aca="false">N38-N39</f>
        <v>-25615.5842875504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(K32/K36/100)*C45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3837.41731703539</v>
      </c>
      <c r="L44" s="7"/>
      <c r="P44" s="216"/>
    </row>
    <row r="45" customFormat="false" ht="19.5" hidden="false" customHeight="false" outlineLevel="0" collapsed="false">
      <c r="A45" s="511" t="n">
        <v>100.0</v>
      </c>
      <c r="B45" s="97"/>
      <c r="C45" s="512" t="n">
        <v>100.0</v>
      </c>
      <c r="D45" s="512"/>
      <c r="E45" s="512"/>
      <c r="F45" s="97"/>
      <c r="G45" s="97"/>
      <c r="H45" s="37"/>
      <c r="J45" s="7" t="s">
        <v>376</v>
      </c>
      <c r="K45" s="7" t="n">
        <f aca="false">(K39-K44)</f>
        <v>53787.5726829646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31.5753854942677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1703.46527337661</v>
      </c>
      <c r="L47" s="7" t="n">
        <f aca="false">L49-K42</f>
        <v>800</v>
      </c>
      <c r="M47" s="6" t="n">
        <f aca="false">K47-L47</f>
        <v>903.46527337661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1703.46527337661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35000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35</v>
      </c>
      <c r="B52" s="78" t="n">
        <f aca="false">K48</f>
        <v>1703.46527337661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34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34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34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34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32556.5402669007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-8251.25300990434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19691.725290374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-126.943490093159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0.0739583333333333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0.00979166666666667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0.00979166666666667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0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5056.5303625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669.4561325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522.495465208333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B73*B29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11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117"/>
      <c r="G77" s="11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B77/H29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1703.46527337661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1703.46527337661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1703.46527337661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1703.46527337661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81823.984</v>
      </c>
      <c r="C81" s="97"/>
      <c r="D81" s="97"/>
      <c r="E81" s="117"/>
      <c r="F81" s="29" t="s">
        <v>115</v>
      </c>
      <c r="G81" s="31" t="n">
        <f aca="false">G158</f>
        <v>81823.984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69843.50051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5677.5</v>
      </c>
      <c r="C82" s="97"/>
      <c r="D82" s="97"/>
      <c r="E82" s="117"/>
      <c r="F82" s="35" t="s">
        <v>116</v>
      </c>
      <c r="G82" s="37" t="n">
        <f aca="false">IF(A111="YES",A40,0)</f>
        <v>5677.5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5677.5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5677.5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88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34</v>
      </c>
      <c r="C85" s="97"/>
      <c r="D85" s="97"/>
      <c r="E85" s="117"/>
      <c r="F85" s="35" t="s">
        <v>119</v>
      </c>
      <c r="G85" s="37" t="n">
        <f aca="false">IF(G82=0,(B59+B58),(B59))</f>
        <v>34</v>
      </c>
      <c r="H85" s="37"/>
      <c r="J85" s="35" t="s">
        <v>119</v>
      </c>
      <c r="K85" s="37" t="n">
        <f aca="false">IF(K82=0,(K59+K58),(K59))</f>
        <v>35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34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34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4007.82786552385</v>
      </c>
      <c r="C86" s="97"/>
      <c r="D86" s="97"/>
      <c r="E86" s="117"/>
      <c r="F86" s="35" t="s">
        <v>120</v>
      </c>
      <c r="G86" s="37" t="n">
        <f aca="false">(G82/((1+G84)^(G85+1)))</f>
        <v>4631.76270166172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3882.57325930994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3882.57325930994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28.7026658885233</v>
      </c>
      <c r="C87" s="97"/>
      <c r="D87" s="97"/>
      <c r="E87" s="117"/>
      <c r="F87" s="35" t="s">
        <v>121</v>
      </c>
      <c r="G87" s="37" t="n">
        <f aca="false">((1-(1/((1+G84)^G85)))/G84)</f>
        <v>30.7595752429843</v>
      </c>
      <c r="H87" s="37"/>
      <c r="J87" s="35" t="s">
        <v>121</v>
      </c>
      <c r="K87" s="37" t="n">
        <f aca="false">((1-(1/((1+K84)^K85)))/K84)</f>
        <v>24.9986193320352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28.2762125724768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28.2762125724768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77816.1561344762</v>
      </c>
      <c r="C88" s="97"/>
      <c r="D88" s="97"/>
      <c r="E88" s="117"/>
      <c r="F88" s="35" t="s">
        <v>122</v>
      </c>
      <c r="G88" s="37" t="n">
        <f aca="false">G81-G86</f>
        <v>77192.2212983383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65960.9272506901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49478.6657406901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2711.11249514947</v>
      </c>
      <c r="C89" s="97"/>
      <c r="D89" s="97"/>
      <c r="E89" s="117"/>
      <c r="F89" s="35" t="s">
        <v>123</v>
      </c>
      <c r="G89" s="37" t="n">
        <f aca="false">(G88/G87)</f>
        <v>2509.53469573493</v>
      </c>
      <c r="H89" s="37"/>
      <c r="J89" s="35" t="s">
        <v>123</v>
      </c>
      <c r="K89" s="37" t="n">
        <f aca="false">(K88/K87)</f>
        <v>1510.88328112579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2332.73558407516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1749.83356112024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92177.8248350821</v>
      </c>
      <c r="C90" s="97"/>
      <c r="D90" s="97"/>
      <c r="E90" s="117"/>
      <c r="F90" s="35" t="s">
        <v>124</v>
      </c>
      <c r="G90" s="37" t="n">
        <f aca="false">((G89*(G85))+G77)</f>
        <v>85324.1796549877</v>
      </c>
      <c r="H90" s="37"/>
      <c r="J90" s="35" t="s">
        <v>124</v>
      </c>
      <c r="K90" s="37" t="n">
        <f aca="false">((K89*(K85))+K77)</f>
        <v>52880.9148394028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79313.0098585554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59494.3410780882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(B90/(1-B71))*B71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92177.8248350821</v>
      </c>
      <c r="C92" s="97"/>
      <c r="D92" s="97"/>
      <c r="E92" s="117"/>
      <c r="F92" s="60" t="s">
        <v>126</v>
      </c>
      <c r="G92" s="69" t="n">
        <f aca="false">(G90+G91)</f>
        <v>85324.1796549877</v>
      </c>
      <c r="H92" s="37"/>
      <c r="J92" s="60" t="s">
        <v>126</v>
      </c>
      <c r="K92" s="69" t="n">
        <f aca="false">(K90+K91)</f>
        <v>52880.9148394028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79313.0098585554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59494.3410780882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4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2711.11249514947</v>
      </c>
      <c r="C95" s="97"/>
      <c r="D95" s="97"/>
      <c r="E95" s="117"/>
      <c r="F95" s="99" t="s">
        <v>128</v>
      </c>
      <c r="G95" s="100" t="n">
        <f aca="false">G92/(G85)</f>
        <v>2509.53469573493</v>
      </c>
      <c r="H95" s="37"/>
      <c r="J95" s="99" t="s">
        <v>128</v>
      </c>
      <c r="K95" s="100" t="n">
        <f aca="false">K92/(K85)</f>
        <v>1510.88328112579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2332.73558407516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1749.83356112024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(B94+B95)</f>
        <v>2711.11249514947</v>
      </c>
      <c r="C96" s="97"/>
      <c r="D96" s="97"/>
      <c r="E96" s="117"/>
      <c r="F96" s="101" t="s">
        <v>129</v>
      </c>
      <c r="G96" s="102" t="n">
        <f aca="false">G94+G95</f>
        <v>2509.53469573493</v>
      </c>
      <c r="H96" s="37"/>
      <c r="J96" s="101" t="s">
        <v>129</v>
      </c>
      <c r="K96" s="102" t="n">
        <f aca="false">(K94+K95)</f>
        <v>1510.88328112579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2332.73558407516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1749.83356112024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131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404</v>
      </c>
      <c r="F105" s="108"/>
      <c r="G105" s="108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s">
        <v>419</v>
      </c>
      <c r="C108" s="111"/>
      <c r="D108" s="111"/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400</v>
      </c>
      <c r="B111" s="111" t="n">
        <v>1000.0</v>
      </c>
      <c r="C111" s="111"/>
      <c r="D111" s="111"/>
      <c r="E111" s="111" t="n">
        <v>1000.0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407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0.0</v>
      </c>
      <c r="D122" s="127" t="n">
        <f aca="false">D4</f>
        <v>0</v>
      </c>
      <c r="E122" s="128" t="n">
        <v>0.0</v>
      </c>
      <c r="F122" s="127" t="n">
        <f aca="false">F4</f>
        <v>0</v>
      </c>
      <c r="G122" s="458" t="n">
        <v>0.0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-11503.33</v>
      </c>
      <c r="D123" s="134" t="n">
        <f aca="false">D5</f>
        <v>0</v>
      </c>
      <c r="E123" s="125" t="n">
        <v>0.0</v>
      </c>
      <c r="F123" s="134" t="n">
        <f aca="false">F5</f>
        <v>0</v>
      </c>
      <c r="G123" s="125" t="n">
        <v>0.0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(U121*U122/100)+U123</f>
        <v>138.739575</v>
      </c>
      <c r="V124" s="134" t="n">
        <f aca="false">(V121*V122)+V123</f>
        <v>0</v>
      </c>
      <c r="W124" s="135" t="n">
        <f aca="false">(W121*W122/100)+W123</f>
        <v>0</v>
      </c>
      <c r="X124" s="134" t="n">
        <f aca="false">(X121*X122)+X123</f>
        <v>0</v>
      </c>
      <c r="Y124" s="135" t="n">
        <f aca="false">(Y121*Y122/100)+Y123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55357.090425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56190.420425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11367.250085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f aca="false">G138</f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68843.50051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s">
        <v>180</v>
      </c>
      <c r="C144" s="165"/>
      <c r="D144" s="165"/>
      <c r="E144" s="165"/>
      <c r="F144" s="165"/>
      <c r="G144" s="159" t="n">
        <f aca="false">H18</f>
        <v>0</v>
      </c>
      <c r="H144" s="44" t="n">
        <f aca="false">G144</f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68843.50051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-58600.545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-176.48749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1500.0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81823.984</v>
      </c>
      <c r="H158" s="174"/>
      <c r="J158" s="173" t="s">
        <v>190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190</v>
      </c>
      <c r="T158" s="97"/>
      <c r="U158" s="97"/>
      <c r="V158" s="117"/>
      <c r="W158" s="97"/>
      <c r="X158" s="117"/>
      <c r="Y158" s="174" t="n">
        <f aca="false">Z147-Y154-Y157</f>
        <v>69843.50051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2711.11249514947</v>
      </c>
      <c r="B167" s="181" t="str">
        <f aca="false">B94</f>
        <v>0</v>
      </c>
      <c r="C167" s="178"/>
      <c r="D167" s="178"/>
      <c r="E167" s="181" t="n">
        <f aca="false">B96</f>
        <v>2711.11249514947</v>
      </c>
      <c r="F167" s="27"/>
      <c r="G167" s="27" t="n">
        <f aca="false">ROUND(G95,2)</f>
        <v>2509.53</v>
      </c>
      <c r="H167" s="37"/>
      <c r="J167" s="180" t="n">
        <f aca="false">K95</f>
        <v>1510.88328112579</v>
      </c>
      <c r="K167" s="181" t="n">
        <f aca="false">K94</f>
        <v>0</v>
      </c>
      <c r="L167" s="178"/>
      <c r="M167" s="178"/>
      <c r="N167" s="181" t="n">
        <f aca="false">K96</f>
        <v>1510.88328112579</v>
      </c>
      <c r="O167" s="27"/>
      <c r="P167" s="27"/>
      <c r="Q167" s="37"/>
      <c r="S167" s="180" t="n">
        <f aca="false">T95</f>
        <v>2332.73558407516</v>
      </c>
      <c r="T167" s="181" t="n">
        <f aca="false">T94</f>
        <v>0</v>
      </c>
      <c r="U167" s="178"/>
      <c r="V167" s="178"/>
      <c r="W167" s="181" t="n">
        <f aca="false">T96</f>
        <v>2332.73558407516</v>
      </c>
      <c r="X167" s="27"/>
      <c r="Y167" s="27"/>
      <c r="Z167" s="37"/>
      <c r="AB167" s="180" t="n">
        <f aca="false">AC95</f>
        <v>1749.83356112024</v>
      </c>
      <c r="AC167" s="181" t="n">
        <f aca="false">AC94</f>
        <v>0</v>
      </c>
      <c r="AD167" s="178"/>
      <c r="AE167" s="178"/>
      <c r="AF167" s="181" t="n">
        <f aca="false">AC96</f>
        <v>1749.83356112024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35</v>
      </c>
      <c r="B170" s="233" t="n">
        <f aca="false">K30</f>
        <v>35000</v>
      </c>
      <c r="C170" s="185"/>
      <c r="D170" s="27"/>
      <c r="E170" s="186" t="n">
        <f aca="false">IF(A111="YES",A40,0)</f>
        <v>5677.5</v>
      </c>
      <c r="F170" s="27"/>
      <c r="G170" s="27"/>
      <c r="H170" s="37"/>
      <c r="J170" s="183" t="n">
        <f aca="false">K29</f>
        <v>35</v>
      </c>
      <c r="K170" s="184" t="n">
        <f aca="false">K30</f>
        <v>35000</v>
      </c>
      <c r="L170" s="185"/>
      <c r="M170" s="27"/>
      <c r="N170" s="186" t="n">
        <f aca="false">IF(A111="YES",A40,0)</f>
        <v>5677.5</v>
      </c>
      <c r="O170" s="27"/>
      <c r="P170" s="27"/>
      <c r="Q170" s="37"/>
      <c r="S170" s="183" t="n">
        <f aca="false">K29</f>
        <v>35</v>
      </c>
      <c r="T170" s="184" t="n">
        <f aca="false">K30</f>
        <v>35000</v>
      </c>
      <c r="U170" s="185"/>
      <c r="V170" s="27"/>
      <c r="W170" s="186" t="n">
        <f aca="false">IF(A111="YES",A40,0)</f>
        <v>5677.5</v>
      </c>
      <c r="X170" s="27"/>
      <c r="Y170" s="27"/>
      <c r="Z170" s="37"/>
      <c r="AB170" s="183" t="n">
        <f aca="false">K29</f>
        <v>35</v>
      </c>
      <c r="AC170" s="184" t="n">
        <f aca="false">K30</f>
        <v>35000</v>
      </c>
      <c r="AD170" s="185"/>
      <c r="AE170" s="27"/>
      <c r="AF170" s="186" t="n">
        <f aca="false">IF(A111="YES",A40,0)</f>
        <v>5677.5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56836.250425</v>
      </c>
      <c r="T173" s="107" t="n">
        <f aca="false">Z137</f>
        <v>11367.250085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82823.984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68843.50051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81823.984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69843.50051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16031.26</v>
      </c>
      <c r="B182" s="107" t="str">
        <f aca="false">B114</f>
        <v>239.99</v>
      </c>
      <c r="C182" s="107"/>
      <c r="D182" s="27"/>
      <c r="E182" s="107" t="n">
        <f aca="false">ROUND(E179, 2) + ROUND(A182, 2) + ROUND(B182, 2) + ROUND(A185, 2)</f>
        <v>98105.23</v>
      </c>
      <c r="F182" s="27"/>
      <c r="G182" s="27"/>
      <c r="H182" s="109"/>
      <c r="J182" s="115" t="n">
        <f aca="false">(J167*K59)+N185-N179-J185</f>
        <v>19277.535558277</v>
      </c>
      <c r="K182" s="107" t="n">
        <f aca="false">K114</f>
        <v>239.99</v>
      </c>
      <c r="L182" s="107"/>
      <c r="M182" s="27"/>
      <c r="N182" s="107" t="n">
        <f aca="false">N179+J182+K182+J185</f>
        <v>57307.521558277</v>
      </c>
      <c r="O182" s="27"/>
      <c r="P182" s="27"/>
      <c r="Q182" s="109"/>
      <c r="S182" s="115" t="n">
        <f aca="false">(S167*T59)+W185-W179-S185</f>
        <v>15147.0093485554</v>
      </c>
      <c r="T182" s="107" t="n">
        <f aca="false">T114</f>
        <v>199.99</v>
      </c>
      <c r="U182" s="107"/>
      <c r="V182" s="27"/>
      <c r="W182" s="107" t="n">
        <f aca="false">W179+S182+T182+S185</f>
        <v>85200.4998585554</v>
      </c>
      <c r="X182" s="27"/>
      <c r="Y182" s="27"/>
      <c r="Z182" s="109"/>
      <c r="AB182" s="115" t="n">
        <f aca="false">(AB167*AC59)+AF185-AF179-AB185</f>
        <v>11810.6020780882</v>
      </c>
      <c r="AC182" s="107" t="n">
        <f aca="false">AC114</f>
        <v>239.99</v>
      </c>
      <c r="AD182" s="107"/>
      <c r="AE182" s="27"/>
      <c r="AF182" s="107" t="n">
        <f aca="false">AF179+AB182+AC182+AB185</f>
        <v>65421.8310780882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A179+(B182)</f>
        <v>2239.99</v>
      </c>
      <c r="C185" s="107"/>
      <c r="D185" s="27"/>
      <c r="E185" s="107" t="n">
        <f aca="false">(IF(E170=0,E167+A185,E170+A185))</f>
        <v>5687.5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5697.5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5687.5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5687.5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IF(E105="YES",J18*0.000002,0)*100*1.2</f>
        <v>0</v>
      </c>
      <c r="B188" s="107" t="n">
        <f aca="false">B68</f>
        <v>0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2327.83829513889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569.903563189236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435.412887673611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99.9916666666667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3467.82829513889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1669.89356318924</v>
      </c>
      <c r="U191" s="97"/>
      <c r="V191" s="97"/>
      <c r="W191" s="107" t="n">
        <f aca="false">Z148</f>
        <v>-176.48749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1575.40288767361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35</v>
      </c>
      <c r="B197" s="78" t="n">
        <f aca="false">B96</f>
        <v>2711.11249514947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n">
        <f aca="false">K96</f>
        <v>1510.88328112579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n">
        <f aca="false">T96</f>
        <v>2332.73558407516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n">
        <f aca="false">AC96</f>
        <v>1749.83356112024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9177.53599999999</v>
      </c>
      <c r="B201" s="190" t="n">
        <f aca="false">E179+A201+B182+A185</f>
        <v>91251.51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n">
        <f aca="false">A197</f>
        <v>35</v>
      </c>
      <c r="C209" s="178"/>
      <c r="D209" s="178"/>
      <c r="E209" s="178" t="n">
        <f aca="false">B196</f>
        <v>35000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2711.11249514947</v>
      </c>
      <c r="B212" s="181" t="str">
        <f aca="false">B167</f>
        <v>0</v>
      </c>
      <c r="C212" s="178"/>
      <c r="D212" s="178"/>
      <c r="E212" s="181" t="n">
        <f aca="false">E167</f>
        <v>2711.11249514947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81823.984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16031.26</v>
      </c>
      <c r="B224" s="107" t="str">
        <f aca="false">B182</f>
        <v>239.99</v>
      </c>
      <c r="C224" s="107"/>
      <c r="D224" s="117"/>
      <c r="E224" s="107" t="n">
        <f aca="false">E182</f>
        <v>98105.23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34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2711.11249514947</v>
      </c>
      <c r="B230" s="107" t="str">
        <f aca="false">B167</f>
        <v>0</v>
      </c>
      <c r="C230" s="190"/>
      <c r="D230" s="190"/>
      <c r="E230" s="107" t="n">
        <f aca="false">E167</f>
        <v>2711.11249514947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5677.5</v>
      </c>
      <c r="B233" s="107" t="n">
        <f aca="false">E185</f>
        <v>5687.5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0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11603.3216666667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6863.71999999999</v>
      </c>
      <c r="C254" s="201"/>
      <c r="D254" s="202" t="s">
        <v>227</v>
      </c>
      <c r="E254" s="202"/>
      <c r="F254" s="204" t="n">
        <f aca="false">F261+F267+F269+B270+B271</f>
        <v>0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6963.71166666665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</v>
      </c>
      <c r="C260" s="47"/>
      <c r="D260" s="170" t="s">
        <v>226</v>
      </c>
      <c r="E260" s="170"/>
      <c r="F260" s="150" t="n">
        <f aca="false">B254</f>
        <v>6863.71999999999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</v>
      </c>
      <c r="C261" s="36"/>
      <c r="D261" s="170" t="s">
        <v>232</v>
      </c>
      <c r="E261" s="170"/>
      <c r="F261" s="155" t="n">
        <f aca="false">B68*1.2</f>
        <v>0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6963.71166666665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4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5" customWidth="true" hidden="false" style="6" width="18.88" collapsed="false" outlineLevel="0"/>
    <col min="6" max="6" customWidth="true" hidden="false" style="6" width="32.51" collapsed="false" outlineLevel="0"/>
    <col min="7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555</v>
      </c>
      <c r="F13" s="158"/>
      <c r="G13" s="159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400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35.0</v>
      </c>
      <c r="P29" s="216"/>
    </row>
    <row r="30" customFormat="false" ht="19.5" hidden="false" customHeight="false" outlineLevel="0" collapsed="false">
      <c r="A30" s="35" t="s">
        <v>192</v>
      </c>
      <c r="B30" s="108" t="s">
        <v>401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35000.0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9462.5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 t="n">
        <v>0</v>
      </c>
      <c r="J32" s="33" t="s">
        <v>45</v>
      </c>
      <c r="K32" s="455" t="n">
        <v>3109.0499999999997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1229.52019526256</v>
      </c>
      <c r="F33" s="236"/>
      <c r="G33" s="236"/>
      <c r="H33" s="51"/>
      <c r="I33" s="7"/>
      <c r="J33" s="38" t="s">
        <v>365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1179.52019526256</v>
      </c>
      <c r="B36" s="236" t="n">
        <f aca="false">IF(B26="YES",K42,"0.00")</f>
        <v>50</v>
      </c>
      <c r="C36" s="236"/>
      <c r="D36" s="236"/>
      <c r="E36" s="236" t="n">
        <f aca="false">K31</f>
        <v>28050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43610.824612853</v>
      </c>
      <c r="N39" s="6" t="n">
        <f aca="false">K39-L39</f>
        <v>14014.165387147</v>
      </c>
      <c r="P39" s="216"/>
    </row>
    <row r="40" customFormat="false" ht="19.5" hidden="false" customHeight="false" outlineLevel="0" collapsed="false">
      <c r="A40" s="317" t="n">
        <f aca="false">E36*A45/100</f>
        <v>28050</v>
      </c>
      <c r="B40" s="111" t="n">
        <f aca="false">IF(B26="YES",K42,"0.00")</f>
        <v>50</v>
      </c>
      <c r="C40" s="111"/>
      <c r="D40" s="111"/>
      <c r="E40" s="186" t="n">
        <f aca="false">K32</f>
        <v>1800</v>
      </c>
      <c r="F40" s="190"/>
      <c r="G40" s="190"/>
      <c r="H40" s="51"/>
      <c r="J40" s="7" t="s">
        <v>116</v>
      </c>
      <c r="K40" s="7" t="n">
        <f aca="false">(A40)/1.2</f>
        <v>23375</v>
      </c>
      <c r="L40" s="7" t="n">
        <f aca="false">K39-L39</f>
        <v>14014.165387147</v>
      </c>
      <c r="N40" s="6" t="n">
        <f aca="false">N38-N39</f>
        <v>-11102.485387147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0.00541666666666667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(K32/K36/100)*C45</f>
        <v>50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19140.2079659795</v>
      </c>
      <c r="L44" s="7"/>
      <c r="P44" s="216"/>
    </row>
    <row r="45" customFormat="false" ht="19.5" hidden="false" customHeight="false" outlineLevel="0" collapsed="false">
      <c r="A45" s="513" t="n">
        <v>100.0</v>
      </c>
      <c r="B45" s="97"/>
      <c r="C45" s="512" t="n">
        <v>100.0</v>
      </c>
      <c r="D45" s="512"/>
      <c r="E45" s="512"/>
      <c r="F45" s="97"/>
      <c r="G45" s="97"/>
      <c r="H45" s="37"/>
      <c r="J45" s="7" t="s">
        <v>376</v>
      </c>
      <c r="K45" s="7" t="n">
        <f aca="false">(K39-K44)</f>
        <v>38484.7820340206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32.627488862498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1179.52019526256</v>
      </c>
      <c r="L47" s="7" t="n">
        <f aca="false">L49-K42</f>
        <v>750</v>
      </c>
      <c r="M47" s="6" t="n">
        <f aca="false">K47-L47</f>
        <v>429.520195262557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1229.52019526256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1229.52019526256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31903.2839611046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9401.13696960783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19015.0423232124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-904.773084087559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0.03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2070.5996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5127.7491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683.69988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533.61239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0.05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B73*B29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11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117"/>
      <c r="G77" s="11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1179.52019526256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1179.52019526256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1229.52019526256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1229.52019526256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82823.984</v>
      </c>
      <c r="C81" s="97"/>
      <c r="D81" s="97"/>
      <c r="E81" s="117"/>
      <c r="F81" s="29" t="s">
        <v>115</v>
      </c>
      <c r="G81" s="31" t="n">
        <f aca="false">G158</f>
        <v>82823.984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69843.50051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28050</v>
      </c>
      <c r="C82" s="97"/>
      <c r="D82" s="97"/>
      <c r="E82" s="117"/>
      <c r="F82" s="35" t="s">
        <v>116</v>
      </c>
      <c r="G82" s="37" t="n">
        <f aca="false">IF(A111="YES",A40,0)</f>
        <v>28050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28050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28050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88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19898.2397027793</v>
      </c>
      <c r="C86" s="97"/>
      <c r="D86" s="97"/>
      <c r="E86" s="117"/>
      <c r="F86" s="35" t="s">
        <v>120</v>
      </c>
      <c r="G86" s="37" t="n">
        <f aca="false">(G82/((1+G84)^(G85+1)))</f>
        <v>23092.6609109542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18974.9231259576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18974.9231259576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29.6156943349079</v>
      </c>
      <c r="C87" s="97"/>
      <c r="D87" s="97"/>
      <c r="E87" s="117"/>
      <c r="F87" s="35" t="s">
        <v>121</v>
      </c>
      <c r="G87" s="37" t="n">
        <f aca="false">((1-(1/((1+G84)^G85)))/G84)</f>
        <v>31.8042210938366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62925.7442972207</v>
      </c>
      <c r="C88" s="97"/>
      <c r="D88" s="97"/>
      <c r="E88" s="117"/>
      <c r="F88" s="35" t="s">
        <v>122</v>
      </c>
      <c r="G88" s="37" t="n">
        <f aca="false">G81-G86</f>
        <v>59731.3230890458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50868.5773840425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34386.3158740424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2124.74317115876</v>
      </c>
      <c r="C89" s="97"/>
      <c r="D89" s="97"/>
      <c r="E89" s="117"/>
      <c r="F89" s="35" t="s">
        <v>123</v>
      </c>
      <c r="G89" s="37" t="n">
        <f aca="false">(G88/G87)</f>
        <v>1878.09419739637</v>
      </c>
      <c r="H89" s="37"/>
      <c r="J89" s="35" t="s">
        <v>123</v>
      </c>
      <c r="K89" s="37" t="n">
        <f aca="false">(K88/K87)</f>
        <v>1481.82468568742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1756.50769579041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1187.3701127247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74366.0109905566</v>
      </c>
      <c r="C90" s="97"/>
      <c r="D90" s="97"/>
      <c r="E90" s="117"/>
      <c r="F90" s="35" t="s">
        <v>124</v>
      </c>
      <c r="G90" s="37" t="n">
        <f aca="false">((G89*(G85))+G77)</f>
        <v>65733.2969088731</v>
      </c>
      <c r="H90" s="37"/>
      <c r="J90" s="35" t="s">
        <v>124</v>
      </c>
      <c r="K90" s="37" t="n">
        <f aca="false">((K89*(K85))+K77)</f>
        <v>53345.6886847473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61477.7693526645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41557.9539453645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(B90/(1-B71))*B71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74366.0109905566</v>
      </c>
      <c r="C92" s="97"/>
      <c r="D92" s="97"/>
      <c r="E92" s="117"/>
      <c r="F92" s="60" t="s">
        <v>126</v>
      </c>
      <c r="G92" s="69" t="n">
        <f aca="false">(G90+G91)</f>
        <v>65733.2969088731</v>
      </c>
      <c r="H92" s="37"/>
      <c r="J92" s="60" t="s">
        <v>126</v>
      </c>
      <c r="K92" s="69" t="n">
        <f aca="false">(K90+K91)</f>
        <v>53345.6886847473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61477.7693526645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41557.9539453645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4" t="n">
        <f aca="false">IF(B26="YES",((E40/B85)*(1+A108)*1.2*(C45/100)),"0")</f>
        <v>80.2285714285714</v>
      </c>
      <c r="C94" s="97"/>
      <c r="D94" s="97"/>
      <c r="E94" s="117"/>
      <c r="F94" s="93" t="s">
        <v>127</v>
      </c>
      <c r="G94" s="98" t="n">
        <f aca="false">IF(B26="YES",((E40/B85)*(1+A108)*(C45/100)),"0")</f>
        <v>66.8571428571429</v>
      </c>
      <c r="H94" s="37"/>
      <c r="J94" s="93" t="s">
        <v>127</v>
      </c>
      <c r="K94" s="94" t="n">
        <f aca="false">((E40/K85)*(1+J108))*1.2</f>
        <v>78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61.7142857142857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74.0571428571429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2124.74317115876</v>
      </c>
      <c r="C95" s="97"/>
      <c r="D95" s="97"/>
      <c r="E95" s="117"/>
      <c r="F95" s="99" t="s">
        <v>128</v>
      </c>
      <c r="G95" s="100" t="n">
        <f aca="false">G92/(G85)</f>
        <v>1878.09419739637</v>
      </c>
      <c r="H95" s="37"/>
      <c r="J95" s="99" t="s">
        <v>128</v>
      </c>
      <c r="K95" s="100" t="n">
        <f aca="false">K92/(K85)</f>
        <v>1481.82468568742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1756.50769579041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1187.3701127247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(B94+B95)</f>
        <v>2204.97174258733</v>
      </c>
      <c r="C96" s="97"/>
      <c r="D96" s="97"/>
      <c r="E96" s="117"/>
      <c r="F96" s="101" t="s">
        <v>129</v>
      </c>
      <c r="G96" s="102" t="n">
        <f aca="false">G94+G95</f>
        <v>1944.95134025352</v>
      </c>
      <c r="H96" s="37"/>
      <c r="J96" s="101" t="s">
        <v>129</v>
      </c>
      <c r="K96" s="102" t="n">
        <f aca="false">(K94+K95)</f>
        <v>1559.82468568742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1818.2219815047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1261.42725558184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133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400</v>
      </c>
      <c r="F105" s="108"/>
      <c r="G105" s="108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0.3</v>
      </c>
      <c r="B108" s="111" t="s">
        <v>402</v>
      </c>
      <c r="C108" s="111"/>
      <c r="D108" s="111"/>
      <c r="E108" s="112" t="n">
        <f aca="false">B83</f>
        <v>0.115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400</v>
      </c>
      <c r="B111" s="111" t="n">
        <v>200.0</v>
      </c>
      <c r="C111" s="111"/>
      <c r="D111" s="111"/>
      <c r="E111" s="111" t="n">
        <v>200.0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1000</v>
      </c>
      <c r="B114" s="111" t="s">
        <v>407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0.0</v>
      </c>
      <c r="D122" s="127" t="n">
        <f aca="false">D4</f>
        <v>0</v>
      </c>
      <c r="E122" s="128" t="n">
        <v>0.0</v>
      </c>
      <c r="F122" s="127" t="n">
        <f aca="false">F4</f>
        <v>0</v>
      </c>
      <c r="G122" s="458" t="n">
        <v>0.0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-11503.33</v>
      </c>
      <c r="D123" s="134" t="n">
        <f aca="false">D5</f>
        <v>0</v>
      </c>
      <c r="E123" s="125" t="n">
        <v>0.0</v>
      </c>
      <c r="F123" s="134" t="n">
        <f aca="false">F5</f>
        <v>0</v>
      </c>
      <c r="G123" s="125" t="n">
        <v>0.0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(U121*U122/100)+U123</f>
        <v>138.739575</v>
      </c>
      <c r="V124" s="134" t="n">
        <f aca="false">(V121*V122)+V123</f>
        <v>0</v>
      </c>
      <c r="W124" s="135" t="n">
        <f aca="false">(W121*W122/100)+W123</f>
        <v>0</v>
      </c>
      <c r="X124" s="134" t="n">
        <f aca="false">(X121*X122)+X123</f>
        <v>0</v>
      </c>
      <c r="Y124" s="135" t="n">
        <f aca="false">(Y121*Y122/100)+Y123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55357.090425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56190.420425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11367.250085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f aca="false">G138</f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68843.50051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s">
        <v>180</v>
      </c>
      <c r="C144" s="165"/>
      <c r="D144" s="165"/>
      <c r="E144" s="165"/>
      <c r="F144" s="165"/>
      <c r="G144" s="159" t="n">
        <f aca="false">H18</f>
        <v>0</v>
      </c>
      <c r="H144" s="44" t="n">
        <f aca="false">G144</f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68843.50051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-59433.8783333333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-176.48749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1500.0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1000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82823.984</v>
      </c>
      <c r="H158" s="174"/>
      <c r="J158" s="173" t="s">
        <v>190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190</v>
      </c>
      <c r="T158" s="97"/>
      <c r="U158" s="97"/>
      <c r="V158" s="117"/>
      <c r="W158" s="97"/>
      <c r="X158" s="117"/>
      <c r="Y158" s="174" t="n">
        <f aca="false">Z147-Y154-Y157</f>
        <v>69843.50051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2124.74317115876</v>
      </c>
      <c r="B167" s="181" t="n">
        <f aca="false">B94</f>
        <v>80.2285714285714</v>
      </c>
      <c r="C167" s="178"/>
      <c r="D167" s="178"/>
      <c r="E167" s="181" t="n">
        <f aca="false">B96</f>
        <v>2204.97174258733</v>
      </c>
      <c r="F167" s="27"/>
      <c r="G167" s="27" t="n">
        <f aca="false">ROUND(G95,2)</f>
        <v>1878.09</v>
      </c>
      <c r="H167" s="37"/>
      <c r="J167" s="180" t="n">
        <f aca="false">K95</f>
        <v>1481.82468568742</v>
      </c>
      <c r="K167" s="181" t="n">
        <f aca="false">K94</f>
        <v>78</v>
      </c>
      <c r="L167" s="178"/>
      <c r="M167" s="178"/>
      <c r="N167" s="181" t="n">
        <f aca="false">K96</f>
        <v>1559.82468568742</v>
      </c>
      <c r="O167" s="27"/>
      <c r="P167" s="27"/>
      <c r="Q167" s="37"/>
      <c r="S167" s="180" t="n">
        <f aca="false">T95</f>
        <v>1756.50769579041</v>
      </c>
      <c r="T167" s="181" t="n">
        <f aca="false">T94</f>
        <v>61.7142857142857</v>
      </c>
      <c r="U167" s="178"/>
      <c r="V167" s="178"/>
      <c r="W167" s="181" t="n">
        <f aca="false">T96</f>
        <v>1818.2219815047</v>
      </c>
      <c r="X167" s="27"/>
      <c r="Y167" s="27"/>
      <c r="Z167" s="37"/>
      <c r="AB167" s="180" t="n">
        <f aca="false">AC95</f>
        <v>1187.3701127247</v>
      </c>
      <c r="AC167" s="181" t="n">
        <f aca="false">AC94</f>
        <v>74.0571428571429</v>
      </c>
      <c r="AD167" s="178"/>
      <c r="AE167" s="178"/>
      <c r="AF167" s="181" t="n">
        <f aca="false">AC96</f>
        <v>1261.42725558184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184" t="n">
        <f aca="false">K30</f>
        <v>10000</v>
      </c>
      <c r="C170" s="185"/>
      <c r="D170" s="27"/>
      <c r="E170" s="186" t="n">
        <f aca="false">IF(A111="YES",A40,0)</f>
        <v>28050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28050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28050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28050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56836.250425</v>
      </c>
      <c r="T173" s="107" t="n">
        <f aca="false">Z137</f>
        <v>11367.250085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82823.984</v>
      </c>
      <c r="B176" s="107" t="n">
        <f aca="false">B111</f>
        <v>1000</v>
      </c>
      <c r="C176" s="107"/>
      <c r="D176" s="27"/>
      <c r="E176" s="107" t="n">
        <f aca="false">E111</f>
        <v>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68843.50051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1000</v>
      </c>
      <c r="B179" s="107" t="n">
        <f aca="false">G154</f>
        <v>0</v>
      </c>
      <c r="C179" s="107"/>
      <c r="D179" s="27"/>
      <c r="E179" s="107" t="n">
        <f aca="false">G158</f>
        <v>82823.984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69843.50051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19591.92</v>
      </c>
      <c r="B182" s="107" t="str">
        <f aca="false">B114</f>
        <v>239.99</v>
      </c>
      <c r="C182" s="107"/>
      <c r="D182" s="27"/>
      <c r="E182" s="107" t="n">
        <f aca="false">ROUND(E179, 2) + ROUND(A182, 2) + ROUND(B182, 2) + ROUND(A185, 2)</f>
        <v>102665.89</v>
      </c>
      <c r="F182" s="27"/>
      <c r="G182" s="27"/>
      <c r="H182" s="109"/>
      <c r="J182" s="115" t="n">
        <f aca="false">(J167*K59)+N185-N179-J185</f>
        <v>42143.8679990599</v>
      </c>
      <c r="K182" s="107" t="n">
        <f aca="false">K114</f>
        <v>239.99</v>
      </c>
      <c r="L182" s="107"/>
      <c r="M182" s="27"/>
      <c r="N182" s="107" t="n">
        <f aca="false">N179+J182+K182+J185</f>
        <v>80173.8539990599</v>
      </c>
      <c r="O182" s="27"/>
      <c r="P182" s="27"/>
      <c r="Q182" s="109"/>
      <c r="S182" s="115" t="n">
        <f aca="false">(S167*T59)+W185-W179-S185</f>
        <v>19684.2688426644</v>
      </c>
      <c r="T182" s="107" t="n">
        <f aca="false">T114</f>
        <v>199.99</v>
      </c>
      <c r="U182" s="107"/>
      <c r="V182" s="27"/>
      <c r="W182" s="107" t="n">
        <f aca="false">W179+S182+T182+S185</f>
        <v>89737.7593526645</v>
      </c>
      <c r="X182" s="27"/>
      <c r="Y182" s="27"/>
      <c r="Z182" s="109"/>
      <c r="AB182" s="115" t="n">
        <f aca="false">(AB167*AC59)+AF185-AF179-AB185</f>
        <v>16246.7149453645</v>
      </c>
      <c r="AC182" s="107" t="n">
        <f aca="false">AC114</f>
        <v>239.99</v>
      </c>
      <c r="AD182" s="107"/>
      <c r="AE182" s="27"/>
      <c r="AF182" s="107" t="n">
        <f aca="false">AF179+AB182+AC182+AB185</f>
        <v>69857.9439453645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1239.99</v>
      </c>
      <c r="C185" s="107"/>
      <c r="D185" s="27"/>
      <c r="E185" s="107" t="n">
        <f aca="false">IF( E170=0 , A185+E167, E170+A185)</f>
        <v>28060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28070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28060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28060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</f>
        <v>0.136739976</v>
      </c>
      <c r="B188" s="107" t="n">
        <f aca="false">(G158*B67)/1.2</f>
        <v>2070.5996</v>
      </c>
      <c r="C188" s="97"/>
      <c r="D188" s="97"/>
      <c r="E188" s="107" t="n">
        <f aca="false">(E40*A108)*0.1*C45/100</f>
        <v>54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2360.62475</v>
      </c>
      <c r="L188" s="97"/>
      <c r="M188" s="97"/>
      <c r="N188" s="107" t="n">
        <f aca="false">(E40*J108)*0.1</f>
        <v>54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582.029170916667</v>
      </c>
      <c r="U188" s="97"/>
      <c r="V188" s="97"/>
      <c r="W188" s="107" t="n">
        <f aca="false">(E40*S108)*0.1</f>
        <v>36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444.676991666667</v>
      </c>
      <c r="AD188" s="97"/>
      <c r="AE188" s="97"/>
      <c r="AF188" s="107" t="n">
        <f aca="false">(E40*AB108)*0.1</f>
        <v>36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2224.59126666667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3554.61475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1718.01917091667</v>
      </c>
      <c r="U191" s="97"/>
      <c r="V191" s="97"/>
      <c r="W191" s="107" t="n">
        <f aca="false">Z148</f>
        <v>-176.48749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1620.66699166667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2204.97174258733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n">
        <f aca="false">K96</f>
        <v>1559.82468568742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n">
        <f aca="false">T96</f>
        <v>1818.2219815047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n">
        <f aca="false">AC96</f>
        <v>1261.42725558184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10959.166</v>
      </c>
      <c r="B201" s="190" t="n">
        <f aca="false">E179+A201+B182+A185</f>
        <v>94033.14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2124.74317115876</v>
      </c>
      <c r="B212" s="181" t="n">
        <f aca="false">B167</f>
        <v>80.2285714285714</v>
      </c>
      <c r="C212" s="178"/>
      <c r="D212" s="178"/>
      <c r="E212" s="181" t="n">
        <f aca="false">E167</f>
        <v>2204.97174258733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1000</v>
      </c>
      <c r="B221" s="107" t="n">
        <f aca="false">B179</f>
        <v>0</v>
      </c>
      <c r="C221" s="107"/>
      <c r="D221" s="117"/>
      <c r="E221" s="107" t="n">
        <f aca="false">E179</f>
        <v>82823.984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19591.92</v>
      </c>
      <c r="B224" s="107" t="str">
        <f aca="false">B182</f>
        <v>239.99</v>
      </c>
      <c r="C224" s="107"/>
      <c r="D224" s="117"/>
      <c r="E224" s="107" t="n">
        <f aca="false">E182</f>
        <v>102665.89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1239.99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2124.74317115876</v>
      </c>
      <c r="B230" s="107" t="n">
        <f aca="false">B167</f>
        <v>80.2285714285714</v>
      </c>
      <c r="C230" s="190"/>
      <c r="D230" s="190"/>
      <c r="E230" s="107" t="n">
        <f aca="false">E167</f>
        <v>2204.97174258733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28050</v>
      </c>
      <c r="B233" s="107" t="n">
        <f aca="false">E185</f>
        <v>28060</v>
      </c>
      <c r="C233" s="97"/>
      <c r="D233" s="97"/>
      <c r="E233" s="107" t="n">
        <f aca="false">J18*0.000006*100*1.2</f>
        <v>49.22639136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IF(E105="YES",J18*0.000002,0)*100*1.2</f>
        <v>16.40879712</v>
      </c>
      <c r="B236" s="107" t="n">
        <f aca="false">E233+A236</f>
        <v>65.63518848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2070.5996</v>
      </c>
      <c r="C240" s="97"/>
      <c r="D240" s="97"/>
      <c r="E240" s="107" t="n">
        <f aca="false">E188</f>
        <v>54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13727.9212666667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8642.75</v>
      </c>
      <c r="C254" s="201"/>
      <c r="D254" s="202" t="s">
        <v>227</v>
      </c>
      <c r="E254" s="202"/>
      <c r="F254" s="204" t="n">
        <f aca="false">F261+F267+F269+B270+B271</f>
        <v>2484.71952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639.991666666667</v>
      </c>
      <c r="C255" s="201"/>
      <c r="D255" s="202" t="s">
        <v>229</v>
      </c>
      <c r="E255" s="202"/>
      <c r="F255" s="204" t="n">
        <f aca="false">(B254-F254)+B255</f>
        <v>6798.02214666667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8642.75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0.03</v>
      </c>
      <c r="C261" s="36"/>
      <c r="D261" s="170" t="s">
        <v>232</v>
      </c>
      <c r="E261" s="170"/>
      <c r="F261" s="155" t="n">
        <f aca="false">B68*1.2</f>
        <v>2484.71952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0.3</v>
      </c>
      <c r="C262" s="36"/>
      <c r="D262" s="170" t="s">
        <v>233</v>
      </c>
      <c r="E262" s="170"/>
      <c r="F262" s="150" t="n">
        <f aca="false">E240*10</f>
        <v>540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6798.02214666667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134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</v>
      </c>
      <c r="C4" s="128" t="n">
        <v>0</v>
      </c>
      <c r="D4" s="128" t="n">
        <v>0</v>
      </c>
      <c r="E4" s="128"/>
      <c r="F4" s="128" t="n">
        <v>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 t="n">
        <v>0</v>
      </c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35</v>
      </c>
      <c r="P29" s="216"/>
    </row>
    <row r="30" customFormat="false" ht="19.5" hidden="false" customHeight="false" outlineLevel="0" collapsed="false">
      <c r="A30" s="35" t="s">
        <v>192</v>
      </c>
      <c r="B30" s="108" t="s">
        <v>357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35000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11355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 t="n">
        <v>0</v>
      </c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35</v>
      </c>
      <c r="B33" s="236" t="n">
        <f aca="false">B51</f>
        <v>35000</v>
      </c>
      <c r="C33" s="97"/>
      <c r="D33" s="97"/>
      <c r="E33" s="236" t="n">
        <f aca="false">K48</f>
        <v>1566.92467304909</v>
      </c>
      <c r="F33" s="236"/>
      <c r="G33" s="236"/>
      <c r="H33" s="51"/>
      <c r="I33" s="7"/>
      <c r="J33" s="38" t="s">
        <v>365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0.065</v>
      </c>
      <c r="P35" s="216"/>
    </row>
    <row r="36" customFormat="false" ht="18.75" hidden="false" customHeight="false" outlineLevel="0" collapsed="false">
      <c r="A36" s="189" t="n">
        <f aca="false">K47</f>
        <v>1566.92467304909</v>
      </c>
      <c r="B36" s="236" t="str">
        <f aca="false">IF(B26="YES",K42,"0.00")</f>
        <v>0.00</v>
      </c>
      <c r="C36" s="236"/>
      <c r="D36" s="236"/>
      <c r="E36" s="236" t="n">
        <f aca="false">K31</f>
        <v>11355</v>
      </c>
      <c r="F36" s="236"/>
      <c r="G36" s="236"/>
      <c r="H36" s="51"/>
      <c r="I36" s="7"/>
      <c r="J36" s="7" t="s">
        <v>59</v>
      </c>
      <c r="K36" s="7" t="n">
        <f aca="false">K29</f>
        <v>35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33233.5481360284</v>
      </c>
      <c r="N39" s="6" t="n">
        <f aca="false">K39-L39</f>
        <v>24391.4418639716</v>
      </c>
      <c r="P39" s="216"/>
    </row>
    <row r="40" customFormat="false" ht="19.5" hidden="false" customHeight="false" outlineLevel="0" collapsed="false">
      <c r="A40" s="317" t="n">
        <f aca="false">E36*A45/100</f>
        <v>11355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9462.5</v>
      </c>
      <c r="L40" s="7" t="n">
        <f aca="false">K39-L39</f>
        <v>24391.4418639716</v>
      </c>
      <c r="N40" s="6" t="n">
        <f aca="false">N38-N39</f>
        <v>-21479.7618639716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0.00541666666666667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(K32/K36/100)*C45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7790.17126095915</v>
      </c>
      <c r="L44" s="7"/>
      <c r="P44" s="216"/>
    </row>
    <row r="45" customFormat="false" ht="19.5" hidden="false" customHeight="false" outlineLevel="0" collapsed="false">
      <c r="A45" s="513" t="n">
        <v>100</v>
      </c>
      <c r="B45" s="97"/>
      <c r="C45" s="512" t="n">
        <v>100</v>
      </c>
      <c r="D45" s="512"/>
      <c r="E45" s="512"/>
      <c r="F45" s="97"/>
      <c r="G45" s="97"/>
      <c r="H45" s="37"/>
      <c r="J45" s="7" t="s">
        <v>376</v>
      </c>
      <c r="K45" s="7" t="n">
        <f aca="false">(K39-K44)</f>
        <v>49834.8187390409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31.8042210938366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1566.92467304909</v>
      </c>
      <c r="L47" s="7" t="n">
        <f aca="false">L49-K42</f>
        <v>800</v>
      </c>
      <c r="M47" s="6" t="n">
        <f aca="false">K47-L47</f>
        <v>766.924673049091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1566.92467304909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35000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35</v>
      </c>
      <c r="B52" s="78" t="n">
        <f aca="false">K48</f>
        <v>1566.92467304909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34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34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34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34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0.065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31855.251407174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-3472.33199844117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19802.1465698388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-16.5222106284054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0.03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0.0739583333333333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0.00979166666666667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0.00979166666666667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2045.5996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5056.5303625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669.4561325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522.495465208333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B73*B29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11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117"/>
      <c r="G77" s="11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B77/H29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1566.92467304909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1566.92467304909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1566.92467304909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1566.92467304909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81823.984</v>
      </c>
      <c r="C81" s="97"/>
      <c r="D81" s="97"/>
      <c r="E81" s="117"/>
      <c r="F81" s="29" t="s">
        <v>115</v>
      </c>
      <c r="G81" s="31" t="n">
        <f aca="false">G158</f>
        <v>81823.984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69843.50051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11355</v>
      </c>
      <c r="C82" s="97"/>
      <c r="D82" s="97"/>
      <c r="E82" s="117"/>
      <c r="F82" s="35" t="s">
        <v>116</v>
      </c>
      <c r="G82" s="37" t="n">
        <f aca="false">IF(A111="YES",A40,0)</f>
        <v>11355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11355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11355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88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34</v>
      </c>
      <c r="C85" s="97"/>
      <c r="D85" s="97"/>
      <c r="E85" s="117"/>
      <c r="F85" s="35" t="s">
        <v>119</v>
      </c>
      <c r="G85" s="37" t="n">
        <f aca="false">IF(G82=0,(B59+B58),(B59))</f>
        <v>34</v>
      </c>
      <c r="H85" s="37"/>
      <c r="J85" s="35" t="s">
        <v>119</v>
      </c>
      <c r="K85" s="37" t="n">
        <f aca="false">IF(K82=0,(K59+K58),(K59))</f>
        <v>35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34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34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8132.25716209324</v>
      </c>
      <c r="C86" s="97"/>
      <c r="D86" s="97"/>
      <c r="E86" s="117"/>
      <c r="F86" s="35" t="s">
        <v>120</v>
      </c>
      <c r="G86" s="37" t="n">
        <f aca="false">(G82/((1+G84)^(G85+1)))</f>
        <v>9398.84162634722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7765.14651861989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7765.14651861989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28.8995114056174</v>
      </c>
      <c r="C87" s="97"/>
      <c r="D87" s="97"/>
      <c r="E87" s="117"/>
      <c r="F87" s="35" t="s">
        <v>121</v>
      </c>
      <c r="G87" s="37" t="n">
        <f aca="false">((1-(1/((1+G84)^G85)))/G84)</f>
        <v>30.9764939580949</v>
      </c>
      <c r="H87" s="37"/>
      <c r="J87" s="35" t="s">
        <v>121</v>
      </c>
      <c r="K87" s="37" t="n">
        <f aca="false">((1-(1/((1+K84)^K85)))/K84)</f>
        <v>24.9986193320352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28.2762125724768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28.2762125724768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73691.7268379068</v>
      </c>
      <c r="C88" s="97"/>
      <c r="D88" s="97"/>
      <c r="E88" s="117"/>
      <c r="F88" s="35" t="s">
        <v>122</v>
      </c>
      <c r="G88" s="37" t="n">
        <f aca="false">G81-G86</f>
        <v>72425.1423736528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62078.3539913801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45596.0924813801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2549.92985187918</v>
      </c>
      <c r="C89" s="97"/>
      <c r="D89" s="97"/>
      <c r="E89" s="117"/>
      <c r="F89" s="35" t="s">
        <v>123</v>
      </c>
      <c r="G89" s="37" t="n">
        <f aca="false">(G88/G87)</f>
        <v>2338.06777718711</v>
      </c>
      <c r="H89" s="37"/>
      <c r="J89" s="35" t="s">
        <v>123</v>
      </c>
      <c r="K89" s="37" t="n">
        <f aca="false">(K88/K87)</f>
        <v>1510.88328112579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2195.42676842815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1612.52474547323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86697.6149638922</v>
      </c>
      <c r="C90" s="97"/>
      <c r="D90" s="97"/>
      <c r="E90" s="117"/>
      <c r="F90" s="35" t="s">
        <v>124</v>
      </c>
      <c r="G90" s="37" t="n">
        <f aca="false">((G89*(G85))+G77)</f>
        <v>79494.3044243618</v>
      </c>
      <c r="H90" s="37"/>
      <c r="J90" s="35" t="s">
        <v>124</v>
      </c>
      <c r="K90" s="37" t="n">
        <f aca="false">((K89*(K85))+K77)</f>
        <v>52880.9148394028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74644.510126557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54825.8413460898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(B90/(1-B71))*B71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86697.6149638922</v>
      </c>
      <c r="C92" s="97"/>
      <c r="D92" s="97"/>
      <c r="E92" s="117"/>
      <c r="F92" s="60" t="s">
        <v>126</v>
      </c>
      <c r="G92" s="69" t="n">
        <f aca="false">(G90+G91)</f>
        <v>79494.3044243618</v>
      </c>
      <c r="H92" s="37"/>
      <c r="J92" s="60" t="s">
        <v>126</v>
      </c>
      <c r="K92" s="69" t="n">
        <f aca="false">(K90+K91)</f>
        <v>52880.9148394028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74644.510126557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54825.8413460898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4" t="str">
        <f aca="false">IF(B26="YES",((E40/B85)*(1+A108)*(C45/100)),"0")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2549.92985187918</v>
      </c>
      <c r="C95" s="97"/>
      <c r="D95" s="97"/>
      <c r="E95" s="117"/>
      <c r="F95" s="99" t="s">
        <v>128</v>
      </c>
      <c r="G95" s="100" t="n">
        <f aca="false">G92/(G85)</f>
        <v>2338.06777718711</v>
      </c>
      <c r="H95" s="37"/>
      <c r="J95" s="99" t="s">
        <v>128</v>
      </c>
      <c r="K95" s="100" t="n">
        <f aca="false">K92/(K85)</f>
        <v>1510.88328112579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2195.42676842815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1612.52474547323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(B94+B95)</f>
        <v>2549.92985187918</v>
      </c>
      <c r="C96" s="97"/>
      <c r="D96" s="97"/>
      <c r="E96" s="117"/>
      <c r="F96" s="101" t="s">
        <v>129</v>
      </c>
      <c r="G96" s="102" t="n">
        <f aca="false">G94+G95</f>
        <v>2338.06777718711</v>
      </c>
      <c r="H96" s="37"/>
      <c r="J96" s="101" t="s">
        <v>129</v>
      </c>
      <c r="K96" s="102" t="n">
        <f aca="false">(K94+K95)</f>
        <v>1510.88328112579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2195.42676842815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1612.52474547323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s">
        <v>8</v>
      </c>
      <c r="C108" s="111"/>
      <c r="D108" s="111"/>
      <c r="E108" s="112" t="n">
        <f aca="false">B83</f>
        <v>0.115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245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n">
        <v>0.3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</v>
      </c>
      <c r="D122" s="127" t="n">
        <f aca="false">D4</f>
        <v>0</v>
      </c>
      <c r="E122" s="128" t="n">
        <v>0</v>
      </c>
      <c r="F122" s="127" t="n">
        <f aca="false">F4</f>
        <v>0</v>
      </c>
      <c r="G122" s="458" t="n">
        <v>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-11503.33</v>
      </c>
      <c r="D123" s="134" t="n">
        <f aca="false">D5</f>
        <v>0</v>
      </c>
      <c r="E123" s="125" t="n">
        <v>0</v>
      </c>
      <c r="F123" s="134" t="n">
        <f aca="false">F5</f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(U121*U122/100)+U123</f>
        <v>138.739575</v>
      </c>
      <c r="V124" s="134" t="n">
        <f aca="false">(V121*V122)+V123</f>
        <v>0</v>
      </c>
      <c r="W124" s="135" t="n">
        <f aca="false">(W121*W122/100)+W123</f>
        <v>0</v>
      </c>
      <c r="X124" s="134" t="n">
        <f aca="false">(X121*X122)+X123</f>
        <v>0</v>
      </c>
      <c r="Y124" s="135" t="n">
        <f aca="false">(Y121*Y122/100)+Y123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55357.090425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56190.420425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11367.250085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f aca="false">G138</f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68843.50051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s">
        <v>180</v>
      </c>
      <c r="C144" s="165"/>
      <c r="D144" s="165"/>
      <c r="E144" s="165"/>
      <c r="F144" s="165"/>
      <c r="G144" s="159" t="n">
        <f aca="false">H18</f>
        <v>0</v>
      </c>
      <c r="H144" s="44" t="n">
        <f aca="false">G144</f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68843.50051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-58600.545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-176.48749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1000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81823.984</v>
      </c>
      <c r="H158" s="174"/>
      <c r="J158" s="173" t="s">
        <v>190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190</v>
      </c>
      <c r="T158" s="97"/>
      <c r="U158" s="97"/>
      <c r="V158" s="117"/>
      <c r="W158" s="97"/>
      <c r="X158" s="117"/>
      <c r="Y158" s="174" t="n">
        <f aca="false">Z147-Y154-Y157</f>
        <v>69843.50051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2549.92985187918</v>
      </c>
      <c r="B167" s="181" t="str">
        <f aca="false">B94</f>
        <v>0</v>
      </c>
      <c r="C167" s="178"/>
      <c r="D167" s="178"/>
      <c r="E167" s="181" t="n">
        <f aca="false">B96</f>
        <v>2549.92985187918</v>
      </c>
      <c r="F167" s="27"/>
      <c r="G167" s="27" t="n">
        <f aca="false">ROUND(G95,2)</f>
        <v>2338.07</v>
      </c>
      <c r="H167" s="37"/>
      <c r="J167" s="180" t="n">
        <f aca="false">K95</f>
        <v>1510.88328112579</v>
      </c>
      <c r="K167" s="181" t="n">
        <f aca="false">K94</f>
        <v>0</v>
      </c>
      <c r="L167" s="178"/>
      <c r="M167" s="178"/>
      <c r="N167" s="181" t="n">
        <f aca="false">K96</f>
        <v>1510.88328112579</v>
      </c>
      <c r="O167" s="27"/>
      <c r="P167" s="27"/>
      <c r="Q167" s="37"/>
      <c r="S167" s="180" t="n">
        <f aca="false">T95</f>
        <v>2195.42676842815</v>
      </c>
      <c r="T167" s="181" t="n">
        <f aca="false">T94</f>
        <v>0</v>
      </c>
      <c r="U167" s="178"/>
      <c r="V167" s="178"/>
      <c r="W167" s="181" t="n">
        <f aca="false">T96</f>
        <v>2195.42676842815</v>
      </c>
      <c r="X167" s="27"/>
      <c r="Y167" s="27"/>
      <c r="Z167" s="37"/>
      <c r="AB167" s="180" t="n">
        <f aca="false">AC95</f>
        <v>1612.52474547323</v>
      </c>
      <c r="AC167" s="181" t="n">
        <f aca="false">AC94</f>
        <v>0</v>
      </c>
      <c r="AD167" s="178"/>
      <c r="AE167" s="178"/>
      <c r="AF167" s="181" t="n">
        <f aca="false">AC96</f>
        <v>1612.52474547323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35</v>
      </c>
      <c r="B170" s="184" t="n">
        <f aca="false">K30</f>
        <v>35000</v>
      </c>
      <c r="C170" s="185"/>
      <c r="D170" s="27"/>
      <c r="E170" s="186" t="n">
        <f aca="false">IF(A111="YES",A40,0)</f>
        <v>11355</v>
      </c>
      <c r="F170" s="27"/>
      <c r="G170" s="27"/>
      <c r="H170" s="37"/>
      <c r="J170" s="183" t="n">
        <f aca="false">K29</f>
        <v>35</v>
      </c>
      <c r="K170" s="184" t="n">
        <f aca="false">K30</f>
        <v>35000</v>
      </c>
      <c r="L170" s="185"/>
      <c r="M170" s="27"/>
      <c r="N170" s="186" t="n">
        <f aca="false">IF(A111="YES",A40,0)</f>
        <v>11355</v>
      </c>
      <c r="O170" s="27"/>
      <c r="P170" s="27"/>
      <c r="Q170" s="37"/>
      <c r="S170" s="183" t="n">
        <f aca="false">K29</f>
        <v>35</v>
      </c>
      <c r="T170" s="184" t="n">
        <f aca="false">K30</f>
        <v>35000</v>
      </c>
      <c r="U170" s="185"/>
      <c r="V170" s="27"/>
      <c r="W170" s="186" t="n">
        <f aca="false">IF(A111="YES",A40,0)</f>
        <v>11355</v>
      </c>
      <c r="X170" s="27"/>
      <c r="Y170" s="27"/>
      <c r="Z170" s="37"/>
      <c r="AB170" s="183" t="n">
        <f aca="false">K29</f>
        <v>35</v>
      </c>
      <c r="AC170" s="184" t="n">
        <f aca="false">K30</f>
        <v>35000</v>
      </c>
      <c r="AD170" s="185"/>
      <c r="AE170" s="27"/>
      <c r="AF170" s="186" t="n">
        <f aca="false">IF(A111="YES",A40,0)</f>
        <v>11355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56836.250425</v>
      </c>
      <c r="T173" s="107" t="n">
        <f aca="false">Z137</f>
        <v>11367.250085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82823.984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68843.50051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81823.984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69843.50051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16228.64</v>
      </c>
      <c r="B182" s="107" t="str">
        <f aca="false">B114</f>
        <v>199.99</v>
      </c>
      <c r="C182" s="107"/>
      <c r="D182" s="27"/>
      <c r="E182" s="107" t="n">
        <f aca="false">ROUND(E179, 2)+ROUND(A182, 2)+(ROUND(B182, 2)*1.2)+ROUND(A185, 2)</f>
        <v>98302.608</v>
      </c>
      <c r="F182" s="27"/>
      <c r="G182" s="27"/>
      <c r="H182" s="109"/>
      <c r="J182" s="115" t="n">
        <f aca="false">(J167*K59)+N185-N179-J185</f>
        <v>24955.035558277</v>
      </c>
      <c r="K182" s="107" t="n">
        <f aca="false">K114</f>
        <v>239.99</v>
      </c>
      <c r="L182" s="107"/>
      <c r="M182" s="27"/>
      <c r="N182" s="107" t="n">
        <f aca="false">N179+J182+K182+J185</f>
        <v>62985.021558277</v>
      </c>
      <c r="O182" s="27"/>
      <c r="P182" s="27"/>
      <c r="Q182" s="109"/>
      <c r="S182" s="115" t="n">
        <f aca="false">(S167*T59)+W185-W179-S185</f>
        <v>16156.009616557</v>
      </c>
      <c r="T182" s="107" t="n">
        <f aca="false">T114</f>
        <v>199.99</v>
      </c>
      <c r="U182" s="107"/>
      <c r="V182" s="27"/>
      <c r="W182" s="107" t="n">
        <f aca="false">W179+S182+T182+S185</f>
        <v>86209.500126557</v>
      </c>
      <c r="X182" s="27"/>
      <c r="Y182" s="27"/>
      <c r="Z182" s="109"/>
      <c r="AB182" s="115" t="n">
        <f aca="false">(AB167*AC59)+AF185-AF179-AB185</f>
        <v>12819.6023460898</v>
      </c>
      <c r="AC182" s="107" t="n">
        <f aca="false">AC114</f>
        <v>239.99</v>
      </c>
      <c r="AD182" s="107"/>
      <c r="AE182" s="27"/>
      <c r="AF182" s="107" t="n">
        <f aca="false">AF179+AB182+AC182+AB185</f>
        <v>66430.8313460898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2239.988</v>
      </c>
      <c r="C185" s="107"/>
      <c r="D185" s="27"/>
      <c r="E185" s="107" t="n">
        <f aca="false">IF( E170=0 , A185+E167, E170+A185)</f>
        <v>11365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11375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11365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11365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0</v>
      </c>
      <c r="B188" s="107" t="n">
        <f aca="false">(G158*B67)/1.2</f>
        <v>2045.5996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2327.83829513889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569.903563189236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435.412887673611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2145.5896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3467.82829513889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1669.89356318924</v>
      </c>
      <c r="U191" s="97"/>
      <c r="V191" s="97"/>
      <c r="W191" s="107" t="n">
        <f aca="false">Z148</f>
        <v>-176.48749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1575.40288767361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35</v>
      </c>
      <c r="B197" s="78" t="n">
        <f aca="false">B96</f>
        <v>2549.92985187918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n">
        <f aca="false">K96</f>
        <v>1510.88328112579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n">
        <f aca="false">T96</f>
        <v>2195.42676842815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n">
        <f aca="false">AC96</f>
        <v>1612.52474547323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9025.39599999999</v>
      </c>
      <c r="B201" s="190" t="n">
        <f aca="false">E179+A201+(B182*1.2)+A185</f>
        <v>91099.368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n">
        <f aca="false">A197</f>
        <v>35</v>
      </c>
      <c r="C209" s="178"/>
      <c r="D209" s="178"/>
      <c r="E209" s="178" t="n">
        <f aca="false">B196</f>
        <v>35000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2549.92985187918</v>
      </c>
      <c r="B212" s="181" t="str">
        <f aca="false">B167</f>
        <v>0</v>
      </c>
      <c r="C212" s="178"/>
      <c r="D212" s="178"/>
      <c r="E212" s="181" t="n">
        <f aca="false">E167</f>
        <v>2549.92985187918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81823.984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16228.64</v>
      </c>
      <c r="B224" s="107" t="str">
        <f aca="false">B182</f>
        <v>199.99</v>
      </c>
      <c r="C224" s="107"/>
      <c r="D224" s="117"/>
      <c r="E224" s="107" t="n">
        <f aca="false">E182</f>
        <v>98302.608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34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2549.92985187918</v>
      </c>
      <c r="B230" s="107" t="str">
        <f aca="false">B167</f>
        <v>0</v>
      </c>
      <c r="C230" s="190"/>
      <c r="D230" s="190"/>
      <c r="E230" s="107" t="n">
        <f aca="false">E167</f>
        <v>2549.92985187918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11355</v>
      </c>
      <c r="B233" s="107" t="n">
        <f aca="false">E185</f>
        <v>11365</v>
      </c>
      <c r="C233" s="97"/>
      <c r="D233" s="97"/>
      <c r="E233" s="107" t="n">
        <f aca="false">J18*0.000006*100</f>
        <v>41.0219928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</f>
        <v>0</v>
      </c>
      <c r="B236" s="107" t="n">
        <f aca="false">E233+A236</f>
        <v>41.0219928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2045.5996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13648.9196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7213.23999999999</v>
      </c>
      <c r="C254" s="201"/>
      <c r="D254" s="202" t="s">
        <v>227</v>
      </c>
      <c r="E254" s="202"/>
      <c r="F254" s="204" t="n">
        <f aca="false">F261+F267+F269+B270+B271</f>
        <v>2454.71952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4858.51047999999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7213.23999999999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0.03</v>
      </c>
      <c r="C261" s="36"/>
      <c r="D261" s="170" t="s">
        <v>232</v>
      </c>
      <c r="E261" s="170"/>
      <c r="F261" s="155" t="n">
        <f aca="false">B68*1.2</f>
        <v>2454.71952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4858.51047999999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2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53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 t="s">
        <v>27</v>
      </c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267" t="n">
        <v>55495.83</v>
      </c>
      <c r="C3" s="504" t="n">
        <v>0</v>
      </c>
      <c r="D3" s="267" t="n">
        <v>833.33</v>
      </c>
      <c r="E3" s="505" t="n">
        <v>0</v>
      </c>
      <c r="F3" s="67"/>
      <c r="G3" s="67" t="n">
        <v>25000</v>
      </c>
      <c r="H3" s="67"/>
      <c r="I3" s="67" t="s">
        <v>28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0" t="n">
        <v>0</v>
      </c>
      <c r="C4" s="0" t="n">
        <v>0</v>
      </c>
      <c r="D4" s="0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461" t="n">
        <f aca="false">G9*100/B3</f>
        <v>-172.422876938081</v>
      </c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14" t="n">
        <f aca="false">(B7+C7+D7+E3)</f>
        <v>56329.16</v>
      </c>
      <c r="F9" s="67"/>
      <c r="G9" s="460" t="n">
        <f aca="false">E9-G11</f>
        <v>-95687.5066666667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460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(E9+E10)*0.2</f>
        <v>11394.998</v>
      </c>
      <c r="F11" s="67"/>
      <c r="G11" s="460" t="n">
        <f aca="false">G13/1.2</f>
        <v>152016.666666667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460" t="n">
        <f aca="false">G15-E14-E13-E12</f>
        <v>182420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15" t="n">
        <f aca="false">(E9+E10+E13+E14+E11)-E12</f>
        <v>69019.988</v>
      </c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462" t="n">
        <f aca="false">(B3+C3+E10)*1.2</f>
        <v>67369.992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 t="n">
        <v>0</v>
      </c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67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357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28050</v>
      </c>
      <c r="I31" s="242" t="n">
        <f aca="false">IF(C107="YES",H31,0)</f>
        <v>28050</v>
      </c>
      <c r="J31" s="67"/>
      <c r="K31" s="67" t="n">
        <v>20000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2160</v>
      </c>
      <c r="J32" s="67"/>
      <c r="K32" s="67" t="n">
        <v>2160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1239.52019526256</v>
      </c>
      <c r="E33" s="220"/>
      <c r="F33" s="67"/>
      <c r="G33" s="223" t="s">
        <v>365</v>
      </c>
      <c r="H33" s="466" t="n">
        <f aca="false">E21-E11+((E16*20%)+(E19*20%)+(E20*20%))</f>
        <v>57624.99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1179.52019526256</v>
      </c>
      <c r="B36" s="107" t="n">
        <f aca="false">IF(B26="YES",H42,"")</f>
        <v>60</v>
      </c>
      <c r="C36" s="225"/>
      <c r="D36" s="188" t="n">
        <f aca="false">I31</f>
        <v>28050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57624.99</v>
      </c>
      <c r="I39" s="242" t="n">
        <f aca="false">(I48*H46)+H44</f>
        <v>62861.0430417268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28050</v>
      </c>
      <c r="B40" s="111" t="n">
        <f aca="false">IF(B26="YES",H42,"0")</f>
        <v>60</v>
      </c>
      <c r="C40" s="111"/>
      <c r="D40" s="188" t="n">
        <f aca="false">I32</f>
        <v>2160</v>
      </c>
      <c r="E40" s="220"/>
      <c r="F40" s="67"/>
      <c r="G40" s="67" t="s">
        <v>116</v>
      </c>
      <c r="H40" s="242" t="n">
        <f aca="false">A40/1.2</f>
        <v>23375</v>
      </c>
      <c r="I40" s="242" t="n">
        <f aca="false">H39-I39</f>
        <v>-5236.05304172679</v>
      </c>
      <c r="J40" s="67" t="n">
        <v>24541.66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60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19140.2079659795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100</v>
      </c>
      <c r="D45" s="469"/>
      <c r="E45" s="220"/>
      <c r="F45" s="67"/>
      <c r="G45" s="67" t="s">
        <v>383</v>
      </c>
      <c r="H45" s="242" t="n">
        <f aca="false">(H39-H44)</f>
        <v>38484.7820340206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32.627488862498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1179.52019526256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1239.52019526256</v>
      </c>
      <c r="I48" s="242" t="n">
        <f aca="false">I49-H42</f>
        <v>1340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1239.52019526256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218" t="s">
        <v>23</v>
      </c>
      <c r="N61" s="294" t="n">
        <f aca="false">G18</f>
        <v>68369.988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7178.84874</v>
      </c>
      <c r="C64" s="219" t="n">
        <v>10000</v>
      </c>
      <c r="D64" s="294" t="n">
        <f aca="false">B64-A143</f>
        <v>7178.84874</v>
      </c>
      <c r="E64" s="220"/>
      <c r="F64" s="67"/>
      <c r="G64" s="288" t="s">
        <v>100</v>
      </c>
      <c r="H64" s="137" t="n">
        <f aca="false">H61*H63</f>
        <v>7178.84874</v>
      </c>
      <c r="I64" s="219"/>
      <c r="J64" s="294" t="n">
        <f aca="false">H64-G145</f>
        <v>7178.84874</v>
      </c>
      <c r="K64" s="220"/>
      <c r="L64" s="67"/>
      <c r="M64" s="288" t="s">
        <v>100</v>
      </c>
      <c r="N64" s="137" t="n">
        <f aca="false">N61*N63</f>
        <v>7178.84874</v>
      </c>
      <c r="O64" s="219"/>
      <c r="P64" s="294" t="n">
        <f aca="false">N64-M145</f>
        <v>7178.84874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300</v>
      </c>
      <c r="C65" s="219"/>
      <c r="D65" s="219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300</v>
      </c>
      <c r="C67" s="219"/>
      <c r="D67" s="294"/>
      <c r="E67" s="220"/>
      <c r="F67" s="67"/>
      <c r="G67" s="288" t="s">
        <v>103</v>
      </c>
      <c r="H67" s="137" t="n">
        <f aca="false">(H61*H66)/1.2</f>
        <v>1139.4998</v>
      </c>
      <c r="I67" s="219"/>
      <c r="J67" s="294"/>
      <c r="K67" s="220"/>
      <c r="L67" s="67"/>
      <c r="M67" s="288" t="s">
        <v>103</v>
      </c>
      <c r="N67" s="137" t="n">
        <f aca="false">(N61*N66)/1.2</f>
        <v>1139.4998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477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294" t="n">
        <f aca="false">B73+B71</f>
        <v>380</v>
      </c>
      <c r="E73" s="220"/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437" t="s">
        <v>288</v>
      </c>
      <c r="B74" s="438" t="n">
        <v>0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439" t="s">
        <v>289</v>
      </c>
      <c r="B75" s="440" t="n">
        <v>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441" t="s">
        <v>290</v>
      </c>
      <c r="B76" s="442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135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8625.51540666667</v>
      </c>
      <c r="C81" s="219"/>
      <c r="D81" s="219"/>
      <c r="E81" s="220"/>
      <c r="F81" s="67"/>
      <c r="G81" s="307" t="s">
        <v>112</v>
      </c>
      <c r="H81" s="308" t="n">
        <f aca="false">SUM(J64:J80)</f>
        <v>8244.59874</v>
      </c>
      <c r="I81" s="219"/>
      <c r="J81" s="219"/>
      <c r="K81" s="220"/>
      <c r="L81" s="67"/>
      <c r="M81" s="307" t="s">
        <v>112</v>
      </c>
      <c r="N81" s="308" t="n">
        <f aca="false">SUM(P64:P80)</f>
        <v>7900.84874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239.597650185185</v>
      </c>
      <c r="C82" s="219"/>
      <c r="D82" s="219"/>
      <c r="E82" s="220"/>
      <c r="F82" s="67"/>
      <c r="G82" s="218" t="s">
        <v>113</v>
      </c>
      <c r="H82" s="304" t="n">
        <f aca="false">H81/H29</f>
        <v>229.016631666667</v>
      </c>
      <c r="I82" s="219"/>
      <c r="J82" s="219"/>
      <c r="K82" s="220"/>
      <c r="L82" s="67"/>
      <c r="M82" s="218" t="s">
        <v>113</v>
      </c>
      <c r="N82" s="304" t="n">
        <f aca="false">N81/H29</f>
        <v>219.468020555556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1179.52019526256</v>
      </c>
      <c r="C83" s="219"/>
      <c r="D83" s="219"/>
      <c r="E83" s="220"/>
      <c r="F83" s="67"/>
      <c r="G83" s="309" t="s">
        <v>114</v>
      </c>
      <c r="H83" s="310" t="n">
        <f aca="false">H47</f>
        <v>1179.52019526256</v>
      </c>
      <c r="I83" s="219"/>
      <c r="J83" s="219"/>
      <c r="K83" s="220"/>
      <c r="L83" s="67"/>
      <c r="M83" s="309" t="s">
        <v>114</v>
      </c>
      <c r="N83" s="310" t="n">
        <f aca="false">H47</f>
        <v>1179.52019526256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51088.2424361187</v>
      </c>
      <c r="C85" s="219"/>
      <c r="D85" s="219"/>
      <c r="E85" s="220"/>
      <c r="F85" s="67"/>
      <c r="G85" s="291" t="s">
        <v>124</v>
      </c>
      <c r="H85" s="135" t="n">
        <f aca="false">((H83*H29)+H81)*1.2</f>
        <v>60848.7909233425</v>
      </c>
      <c r="I85" s="219"/>
      <c r="J85" s="219"/>
      <c r="K85" s="220"/>
      <c r="L85" s="67"/>
      <c r="M85" s="291" t="s">
        <v>124</v>
      </c>
      <c r="N85" s="135" t="n">
        <f aca="false">((N83*H29)+N81)</f>
        <v>50363.575769452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432.776559563733</v>
      </c>
      <c r="C86" s="219"/>
      <c r="D86" s="219"/>
      <c r="E86" s="220"/>
      <c r="F86" s="67"/>
      <c r="G86" s="218" t="s">
        <v>125</v>
      </c>
      <c r="H86" s="304" t="n">
        <f aca="false">((((H83*H29)+H81))/(1-H70))*H70</f>
        <v>429.54975440036</v>
      </c>
      <c r="I86" s="219"/>
      <c r="J86" s="219"/>
      <c r="K86" s="220"/>
      <c r="L86" s="67"/>
      <c r="M86" s="218" t="s">
        <v>125</v>
      </c>
      <c r="N86" s="304" t="n">
        <f aca="false">(N85/(1-N70))*N70</f>
        <v>426.63779393243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IF(B110="YES",((B85+B86)-E114),(B85+B86))</f>
        <v>51521.0189956824</v>
      </c>
      <c r="C87" s="219"/>
      <c r="D87" s="219"/>
      <c r="E87" s="220"/>
      <c r="F87" s="67"/>
      <c r="G87" s="288" t="s">
        <v>126</v>
      </c>
      <c r="H87" s="137" t="n">
        <f aca="false">IF(H110="YES",((H85+H86)-K114),(H85+H86))</f>
        <v>61278.3406777428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50790.2135633845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IF(B99=Y98,(D40+(D40*B105))/(B58),(D40+(D40*B105))/(B57+B58))*(C45/100)</f>
        <v>78</v>
      </c>
      <c r="C89" s="21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75.8634146341463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63.219512195122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1431.13941654673</v>
      </c>
      <c r="C90" s="219"/>
      <c r="D90" s="219"/>
      <c r="E90" s="220"/>
      <c r="F90" s="67"/>
      <c r="G90" s="312" t="s">
        <v>128</v>
      </c>
      <c r="H90" s="313" t="n">
        <f aca="false">IF(H99=Y98,(H87-J105)/(H58),H87/(H57+H58))</f>
        <v>1494.5936750669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1238.78569666791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1509.13941654673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1570.45708970104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1302.00520886304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350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 t="s">
        <v>351</v>
      </c>
      <c r="C107" s="226" t="s">
        <v>27</v>
      </c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s">
        <v>299</v>
      </c>
      <c r="B108" s="221"/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27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1494.5936750669</v>
      </c>
      <c r="H127" s="181" t="n">
        <f aca="false">IF(G105="YES",H89*H57,0)</f>
        <v>455.180487804878</v>
      </c>
      <c r="I127" s="181"/>
      <c r="J127" s="338" t="n">
        <f aca="false">H91</f>
        <v>1570.45708970104</v>
      </c>
      <c r="K127" s="220"/>
      <c r="L127" s="67"/>
      <c r="M127" s="337" t="n">
        <f aca="false">N90</f>
        <v>1238.78569666791</v>
      </c>
      <c r="N127" s="181" t="n">
        <f aca="false">IF(M105="YES",N89*N57,0)</f>
        <v>379.317073170732</v>
      </c>
      <c r="O127" s="181"/>
      <c r="P127" s="181" t="n">
        <f aca="false">N91</f>
        <v>1302.00520886304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1431.13941654673</v>
      </c>
      <c r="B128" s="325" t="n">
        <f aca="false">IF(A105="YES",B89,0)</f>
        <v>78</v>
      </c>
      <c r="C128" s="329"/>
      <c r="D128" s="325" t="n">
        <f aca="false">B91</f>
        <v>1509.13941654673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1431.13941654673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8967.56205040139</v>
      </c>
      <c r="H133" s="107" t="n">
        <f aca="false">IF(G105="YES",H89*H57,0)</f>
        <v>455.180487804878</v>
      </c>
      <c r="I133" s="225"/>
      <c r="J133" s="188" t="n">
        <f aca="false">H91*H57</f>
        <v>9422.74253820627</v>
      </c>
      <c r="K133" s="220"/>
      <c r="L133" s="67"/>
      <c r="M133" s="189" t="n">
        <f aca="false">N90*N57</f>
        <v>7432.71418000748</v>
      </c>
      <c r="N133" s="107" t="n">
        <f aca="false">IF(M105="YES",N89*N57,0)</f>
        <v>379.317073170732</v>
      </c>
      <c r="O133" s="225"/>
      <c r="P133" s="188" t="n">
        <f aca="false">N91*N57</f>
        <v>7812.03125317822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1509.13941654673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115" t="n">
        <f aca="false">E15*0.000006</f>
        <v>0.414119928</v>
      </c>
      <c r="N136" s="107" t="n">
        <f aca="false">IF(M105="YES",E15*0.000002,0)</f>
        <v>0.138039976</v>
      </c>
      <c r="O136" s="107"/>
      <c r="P136" s="107" t="n">
        <f aca="false">M136+N136</f>
        <v>0.552159904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1431.13941654673</v>
      </c>
      <c r="B137" s="42" t="n">
        <f aca="false">IF(A105="YES",B89,0)</f>
        <v>78</v>
      </c>
      <c r="C137" s="321"/>
      <c r="D137" s="42" t="n">
        <f aca="false">B91</f>
        <v>1509.13941654673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1139.4998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1139.4998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41.0219928</v>
      </c>
      <c r="B140" s="347" t="n">
        <f aca="false">IF(A105="YES",G18*0.000002,0)*100</f>
        <v>13.6739976</v>
      </c>
      <c r="C140" s="348"/>
      <c r="D140" s="347" t="n">
        <f aca="false">A140+B140</f>
        <v>54.6959904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43.2</v>
      </c>
      <c r="H142" s="107" t="n">
        <f aca="false">G102-100</f>
        <v>99.99</v>
      </c>
      <c r="I142" s="107"/>
      <c r="J142" s="107" t="n">
        <f aca="false">(H139+J139+G142+H142)-H145</f>
        <v>1282.6898</v>
      </c>
      <c r="K142" s="109"/>
      <c r="L142" s="67"/>
      <c r="M142" s="115" t="n">
        <f aca="false">IF(M105="YES",((B36*N105)*0.1)*(M130),0)</f>
        <v>43.2</v>
      </c>
      <c r="N142" s="107" t="n">
        <f aca="false">M102-100</f>
        <v>99.99</v>
      </c>
      <c r="O142" s="107"/>
      <c r="P142" s="107" t="n">
        <f aca="false">(N139+P139+M142+N142)-N145</f>
        <v>1282.6898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115" t="n">
        <v>0</v>
      </c>
      <c r="N145" s="107" t="n">
        <f aca="false">(N139+P139+M142+N142)*(M145/N64)</f>
        <v>0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300</v>
      </c>
      <c r="B148" s="42" t="n">
        <f aca="false">B102</f>
        <v>400</v>
      </c>
      <c r="C148" s="42"/>
      <c r="D148" s="42" t="n">
        <f aca="false">IF(A105="YES",(B40*B105)*B125,0)*0.1</f>
        <v>64.8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864.79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1570.45708970104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1302.00520886304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1509.13941654673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1431.13941654673</v>
      </c>
      <c r="B177" s="362" t="n">
        <f aca="false">IF(A105="YES",B89,0)</f>
        <v>78</v>
      </c>
      <c r="C177" s="364"/>
      <c r="D177" s="362" t="n">
        <f aca="false">B91</f>
        <v>1509.13941654673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1431.13941654673</v>
      </c>
      <c r="C180" s="360"/>
      <c r="D180" s="107" t="n">
        <f aca="false">IF(A105="YES",B89*B57,0)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1509.13941654673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1431.13941654673</v>
      </c>
      <c r="B186" s="107" t="n">
        <f aca="false">IF(A105="YES",B89,0)</f>
        <v>78</v>
      </c>
      <c r="C186" s="360"/>
      <c r="D186" s="107" t="n">
        <f aca="false">B91</f>
        <v>1509.13941654673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IF(A105="YES",G18*0.000002,0)*100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300</v>
      </c>
      <c r="B197" s="107" t="n">
        <f aca="false">B102</f>
        <v>400</v>
      </c>
      <c r="C197" s="107"/>
      <c r="D197" s="107" t="n">
        <f aca="false">IF(A105="YES",(B40*B105)*B125,0)*0.1</f>
        <v>64.8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864.79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D64</f>
        <v>7178.84874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300</v>
      </c>
      <c r="C211" s="324" t="s">
        <v>228</v>
      </c>
      <c r="D211" s="379" t="n">
        <f aca="false">B225+E221+B221+B223</f>
        <v>987.99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7866.83874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7178.84874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300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7866.83874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648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432.776559563733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4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'Formula1-FL'!$I$2:$I$3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198" colorId="64" zoomScale="95" zoomScaleNormal="95" zoomScalePageLayoutView="100" workbookViewId="0">
      <selection pane="topLeft" activeCell="B219" activeCellId="0" sqref="B219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267" t="n">
        <v>55495.83</v>
      </c>
      <c r="C3" s="504" t="n">
        <v>0</v>
      </c>
      <c r="D3" s="267" t="n">
        <v>833.33</v>
      </c>
      <c r="E3" s="505" t="n">
        <v>0</v>
      </c>
      <c r="F3" s="67"/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0" t="n">
        <v>0</v>
      </c>
      <c r="C4" s="0" t="n">
        <v>0</v>
      </c>
      <c r="D4" s="0" t="n">
        <v>0</v>
      </c>
      <c r="E4" s="297"/>
      <c r="F4" s="67"/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461" t="n">
        <f aca="false">G9*100/B3</f>
        <v>-172.422876938081</v>
      </c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14" t="n">
        <f aca="false">(B7+C7+D7+E3)</f>
        <v>56329.16</v>
      </c>
      <c r="F9" s="67"/>
      <c r="G9" s="460" t="n">
        <f aca="false">E9-G11</f>
        <v>-95687.5066666667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460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(E9+E10)*0.2</f>
        <v>11394.998</v>
      </c>
      <c r="F11" s="67"/>
      <c r="G11" s="460" t="n">
        <f aca="false">G13/1.2</f>
        <v>152016.666666667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460" t="n">
        <f aca="false">G15-E14-E13-E12</f>
        <v>182420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15" t="n">
        <f aca="false">(E9+E10+E13+E14+E11)-E12</f>
        <v>69019.988</v>
      </c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462" t="n">
        <f aca="false">(B3+C3+E10)*1.2</f>
        <v>67369.992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 t="n">
        <v>0</v>
      </c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67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357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28050</v>
      </c>
      <c r="I31" s="67"/>
      <c r="J31" s="67"/>
      <c r="K31" s="67" t="n">
        <v>20000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1800</v>
      </c>
      <c r="J32" s="67"/>
      <c r="K32" s="67" t="n">
        <v>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1229.52019526256</v>
      </c>
      <c r="E33" s="220"/>
      <c r="F33" s="67"/>
      <c r="G33" s="223" t="s">
        <v>365</v>
      </c>
      <c r="H33" s="466" t="n">
        <f aca="false">E21-E11+((E16*20%)+(E19*20%)+(E20*20%))</f>
        <v>57624.99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1179.52019526256</v>
      </c>
      <c r="B36" s="107" t="n">
        <f aca="false">IF(B26="YES",H42,"")</f>
        <v>50</v>
      </c>
      <c r="C36" s="225"/>
      <c r="D36" s="188" t="n">
        <f aca="false">H31</f>
        <v>28050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57624.99</v>
      </c>
      <c r="I39" s="242" t="n">
        <f aca="false">(I48*H46)+H44</f>
        <v>63187.3179303518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28050</v>
      </c>
      <c r="B40" s="111" t="n">
        <f aca="false">IF(B26="YES",H42,"0")</f>
        <v>50</v>
      </c>
      <c r="C40" s="111"/>
      <c r="D40" s="188" t="n">
        <f aca="false">I32</f>
        <v>1800</v>
      </c>
      <c r="E40" s="220"/>
      <c r="F40" s="67"/>
      <c r="G40" s="67" t="s">
        <v>116</v>
      </c>
      <c r="H40" s="242" t="n">
        <f aca="false">(A40)/1.2</f>
        <v>23375</v>
      </c>
      <c r="I40" s="242" t="n">
        <f aca="false">H39-I39</f>
        <v>-5562.32793035177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19140.2079659795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516" t="n">
        <v>100</v>
      </c>
      <c r="D45" s="516"/>
      <c r="E45" s="220"/>
      <c r="F45" s="67"/>
      <c r="G45" s="67" t="s">
        <v>383</v>
      </c>
      <c r="H45" s="242" t="n">
        <f aca="false">(H39-H44)</f>
        <v>38484.7820340206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32.627488862498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1179.52019526256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1229.52019526256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1229.52019526256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218" t="s">
        <v>23</v>
      </c>
      <c r="N61" s="294" t="n">
        <f aca="false">G18</f>
        <v>68369.988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7178.84874</v>
      </c>
      <c r="C64" s="219" t="n">
        <v>10000</v>
      </c>
      <c r="D64" s="294" t="n">
        <f aca="false">B64-A143</f>
        <v>7178.84874</v>
      </c>
      <c r="E64" s="472" t="n">
        <f aca="false">D64/(B58+B57)</f>
        <v>199.412465</v>
      </c>
      <c r="F64" s="67"/>
      <c r="G64" s="288" t="s">
        <v>100</v>
      </c>
      <c r="H64" s="137" t="n">
        <f aca="false">H61*H63</f>
        <v>7178.84874</v>
      </c>
      <c r="I64" s="219"/>
      <c r="J64" s="294" t="n">
        <f aca="false">H64-G145</f>
        <v>7178.84874</v>
      </c>
      <c r="K64" s="220"/>
      <c r="L64" s="67"/>
      <c r="M64" s="288" t="s">
        <v>100</v>
      </c>
      <c r="N64" s="137" t="n">
        <f aca="false">N61*N63</f>
        <v>7178.84874</v>
      </c>
      <c r="O64" s="219"/>
      <c r="P64" s="294" t="n">
        <f aca="false">N64-M145</f>
        <v>7178.84874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300</v>
      </c>
      <c r="C65" s="219"/>
      <c r="D65" s="219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300</v>
      </c>
      <c r="C67" s="219"/>
      <c r="D67" s="294"/>
      <c r="E67" s="220"/>
      <c r="F67" s="67"/>
      <c r="G67" s="288" t="s">
        <v>103</v>
      </c>
      <c r="H67" s="137" t="n">
        <f aca="false">(H61*H66)/1.2</f>
        <v>1139.4998</v>
      </c>
      <c r="I67" s="219"/>
      <c r="J67" s="294"/>
      <c r="K67" s="220"/>
      <c r="L67" s="67"/>
      <c r="M67" s="288" t="s">
        <v>103</v>
      </c>
      <c r="N67" s="137" t="n">
        <f aca="false">(N61*N66)/1.2</f>
        <v>1139.4998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294" t="n">
        <f aca="false">B73+B71</f>
        <v>380</v>
      </c>
      <c r="E73" s="220"/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165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355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((B74+B75)/12)*(H29-11)</f>
        <v>1083.33333333333</v>
      </c>
      <c r="C76" s="219"/>
      <c r="D76" s="294" t="n">
        <f aca="false">B76</f>
        <v>1083.33333333333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135" t="n">
        <f aca="false">B102/(1-0.1)</f>
        <v>444.444444444444</v>
      </c>
      <c r="C77" s="21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472" t="n">
        <f aca="false">(D73+D76+D79+D80)/(B58+B57)</f>
        <v>51.7592592592593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9708.84874</v>
      </c>
      <c r="C81" s="219"/>
      <c r="D81" s="219"/>
      <c r="E81" s="472"/>
      <c r="F81" s="67"/>
      <c r="G81" s="307" t="s">
        <v>112</v>
      </c>
      <c r="H81" s="308" t="n">
        <f aca="false">SUM(J64:J80)</f>
        <v>8244.59874</v>
      </c>
      <c r="I81" s="219"/>
      <c r="J81" s="219"/>
      <c r="K81" s="220"/>
      <c r="L81" s="67"/>
      <c r="M81" s="307" t="s">
        <v>112</v>
      </c>
      <c r="N81" s="308" t="n">
        <f aca="false">SUM(P64:P80)</f>
        <v>7900.84874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269.690242777778</v>
      </c>
      <c r="C82" s="219"/>
      <c r="D82" s="219"/>
      <c r="E82" s="472"/>
      <c r="F82" s="67"/>
      <c r="G82" s="218" t="s">
        <v>113</v>
      </c>
      <c r="H82" s="304" t="n">
        <f aca="false">H81/H29</f>
        <v>229.016631666667</v>
      </c>
      <c r="I82" s="219"/>
      <c r="J82" s="219"/>
      <c r="K82" s="220"/>
      <c r="L82" s="67"/>
      <c r="M82" s="218" t="s">
        <v>113</v>
      </c>
      <c r="N82" s="304" t="n">
        <f aca="false">N81/H29</f>
        <v>219.468020555556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1179.52019526256</v>
      </c>
      <c r="C83" s="219"/>
      <c r="D83" s="219"/>
      <c r="E83" s="472" t="n">
        <f aca="false">B83+E80+E77+E64</f>
        <v>1443.03759853416</v>
      </c>
      <c r="F83" s="67"/>
      <c r="G83" s="309" t="s">
        <v>114</v>
      </c>
      <c r="H83" s="310" t="n">
        <f aca="false">H47</f>
        <v>1179.52019526256</v>
      </c>
      <c r="I83" s="219"/>
      <c r="J83" s="219"/>
      <c r="K83" s="220"/>
      <c r="L83" s="67"/>
      <c r="M83" s="309" t="s">
        <v>114</v>
      </c>
      <c r="N83" s="310" t="n">
        <f aca="false">H47</f>
        <v>1179.52019526256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((B83*H29)+B81)*1.2</f>
        <v>62605.8909233424</v>
      </c>
      <c r="C85" s="219"/>
      <c r="D85" s="219"/>
      <c r="E85" s="472" t="n">
        <f aca="false">B85/(B58+B57)</f>
        <v>1739.0525256484</v>
      </c>
      <c r="F85" s="67"/>
      <c r="G85" s="291" t="s">
        <v>124</v>
      </c>
      <c r="H85" s="135" t="n">
        <f aca="false">((H83*H29)+H81)*1.2</f>
        <v>60848.7909233425</v>
      </c>
      <c r="I85" s="219"/>
      <c r="J85" s="219"/>
      <c r="K85" s="220"/>
      <c r="L85" s="67"/>
      <c r="M85" s="291" t="s">
        <v>124</v>
      </c>
      <c r="N85" s="135" t="n">
        <f aca="false">((N83*H29)+N81)</f>
        <v>50363.575769452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((((B83*H29)+B81))/(1-B70))*B70</f>
        <v>441.953647099029</v>
      </c>
      <c r="C86" s="219"/>
      <c r="D86" s="219"/>
      <c r="E86" s="472" t="n">
        <f aca="false">B86/(B58+B57)</f>
        <v>12.2764901971953</v>
      </c>
      <c r="F86" s="67"/>
      <c r="G86" s="218" t="s">
        <v>125</v>
      </c>
      <c r="H86" s="304" t="n">
        <f aca="false">((((H83*H29)+H81))/(1-H70))*H70</f>
        <v>429.54975440036</v>
      </c>
      <c r="I86" s="219"/>
      <c r="J86" s="219"/>
      <c r="K86" s="220"/>
      <c r="L86" s="67"/>
      <c r="M86" s="218" t="s">
        <v>125</v>
      </c>
      <c r="N86" s="304" t="n">
        <f aca="false">(N85/(1-N70))*N70</f>
        <v>426.63779393243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IF(B110="YES",((B85+B86)-E114),(B85+B86))</f>
        <v>63047.8445704415</v>
      </c>
      <c r="C87" s="219"/>
      <c r="D87" s="219"/>
      <c r="E87" s="472" t="n">
        <f aca="false">E86+E85</f>
        <v>1751.3290158456</v>
      </c>
      <c r="F87" s="67"/>
      <c r="G87" s="288" t="s">
        <v>126</v>
      </c>
      <c r="H87" s="137" t="n">
        <f aca="false">IF(H110="YES",((H85+H86)-K114),(H85+H86))</f>
        <v>61278.3406777428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50790.2135633845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IF(B99=Y98,(D40+(D40*B105))/(B58),(D40+(D40*B105))/(B57+B58))*1.2*(C45/100)</f>
        <v>78</v>
      </c>
      <c r="C89" s="21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63.2195121951219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52.6829268292683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1751.3290158456</v>
      </c>
      <c r="C90" s="219"/>
      <c r="D90" s="219"/>
      <c r="E90" s="220"/>
      <c r="F90" s="67"/>
      <c r="G90" s="312" t="s">
        <v>128</v>
      </c>
      <c r="H90" s="313" t="n">
        <f aca="false">IF(H99=Y98,(H87-J105)/(H58),H87/(H57+H58))</f>
        <v>1494.5936750669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1238.78569666791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1829.3290158456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1557.81318726202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1291.46862349718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293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239.99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s">
        <v>299</v>
      </c>
      <c r="B108" s="221"/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E118+E117-E114</f>
        <v>1239.99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1494.5936750669</v>
      </c>
      <c r="H127" s="181" t="n">
        <f aca="false">IF(G105="YES",H89*H57,0)</f>
        <v>379.317073170732</v>
      </c>
      <c r="I127" s="181"/>
      <c r="J127" s="338" t="n">
        <f aca="false">H91</f>
        <v>1557.81318726202</v>
      </c>
      <c r="K127" s="220"/>
      <c r="L127" s="67"/>
      <c r="M127" s="337" t="n">
        <f aca="false">N90</f>
        <v>1238.78569666791</v>
      </c>
      <c r="N127" s="181" t="n">
        <f aca="false">IF(M105="YES",N89*N57,0)</f>
        <v>316.09756097561</v>
      </c>
      <c r="O127" s="181"/>
      <c r="P127" s="181" t="n">
        <f aca="false">N91</f>
        <v>1291.46862349718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1751.3290158456</v>
      </c>
      <c r="B128" s="325" t="n">
        <f aca="false">IF(A105="YES",B89,0)</f>
        <v>78</v>
      </c>
      <c r="C128" s="329"/>
      <c r="D128" s="325" t="n">
        <f aca="false">B91</f>
        <v>1829.3290158456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1751.3290158456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8967.56205040139</v>
      </c>
      <c r="H133" s="107" t="n">
        <f aca="false">IF(G105="YES",H89*H57,0)</f>
        <v>379.317073170732</v>
      </c>
      <c r="I133" s="225"/>
      <c r="J133" s="188" t="n">
        <f aca="false">H91*H57</f>
        <v>9346.87912357212</v>
      </c>
      <c r="K133" s="220"/>
      <c r="L133" s="67"/>
      <c r="M133" s="189" t="n">
        <f aca="false">N90*N57</f>
        <v>7432.71418000748</v>
      </c>
      <c r="N133" s="107" t="n">
        <f aca="false">IF(M105="YES",N89*N57,0)</f>
        <v>316.09756097561</v>
      </c>
      <c r="O133" s="225"/>
      <c r="P133" s="188" t="n">
        <f aca="false">N91*N57</f>
        <v>7748.81174098309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1829.3290158456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115" t="n">
        <f aca="false">E15*0.000006</f>
        <v>0.414119928</v>
      </c>
      <c r="N136" s="107" t="n">
        <f aca="false">IF(M105="YES",E15*0.000002,0)</f>
        <v>0.138039976</v>
      </c>
      <c r="O136" s="107"/>
      <c r="P136" s="107" t="n">
        <f aca="false">M136+N136</f>
        <v>0.552159904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1751.3290158456</v>
      </c>
      <c r="B137" s="42" t="n">
        <f aca="false">IF(A105="YES",B89,0)</f>
        <v>78</v>
      </c>
      <c r="C137" s="321"/>
      <c r="D137" s="42" t="n">
        <f aca="false">B91</f>
        <v>1829.3290158456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1139.4998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1139.4998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49.22639136</v>
      </c>
      <c r="B140" s="347" t="n">
        <f aca="false">IF(A105="YES",G18*0.000002,0)*1.2*100</f>
        <v>16.40879712</v>
      </c>
      <c r="C140" s="348"/>
      <c r="D140" s="347" t="n">
        <f aca="false">A140+B140</f>
        <v>65.63518848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n">
        <f aca="false">(H139+J139+G142+H142)-H145</f>
        <v>1275.4898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n">
        <f aca="false">(N139+P139+M142+N142)-N145</f>
        <v>1275.4898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115" t="n">
        <v>0</v>
      </c>
      <c r="N145" s="107" t="n">
        <f aca="false">(N139+P139+M142+N142)*(M145/N64)</f>
        <v>0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300</v>
      </c>
      <c r="B148" s="42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E118/1.2-100</f>
        <v>99.9916666666667</v>
      </c>
      <c r="B151" s="42" t="n">
        <f aca="false">(A148+B148+D148+A151)*(A143/B64)</f>
        <v>0</v>
      </c>
      <c r="C151" s="42"/>
      <c r="D151" s="42" t="n">
        <f aca="false">(A148+B148+D148+A151)-B151</f>
        <v>853.991666666667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1557.81318726202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1291.46862349718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1829.3290158456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1751.3290158456</v>
      </c>
      <c r="B177" s="362" t="n">
        <f aca="false">IF(A105="YES",B89,0)</f>
        <v>78</v>
      </c>
      <c r="C177" s="364"/>
      <c r="D177" s="362" t="n">
        <f aca="false">B91</f>
        <v>1829.3290158456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1751.3290158456</v>
      </c>
      <c r="C180" s="360"/>
      <c r="D180" s="107" t="n">
        <f aca="false">IF(A105="YES",B89*B57,0)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1829.3290158456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1751.3290158456</v>
      </c>
      <c r="B186" s="107" t="n">
        <f aca="false">IF(A105="YES",B89,0)</f>
        <v>78</v>
      </c>
      <c r="C186" s="360"/>
      <c r="D186" s="107" t="n">
        <f aca="false">B91</f>
        <v>1829.3290158456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IF(A105="YES",G18*0.000002,0)*1.2*100</f>
        <v>16.40879712</v>
      </c>
      <c r="C189" s="373"/>
      <c r="D189" s="372" t="n">
        <f aca="false">A189+B189</f>
        <v>65.63518848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239.99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300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(E118/1.2)-100</f>
        <v>99.9916666666667</v>
      </c>
      <c r="B200" s="107" t="n">
        <f aca="false">(A148+B148+D148+A151)*(A143/B64)</f>
        <v>0</v>
      </c>
      <c r="C200" s="107"/>
      <c r="D200" s="107" t="n">
        <f aca="false">(A148+B148+D148+A151)-B151</f>
        <v>853.991666666667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D64</f>
        <v>7178.84874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300</v>
      </c>
      <c r="C211" s="324" t="s">
        <v>228</v>
      </c>
      <c r="D211" s="379" t="n">
        <f aca="false">B225+E221+B221+B223</f>
        <v>879.991666666667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7758.84040666667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7178.84874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300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7758.84040666667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441.953647099029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'Formula1-PCH'!$I$3:$I$4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99" colorId="64" zoomScale="95" zoomScaleNormal="95" zoomScalePageLayoutView="100" workbookViewId="0">
      <selection pane="topLeft" activeCell="B219" activeCellId="0" sqref="B219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267" t="n">
        <v>55495.83</v>
      </c>
      <c r="C3" s="504" t="n">
        <v>0</v>
      </c>
      <c r="D3" s="267" t="n">
        <v>833.33</v>
      </c>
      <c r="E3" s="505" t="n">
        <v>0</v>
      </c>
      <c r="F3" s="67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0" t="n">
        <v>0</v>
      </c>
      <c r="C4" s="0" t="n">
        <v>0</v>
      </c>
      <c r="D4" s="0" t="n">
        <v>0</v>
      </c>
      <c r="E4" s="297"/>
      <c r="F4" s="67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-28758.33</v>
      </c>
      <c r="C5" s="504" t="n">
        <v>0</v>
      </c>
      <c r="D5" s="504" t="n">
        <v>0</v>
      </c>
      <c r="E5" s="304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-28758.33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84254.16</v>
      </c>
      <c r="C7" s="294" t="n">
        <f aca="false">C3-C6</f>
        <v>0</v>
      </c>
      <c r="D7" s="294" t="n">
        <f aca="false">D3-D6</f>
        <v>833.33</v>
      </c>
      <c r="E7" s="30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18"/>
      <c r="B8" s="219"/>
      <c r="C8" s="219"/>
      <c r="D8" s="219"/>
      <c r="E8" s="220"/>
      <c r="F8" s="67"/>
      <c r="G8" s="461" t="n">
        <f aca="false">G9*100/B3</f>
        <v>-120.602172571645</v>
      </c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 t="n">
        <v>18875</v>
      </c>
      <c r="C9" s="491"/>
      <c r="D9" s="491"/>
      <c r="E9" s="514" t="n">
        <f aca="false">(B7+C7+D7+E3)</f>
        <v>85087.49</v>
      </c>
      <c r="F9" s="67"/>
      <c r="G9" s="460" t="n">
        <f aca="false">E9-G11</f>
        <v>-66929.1766666667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460"/>
      <c r="H10" s="67"/>
      <c r="I10" s="20" t="s">
        <v>11</v>
      </c>
      <c r="J10" s="14" t="n">
        <f aca="false">E15-E11-J8</f>
        <v>85733.32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 t="n">
        <v>0</v>
      </c>
      <c r="C11" s="493"/>
      <c r="D11" s="493"/>
      <c r="E11" s="304" t="n">
        <f aca="false">(E9+E10)*0.2</f>
        <v>17146.664</v>
      </c>
      <c r="F11" s="67"/>
      <c r="G11" s="460" t="n">
        <f aca="false">G13/1.2</f>
        <v>152016.666666667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 t="n">
        <v>0</v>
      </c>
      <c r="C13" s="493"/>
      <c r="D13" s="493"/>
      <c r="E13" s="505" t="n">
        <v>585</v>
      </c>
      <c r="F13" s="67"/>
      <c r="G13" s="460" t="n">
        <f aca="false">G15-E14-E13-E12</f>
        <v>182420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15" t="n">
        <f aca="false">(E9+E10+E13+E14+E11)-E12</f>
        <v>103529.984</v>
      </c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462" t="n">
        <f aca="false">(B3+C3+E10)*1.2</f>
        <v>67369.992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 t="n">
        <v>0</v>
      </c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100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103409.984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35</v>
      </c>
      <c r="I29" s="394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357</v>
      </c>
      <c r="C30" s="176"/>
      <c r="D30" s="219"/>
      <c r="E30" s="220"/>
      <c r="F30" s="67"/>
      <c r="G30" s="222" t="s">
        <v>41</v>
      </c>
      <c r="H30" s="463" t="n">
        <v>35000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18925</v>
      </c>
      <c r="I31" s="67"/>
      <c r="J31" s="67"/>
      <c r="K31" s="67" t="n">
        <v>10000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6218.1</v>
      </c>
      <c r="J32" s="67"/>
      <c r="K32" s="67" t="n">
        <v>14400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35</v>
      </c>
      <c r="B33" s="233" t="n">
        <v>10000</v>
      </c>
      <c r="C33" s="234"/>
      <c r="D33" s="465" t="n">
        <f aca="false">H48</f>
        <v>2416.33694228443</v>
      </c>
      <c r="E33" s="220"/>
      <c r="F33" s="67"/>
      <c r="G33" s="223" t="s">
        <v>365</v>
      </c>
      <c r="H33" s="466" t="n">
        <f aca="false">E21-E11+((E16*20%)+(E19*20%)+(E20*20%))</f>
        <v>86283.32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35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2327.50694228443</v>
      </c>
      <c r="B36" s="107" t="n">
        <f aca="false">IF(B26="YES",H42,"")</f>
        <v>88.83</v>
      </c>
      <c r="C36" s="225"/>
      <c r="D36" s="188" t="n">
        <f aca="false">H31</f>
        <v>18925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86283.32</v>
      </c>
      <c r="I39" s="242" t="n">
        <f aca="false">(I48*H46)+H44</f>
        <v>54192.0892553037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18925</v>
      </c>
      <c r="B40" s="111" t="n">
        <f aca="false">IF(B26="YES",H42,"0")</f>
        <v>88.83</v>
      </c>
      <c r="C40" s="111"/>
      <c r="D40" s="188" t="n">
        <f aca="false">I32</f>
        <v>6218.1</v>
      </c>
      <c r="E40" s="220"/>
      <c r="F40" s="67"/>
      <c r="G40" s="67" t="s">
        <v>116</v>
      </c>
      <c r="H40" s="242" t="n">
        <f aca="false">A40/1.2</f>
        <v>15770.8333333333</v>
      </c>
      <c r="I40" s="242" t="n">
        <f aca="false">H39-I39</f>
        <v>32091.2307446964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88.83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12791.3910567846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50</v>
      </c>
      <c r="D45" s="469"/>
      <c r="E45" s="220"/>
      <c r="F45" s="67"/>
      <c r="G45" s="67" t="s">
        <v>383</v>
      </c>
      <c r="H45" s="242" t="n">
        <f aca="false">(H39-H44)</f>
        <v>73491.9289432154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31.5753854942677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2327.50694228443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2416.33694228443</v>
      </c>
      <c r="I48" s="242" t="n">
        <f aca="false">I49-H42</f>
        <v>1311.17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35000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35</v>
      </c>
      <c r="B52" s="78" t="n">
        <f aca="false">H48</f>
        <v>2416.33694228443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34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34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34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218" t="s">
        <v>23</v>
      </c>
      <c r="N61" s="294" t="n">
        <f aca="false">G18</f>
        <v>68369.988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0.1035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0.103541666666667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0.103541666666667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285.714285714286</v>
      </c>
      <c r="F64" s="67"/>
      <c r="G64" s="288" t="s">
        <v>100</v>
      </c>
      <c r="H64" s="137" t="n">
        <f aca="false">H61*H63</f>
        <v>7079.1425075</v>
      </c>
      <c r="I64" s="219"/>
      <c r="J64" s="294" t="n">
        <f aca="false">H64-G145</f>
        <v>7079.1425075</v>
      </c>
      <c r="K64" s="220"/>
      <c r="L64" s="67"/>
      <c r="M64" s="288" t="s">
        <v>100</v>
      </c>
      <c r="N64" s="137" t="n">
        <f aca="false">N61*N63</f>
        <v>7079.1425075</v>
      </c>
      <c r="O64" s="219"/>
      <c r="P64" s="294" t="n">
        <f aca="false">N64-M145</f>
        <v>7079.1425075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398</v>
      </c>
      <c r="B65" s="298" t="n">
        <v>300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0.0195833333333333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0.0195833333333333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300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1115.76022083333</v>
      </c>
      <c r="I67" s="219"/>
      <c r="J67" s="294"/>
      <c r="K67" s="220"/>
      <c r="L67" s="67"/>
      <c r="M67" s="288" t="s">
        <v>103</v>
      </c>
      <c r="N67" s="137" t="n">
        <f aca="false">(N61*N66)/1.2</f>
        <v>1115.76022083333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175</v>
      </c>
      <c r="C73" s="219"/>
      <c r="D73" s="478" t="n">
        <f aca="false">B73+B71</f>
        <v>375</v>
      </c>
      <c r="E73" s="220" t="s">
        <v>238</v>
      </c>
      <c r="F73" s="67"/>
      <c r="G73" s="288" t="s">
        <v>109</v>
      </c>
      <c r="H73" s="137" t="n">
        <f aca="false">H72*H29</f>
        <v>157.5</v>
      </c>
      <c r="I73" s="219"/>
      <c r="J73" s="294" t="n">
        <f aca="false">H73+H71</f>
        <v>317.5</v>
      </c>
      <c r="K73" s="220"/>
      <c r="L73" s="67"/>
      <c r="M73" s="288" t="s">
        <v>109</v>
      </c>
      <c r="N73" s="137" t="n">
        <f aca="false">N72*H29</f>
        <v>157.5</v>
      </c>
      <c r="O73" s="219"/>
      <c r="P73" s="294" t="n">
        <f aca="false">N73+N71</f>
        <v>317.5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165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355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((B74+B75)/12)*(H29-11)</f>
        <v>1040</v>
      </c>
      <c r="C76" s="219"/>
      <c r="D76" s="294" t="n">
        <f aca="false">B76</f>
        <v>1040</v>
      </c>
      <c r="E76" s="220"/>
      <c r="F76" s="67"/>
      <c r="G76" s="288" t="s">
        <v>290</v>
      </c>
      <c r="H76" s="137" t="n">
        <f aca="false">((H74+H75)/12)*(H29-11)</f>
        <v>330</v>
      </c>
      <c r="I76" s="219"/>
      <c r="J76" s="294" t="n">
        <f aca="false">H76</f>
        <v>330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12.6984126984127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51.8571428571429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12481.6666666667</v>
      </c>
      <c r="C81" s="479"/>
      <c r="D81" s="480"/>
      <c r="E81" s="472"/>
      <c r="F81" s="67"/>
      <c r="G81" s="307" t="s">
        <v>112</v>
      </c>
      <c r="H81" s="308" t="n">
        <f aca="false">SUM(J64:J80)</f>
        <v>8126.6425075</v>
      </c>
      <c r="I81" s="219"/>
      <c r="J81" s="219"/>
      <c r="K81" s="220"/>
      <c r="L81" s="67"/>
      <c r="M81" s="307" t="s">
        <v>112</v>
      </c>
      <c r="N81" s="308" t="n">
        <f aca="false">SUM(P64:P80)</f>
        <v>7796.6425075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356.619047619048</v>
      </c>
      <c r="C82" s="479"/>
      <c r="D82" s="219"/>
      <c r="E82" s="472"/>
      <c r="F82" s="67"/>
      <c r="G82" s="218" t="s">
        <v>113</v>
      </c>
      <c r="H82" s="304" t="n">
        <f aca="false">H81/H29</f>
        <v>232.189785928571</v>
      </c>
      <c r="I82" s="219"/>
      <c r="J82" s="219"/>
      <c r="K82" s="220"/>
      <c r="L82" s="67"/>
      <c r="M82" s="218" t="s">
        <v>113</v>
      </c>
      <c r="N82" s="304" t="n">
        <f aca="false">N81/H29</f>
        <v>222.7612145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2327.50694228443</v>
      </c>
      <c r="C83" s="479"/>
      <c r="D83" s="219"/>
      <c r="E83" s="472" t="n">
        <f aca="false">B83+E80+E77+E64</f>
        <v>2677.77678355428</v>
      </c>
      <c r="F83" s="67"/>
      <c r="G83" s="309" t="s">
        <v>114</v>
      </c>
      <c r="H83" s="310" t="n">
        <f aca="false">H47</f>
        <v>2327.50694228443</v>
      </c>
      <c r="I83" s="219"/>
      <c r="J83" s="219"/>
      <c r="K83" s="220"/>
      <c r="L83" s="67"/>
      <c r="M83" s="309" t="s">
        <v>114</v>
      </c>
      <c r="N83" s="310" t="n">
        <f aca="false">H47</f>
        <v>2327.50694228443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93944.4096466219</v>
      </c>
      <c r="C85" s="479"/>
      <c r="D85" s="479"/>
      <c r="E85" s="472" t="n">
        <f aca="false">B85/(B58+B57)</f>
        <v>2684.12598990348</v>
      </c>
      <c r="F85" s="67"/>
      <c r="G85" s="291" t="s">
        <v>124</v>
      </c>
      <c r="H85" s="135" t="n">
        <f aca="false">((H83*H29)+H81)*1.2</f>
        <v>107507.262584946</v>
      </c>
      <c r="I85" s="219"/>
      <c r="J85" s="219"/>
      <c r="K85" s="220"/>
      <c r="L85" s="67"/>
      <c r="M85" s="291" t="s">
        <v>124</v>
      </c>
      <c r="N85" s="135" t="n">
        <f aca="false">((N83*H29)+N81)</f>
        <v>89259.3854874552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795.817911488124</v>
      </c>
      <c r="C86" s="479" t="s">
        <v>241</v>
      </c>
      <c r="D86" s="219"/>
      <c r="E86" s="472" t="n">
        <f aca="false">B86/(B58+B57)</f>
        <v>22.7376546139464</v>
      </c>
      <c r="F86" s="67"/>
      <c r="G86" s="218" t="s">
        <v>125</v>
      </c>
      <c r="H86" s="304" t="n">
        <f aca="false">((((H83*H29)+H81))/(1-H70))*H70</f>
        <v>758.925814940121</v>
      </c>
      <c r="I86" s="219"/>
      <c r="J86" s="219"/>
      <c r="K86" s="220"/>
      <c r="L86" s="67"/>
      <c r="M86" s="218" t="s">
        <v>125</v>
      </c>
      <c r="N86" s="304" t="n">
        <f aca="false">(N85/(1-N70))*N70</f>
        <v>756.130332890908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94740.22755811</v>
      </c>
      <c r="C87" s="479"/>
      <c r="D87" s="481"/>
      <c r="E87" s="472" t="n">
        <f aca="false">E86+E85</f>
        <v>2706.86364451743</v>
      </c>
      <c r="F87" s="67"/>
      <c r="G87" s="288" t="s">
        <v>126</v>
      </c>
      <c r="H87" s="137" t="n">
        <f aca="false">IF(H110="YES",((H85+H86)-K114),(H85+H86))</f>
        <v>108266.188399886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90015.5158203461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115.479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223.8516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186.543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2706.86364451743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2706.65470999716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2250.38789550865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2822.34264451743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2930.50630999716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2436.93089550865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35</v>
      </c>
      <c r="C125" s="329"/>
      <c r="D125" s="328" t="n">
        <f aca="false">B160</f>
        <v>35000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2706.65470999716</v>
      </c>
      <c r="H127" s="181" t="n">
        <f aca="false">IF(G105="YES",H89*H57,0)</f>
        <v>1343.1096</v>
      </c>
      <c r="I127" s="181"/>
      <c r="J127" s="338" t="n">
        <f aca="false">H91</f>
        <v>2930.50630999716</v>
      </c>
      <c r="K127" s="220"/>
      <c r="L127" s="67"/>
      <c r="M127" s="337" t="n">
        <f aca="false">N90</f>
        <v>2250.38789550865</v>
      </c>
      <c r="N127" s="181" t="n">
        <f aca="false">IF(M105="YES",N89*N57,0)</f>
        <v>1119.258</v>
      </c>
      <c r="O127" s="181"/>
      <c r="P127" s="181" t="n">
        <f aca="false">N91</f>
        <v>2436.93089550865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2706.86364451743</v>
      </c>
      <c r="B128" s="325" t="n">
        <f aca="false">IF(A105="YES",B89,0)</f>
        <v>115.479</v>
      </c>
      <c r="C128" s="329"/>
      <c r="D128" s="325" t="n">
        <f aca="false">B91</f>
        <v>2822.34264451743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n">
        <v>0</v>
      </c>
      <c r="C130" s="336"/>
      <c r="D130" s="335" t="s">
        <v>309</v>
      </c>
      <c r="E130" s="322"/>
      <c r="F130" s="67"/>
      <c r="G130" s="232" t="n">
        <f aca="false">G152</f>
        <v>35</v>
      </c>
      <c r="H130" s="233" t="n">
        <f aca="false">B151</f>
        <v>0</v>
      </c>
      <c r="I130" s="234"/>
      <c r="J130" s="233" t="n">
        <f aca="false">B58</f>
        <v>34</v>
      </c>
      <c r="K130" s="220"/>
      <c r="L130" s="67"/>
      <c r="M130" s="232" t="n">
        <f aca="false">M155</f>
        <v>35</v>
      </c>
      <c r="N130" s="233" t="n">
        <f aca="false">B151</f>
        <v>0</v>
      </c>
      <c r="O130" s="234"/>
      <c r="P130" s="233" t="n">
        <f aca="false">B58</f>
        <v>34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2706.86364451743</v>
      </c>
      <c r="C131" s="321"/>
      <c r="D131" s="42" t="n">
        <f aca="false">IF(A105="YES",B89*B57,0)</f>
        <v>115.479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16239.928259983</v>
      </c>
      <c r="H133" s="107" t="n">
        <f aca="false">IF(G105="YES",H89*H57,0)</f>
        <v>1343.1096</v>
      </c>
      <c r="I133" s="225"/>
      <c r="J133" s="188" t="n">
        <f aca="false">H91*H57</f>
        <v>17583.037859983</v>
      </c>
      <c r="K133" s="220"/>
      <c r="L133" s="67"/>
      <c r="M133" s="189" t="n">
        <f aca="false">N90*N57</f>
        <v>13502.3273730519</v>
      </c>
      <c r="N133" s="107" t="n">
        <f aca="false">IF(M105="YES",N89*N57,0)</f>
        <v>1119.258</v>
      </c>
      <c r="O133" s="225"/>
      <c r="P133" s="188" t="n">
        <f aca="false">N91*N57</f>
        <v>14621.5853730519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2822.34264451743</v>
      </c>
      <c r="B134" s="42" t="n">
        <f aca="false">E114</f>
        <v>0</v>
      </c>
      <c r="C134" s="321"/>
      <c r="D134" s="341" t="n">
        <f aca="false">B58</f>
        <v>34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0.621179904</v>
      </c>
      <c r="H136" s="107" t="n">
        <f aca="false">IF(G105="YES",E15*0.000002,0)</f>
        <v>0.207059968</v>
      </c>
      <c r="I136" s="107"/>
      <c r="J136" s="107" t="n">
        <f aca="false">G136+H136</f>
        <v>0.828239872</v>
      </c>
      <c r="K136" s="109"/>
      <c r="L136" s="67"/>
      <c r="M136" s="115" t="n">
        <f aca="false">E15*0.000006</f>
        <v>0.621179904</v>
      </c>
      <c r="N136" s="107" t="n">
        <f aca="false">IF(M105="YES",E15*0.000002,0)</f>
        <v>0.207059968</v>
      </c>
      <c r="O136" s="107"/>
      <c r="P136" s="107" t="n">
        <f aca="false">M136+N136</f>
        <v>0.828239872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2706.86364451743</v>
      </c>
      <c r="B137" s="42" t="n">
        <f aca="false">IF(A105="YES",B89,0)</f>
        <v>115.479</v>
      </c>
      <c r="C137" s="321"/>
      <c r="D137" s="42" t="n">
        <f aca="false">B91</f>
        <v>2822.34264451743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1115.76022083333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1115.76022083333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41.0219928</v>
      </c>
      <c r="B140" s="347" t="n">
        <f aca="false">IF(A105="YES",G18*0.000002,0)*100</f>
        <v>13.6739976</v>
      </c>
      <c r="C140" s="348"/>
      <c r="D140" s="347" t="n">
        <f aca="false">A140+B140</f>
        <v>54.6959904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62.181</v>
      </c>
      <c r="H142" s="107" t="n">
        <f aca="false">G102-100</f>
        <v>99.99</v>
      </c>
      <c r="I142" s="107"/>
      <c r="J142" s="107" t="n">
        <f aca="false">(H139+J139+G142+H142)-H145</f>
        <v>1277.93122083333</v>
      </c>
      <c r="K142" s="109"/>
      <c r="L142" s="67"/>
      <c r="M142" s="115" t="n">
        <f aca="false">IF(M105="YES",((B36*N105)*0.1)*(M130),0)</f>
        <v>62.181</v>
      </c>
      <c r="N142" s="107" t="n">
        <f aca="false">M102-100</f>
        <v>99.99</v>
      </c>
      <c r="O142" s="107"/>
      <c r="P142" s="107" t="n">
        <f aca="false">(N139+P139+M142+N142)-N145</f>
        <v>1277.93122083333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115" t="n">
        <v>0</v>
      </c>
      <c r="N145" s="107" t="n">
        <f aca="false">(N139+P139+M142+N142)*(M145/N64)</f>
        <v>0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300</v>
      </c>
      <c r="B148" s="107" t="n">
        <f aca="false">B102</f>
        <v>400</v>
      </c>
      <c r="C148" s="42"/>
      <c r="D148" s="42" t="n">
        <f aca="false">IF(A105="YES",(B40*B105)*B125,0)*0.1</f>
        <v>93.2715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893.2615</v>
      </c>
      <c r="E151" s="109"/>
      <c r="F151" s="67"/>
      <c r="G151" s="254"/>
      <c r="H151" s="256" t="n">
        <f aca="false">B51</f>
        <v>35000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35</v>
      </c>
      <c r="H152" s="78" t="n">
        <f aca="false">H91</f>
        <v>2930.50630999716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35000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35</v>
      </c>
      <c r="N155" s="78" t="n">
        <f aca="false">N91</f>
        <v>2436.93089550865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35000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35</v>
      </c>
      <c r="B161" s="78" t="n">
        <f aca="false">B91</f>
        <v>2822.34264451743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35</v>
      </c>
      <c r="C174" s="364"/>
      <c r="D174" s="328" t="n">
        <f aca="false">D125</f>
        <v>35000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2706.86364451743</v>
      </c>
      <c r="B177" s="362" t="n">
        <f aca="false">IF(A105="YES",B89,0)</f>
        <v>115.479</v>
      </c>
      <c r="C177" s="364"/>
      <c r="D177" s="362" t="n">
        <f aca="false">B91</f>
        <v>2822.34264451743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2706.86364451743</v>
      </c>
      <c r="C180" s="360"/>
      <c r="D180" s="107" t="n">
        <f aca="false">IF(A105="YES",B89*B57,0)</f>
        <v>115.479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2822.34264451743</v>
      </c>
      <c r="B183" s="107" t="n">
        <f aca="false">E114</f>
        <v>0</v>
      </c>
      <c r="C183" s="360"/>
      <c r="D183" s="368" t="n">
        <f aca="false">B58</f>
        <v>34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2706.86364451743</v>
      </c>
      <c r="B186" s="107" t="n">
        <f aca="false">IF(A105="YES",B89,0)</f>
        <v>115.479</v>
      </c>
      <c r="C186" s="360"/>
      <c r="D186" s="107" t="n">
        <f aca="false">B91</f>
        <v>2822.34264451743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IF(A105="YES",G18*0.000002,0)*100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300</v>
      </c>
      <c r="B197" s="107" t="n">
        <f aca="false">B102</f>
        <v>400</v>
      </c>
      <c r="C197" s="107"/>
      <c r="D197" s="107" t="n">
        <f aca="false">IF(A105="YES",(B40*B105)*B125,0)*0.1</f>
        <v>93.2715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893.2615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0.07</v>
      </c>
      <c r="C209" s="325" t="s">
        <v>226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300</v>
      </c>
      <c r="C211" s="324" t="s">
        <v>228</v>
      </c>
      <c r="D211" s="379" t="n">
        <f aca="false">B225+E221+B221+B223</f>
        <v>1272.705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10972.705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10000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300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10972.705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932.715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375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795.817911488124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95" zoomScaleNormal="95" zoomScalePageLayoutView="100" workbookViewId="0">
      <selection pane="topLeft" activeCell="B97" activeCellId="0" sqref="B97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46854.17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46854.17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47687.5</v>
      </c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550</v>
      </c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9647.5</v>
      </c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55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58525</v>
      </c>
      <c r="F15" s="67"/>
      <c r="G15" s="277" t="n">
        <f aca="false">E15</f>
        <v>58525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57885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58525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18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253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6000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12</v>
      </c>
      <c r="B44" s="108" t="n">
        <v>1</v>
      </c>
      <c r="C44" s="108"/>
      <c r="D44" s="108" t="n">
        <v>1</v>
      </c>
      <c r="E44" s="108"/>
      <c r="F44" s="67"/>
      <c r="G44" s="67" t="s">
        <v>267</v>
      </c>
      <c r="H44" s="242" t="n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n">
        <v>0.01</v>
      </c>
      <c r="C47" s="435"/>
      <c r="D47" s="108" t="n">
        <v>1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 t="s">
        <v>399</v>
      </c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26" t="s">
        <v>28</v>
      </c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283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91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12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57885</v>
      </c>
      <c r="C67" s="219"/>
      <c r="D67" s="219"/>
      <c r="E67" s="220"/>
      <c r="F67" s="67"/>
      <c r="G67" s="218" t="s">
        <v>23</v>
      </c>
      <c r="H67" s="294" t="n">
        <f aca="false">G18</f>
        <v>57885</v>
      </c>
      <c r="I67" s="219"/>
      <c r="J67" s="219"/>
      <c r="K67" s="220"/>
      <c r="L67" s="67"/>
      <c r="M67" s="218" t="s">
        <v>23</v>
      </c>
      <c r="N67" s="294" t="n">
        <f aca="false">G18</f>
        <v>57885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B68+(B68*0.25*(H29/12-1))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4051.95</v>
      </c>
      <c r="C70" s="219"/>
      <c r="D70" s="294" t="n">
        <f aca="false">B70-A151</f>
        <v>4051.95</v>
      </c>
      <c r="E70" s="220" t="n">
        <f aca="false">D70/12</f>
        <v>337.6625</v>
      </c>
      <c r="F70" s="67"/>
      <c r="G70" s="288" t="s">
        <v>100</v>
      </c>
      <c r="H70" s="137" t="n">
        <f aca="false">H67*H69</f>
        <v>4051.95</v>
      </c>
      <c r="I70" s="219"/>
      <c r="J70" s="294" t="n">
        <f aca="false">H70-G151</f>
        <v>4051.95</v>
      </c>
      <c r="K70" s="220"/>
      <c r="L70" s="67"/>
      <c r="M70" s="288" t="s">
        <v>100</v>
      </c>
      <c r="N70" s="137" t="n">
        <f aca="false">N67*N69</f>
        <v>4051.95</v>
      </c>
      <c r="O70" s="219"/>
      <c r="P70" s="294" t="n">
        <f aca="false">N70-M151</f>
        <v>4051.95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6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 t="n">
        <f aca="false">B71+(B71*0.5*(H29/12-1))</f>
        <v>0.01</v>
      </c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B67*B72</f>
        <v>578.85</v>
      </c>
      <c r="C73" s="219"/>
      <c r="D73" s="294"/>
      <c r="E73" s="220"/>
      <c r="F73" s="67"/>
      <c r="G73" s="288" t="s">
        <v>103</v>
      </c>
      <c r="H73" s="137" t="n">
        <f aca="false">H67*H72</f>
        <v>289.425</v>
      </c>
      <c r="I73" s="219"/>
      <c r="J73" s="294"/>
      <c r="K73" s="220"/>
      <c r="L73" s="67"/>
      <c r="M73" s="288" t="s">
        <v>103</v>
      </c>
      <c r="N73" s="137" t="n">
        <f aca="false">N67*N72</f>
        <v>289.425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v>0</v>
      </c>
      <c r="C83" s="219"/>
      <c r="D83" s="294" t="n">
        <f aca="false">B83</f>
        <v>0</v>
      </c>
      <c r="E83" s="220" t="n">
        <f aca="false">D83/12</f>
        <v>0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v>0</v>
      </c>
      <c r="C84" s="219"/>
      <c r="D84" s="294" t="n">
        <f aca="false">B84</f>
        <v>0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4711.95</v>
      </c>
      <c r="C87" s="219"/>
      <c r="D87" s="219"/>
      <c r="E87" s="220"/>
      <c r="F87" s="67"/>
      <c r="G87" s="307" t="s">
        <v>112</v>
      </c>
      <c r="H87" s="308" t="n">
        <f aca="false">SUM(J70:J86)</f>
        <v>7205.53333333333</v>
      </c>
      <c r="I87" s="219"/>
      <c r="J87" s="219"/>
      <c r="K87" s="220"/>
      <c r="L87" s="67"/>
      <c r="M87" s="307" t="s">
        <v>112</v>
      </c>
      <c r="N87" s="308" t="n">
        <f aca="false">SUM(P70:P86)</f>
        <v>7165.95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392.6625</v>
      </c>
      <c r="C88" s="219"/>
      <c r="D88" s="219"/>
      <c r="E88" s="220"/>
      <c r="F88" s="67"/>
      <c r="G88" s="218" t="s">
        <v>113</v>
      </c>
      <c r="H88" s="304" t="n">
        <f aca="false">H87/H29</f>
        <v>600.461111111111</v>
      </c>
      <c r="I88" s="219"/>
      <c r="J88" s="219"/>
      <c r="K88" s="220"/>
      <c r="L88" s="67"/>
      <c r="M88" s="218" t="s">
        <v>113</v>
      </c>
      <c r="N88" s="304" t="n">
        <f aca="false">N87/H29</f>
        <v>597.1625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10723.95</v>
      </c>
      <c r="C91" s="219"/>
      <c r="D91" s="219"/>
      <c r="E91" s="220"/>
      <c r="F91" s="67"/>
      <c r="G91" s="291" t="s">
        <v>124</v>
      </c>
      <c r="H91" s="135" t="n">
        <f aca="false">((H89*H29)+H87)*1.2</f>
        <v>15861.04</v>
      </c>
      <c r="I91" s="219"/>
      <c r="J91" s="219"/>
      <c r="K91" s="220"/>
      <c r="L91" s="67"/>
      <c r="M91" s="291" t="s">
        <v>124</v>
      </c>
      <c r="N91" s="135" t="n">
        <f aca="false">((N89*H29)+N87)</f>
        <v>13177.95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90.8442718838241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111.967809600645</v>
      </c>
      <c r="I92" s="219"/>
      <c r="J92" s="219"/>
      <c r="K92" s="220"/>
      <c r="L92" s="67"/>
      <c r="M92" s="218" t="s">
        <v>125</v>
      </c>
      <c r="N92" s="304" t="n">
        <f aca="false">(N91/(1-N76))*N76</f>
        <v>111.632492940702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10814.7942718838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17973.0078096006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15289.5824929407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((H44*B35)+((H44*B35)*B111))/(B63+B64)</f>
        <v>31.304347826087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IF(B105=Y104,(B93-D111)/(B64),B93/(B63+B64))</f>
        <v>470.208446603645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501.512794429732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 t="s">
        <v>295</v>
      </c>
      <c r="B105" s="316" t="s">
        <v>277</v>
      </c>
      <c r="C105" s="316"/>
      <c r="D105" s="428" t="n">
        <v>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0</v>
      </c>
      <c r="C108" s="111"/>
      <c r="D108" s="111" t="n">
        <v>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27</v>
      </c>
      <c r="B111" s="318" t="n">
        <v>0.2</v>
      </c>
      <c r="C111" s="318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/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199.99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218"/>
      <c r="B129" s="219"/>
      <c r="C129" s="219"/>
      <c r="D129" s="219"/>
      <c r="E129" s="220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18" t="s">
        <v>192</v>
      </c>
      <c r="B130" s="176" t="n">
        <v>1200</v>
      </c>
      <c r="C130" s="176"/>
      <c r="D130" s="219"/>
      <c r="E130" s="220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18"/>
      <c r="B131" s="219"/>
      <c r="C131" s="219"/>
      <c r="D131" s="219"/>
      <c r="E131" s="220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18" t="s">
        <v>92</v>
      </c>
      <c r="B132" s="219" t="s">
        <v>93</v>
      </c>
      <c r="C132" s="219"/>
      <c r="D132" s="219" t="s">
        <v>95</v>
      </c>
      <c r="E132" s="220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32" t="n">
        <f aca="false">A158</f>
        <v>12</v>
      </c>
      <c r="B133" s="233" t="n">
        <f aca="false">B157</f>
        <v>5000</v>
      </c>
      <c r="C133" s="234"/>
      <c r="D133" s="233" t="n">
        <f aca="false">B64</f>
        <v>11</v>
      </c>
      <c r="E133" s="220"/>
      <c r="F133" s="67"/>
      <c r="G133" s="232" t="n">
        <f aca="false">G158</f>
        <v>12</v>
      </c>
      <c r="H133" s="233" t="n">
        <f aca="false">B157</f>
        <v>5000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5000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18"/>
      <c r="B134" s="219"/>
      <c r="C134" s="219"/>
      <c r="D134" s="219"/>
      <c r="E134" s="220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31" t="s">
        <v>352</v>
      </c>
      <c r="B135" s="332" t="s">
        <v>262</v>
      </c>
      <c r="C135" s="332"/>
      <c r="D135" s="332" t="s">
        <v>129</v>
      </c>
      <c r="E135" s="220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7" t="n">
        <f aca="false">B96</f>
        <v>470.208446603645</v>
      </c>
      <c r="B136" s="181" t="n">
        <f aca="false">IF(A111="YES",B95*B63,0)</f>
        <v>375.652173913043</v>
      </c>
      <c r="C136" s="181"/>
      <c r="D136" s="181" t="n">
        <f aca="false">B97</f>
        <v>501.512794429732</v>
      </c>
      <c r="E136" s="220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218"/>
      <c r="B137" s="219"/>
      <c r="C137" s="219"/>
      <c r="D137" s="219"/>
      <c r="E137" s="220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218" t="s">
        <v>353</v>
      </c>
      <c r="B138" s="219" t="s">
        <v>251</v>
      </c>
      <c r="C138" s="219"/>
      <c r="D138" s="219" t="s">
        <v>255</v>
      </c>
      <c r="E138" s="220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89" t="n">
        <f aca="false">B96*B63</f>
        <v>5642.50135924373</v>
      </c>
      <c r="B139" s="107" t="n">
        <f aca="false">IF(A111="YES",B95*B63,0)</f>
        <v>375.652173913043</v>
      </c>
      <c r="C139" s="225"/>
      <c r="D139" s="188" t="n">
        <f aca="false">B97*B63</f>
        <v>6018.15353315678</v>
      </c>
      <c r="E139" s="220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218"/>
      <c r="B140" s="219"/>
      <c r="C140" s="219"/>
      <c r="D140" s="219"/>
      <c r="E140" s="220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218" t="s">
        <v>264</v>
      </c>
      <c r="B141" s="219" t="s">
        <v>265</v>
      </c>
      <c r="C141" s="219"/>
      <c r="D141" s="219" t="s">
        <v>269</v>
      </c>
      <c r="E141" s="220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115" t="n">
        <f aca="false">E15*0.000006</f>
        <v>0.35115</v>
      </c>
      <c r="B142" s="107" t="n">
        <f aca="false">IF(A111="YES",E15*0.000002,0)</f>
        <v>0.11705</v>
      </c>
      <c r="C142" s="107"/>
      <c r="D142" s="107" t="n">
        <f aca="false">A142+B142</f>
        <v>0.4682</v>
      </c>
      <c r="E142" s="109"/>
      <c r="F142" s="67"/>
      <c r="G142" s="115" t="n">
        <f aca="false">E15*0.000006</f>
        <v>0.35115</v>
      </c>
      <c r="H142" s="107" t="n">
        <f aca="false">IF(G111="YES",E15*0.000002,0)</f>
        <v>0.11705</v>
      </c>
      <c r="I142" s="107"/>
      <c r="J142" s="107" t="n">
        <f aca="false">G142+H142</f>
        <v>0.4682</v>
      </c>
      <c r="K142" s="109"/>
      <c r="L142" s="67"/>
      <c r="M142" s="115" t="n">
        <f aca="false">E15*0.000006</f>
        <v>0.35115</v>
      </c>
      <c r="N142" s="107" t="n">
        <f aca="false">IF(M111="YES",E15*0.000002,0)</f>
        <v>0.11705</v>
      </c>
      <c r="O142" s="107"/>
      <c r="P142" s="107" t="n">
        <f aca="false">M142+N142</f>
        <v>0.4682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218"/>
      <c r="B143" s="219"/>
      <c r="C143" s="219"/>
      <c r="D143" s="219"/>
      <c r="E143" s="220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218" t="s">
        <v>149</v>
      </c>
      <c r="B144" s="219" t="s">
        <v>319</v>
      </c>
      <c r="C144" s="219"/>
      <c r="D144" s="219" t="s">
        <v>320</v>
      </c>
      <c r="E144" s="220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115" t="n">
        <f aca="false">A108</f>
        <v>199.99</v>
      </c>
      <c r="B145" s="107" t="n">
        <f aca="false">B73/1.2</f>
        <v>482.375</v>
      </c>
      <c r="C145" s="107"/>
      <c r="D145" s="107" t="n">
        <f aca="false">B108*0.9</f>
        <v>0</v>
      </c>
      <c r="E145" s="109"/>
      <c r="F145" s="67"/>
      <c r="G145" s="115" t="n">
        <f aca="false">G108</f>
        <v>239.988</v>
      </c>
      <c r="H145" s="107" t="n">
        <f aca="false">H73/1.2</f>
        <v>241.1875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241.1875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218"/>
      <c r="B146" s="219"/>
      <c r="C146" s="219"/>
      <c r="D146" s="219"/>
      <c r="E146" s="220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218" t="s">
        <v>322</v>
      </c>
      <c r="B147" s="219" t="s">
        <v>323</v>
      </c>
      <c r="C147" s="219"/>
      <c r="D147" s="219" t="s">
        <v>324</v>
      </c>
      <c r="E147" s="220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IF(A111="YES",((A41*B111)*0.1)*(A133),0)</f>
        <v>12</v>
      </c>
      <c r="B148" s="107" t="n">
        <f aca="false">A108-100</f>
        <v>99.99</v>
      </c>
      <c r="C148" s="107"/>
      <c r="D148" s="107" t="n">
        <f aca="false">(B145+D145+A148+B148)-B151</f>
        <v>594.365</v>
      </c>
      <c r="E148" s="109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1473.1755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1433.1775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218"/>
      <c r="B149" s="219"/>
      <c r="C149" s="219"/>
      <c r="D149" s="219"/>
      <c r="E149" s="220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218" t="s">
        <v>326</v>
      </c>
      <c r="B150" s="219" t="s">
        <v>327</v>
      </c>
      <c r="C150" s="219"/>
      <c r="D150" s="219"/>
      <c r="E150" s="220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v>0</v>
      </c>
      <c r="B151" s="107" t="n">
        <f aca="false">(B145+D145+A148+B148)*(A151/B70)</f>
        <v>0</v>
      </c>
      <c r="C151" s="219"/>
      <c r="D151" s="219"/>
      <c r="E151" s="220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218"/>
      <c r="B152" s="219"/>
      <c r="C152" s="219"/>
      <c r="D152" s="219"/>
      <c r="E152" s="220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218"/>
      <c r="B153" s="219"/>
      <c r="C153" s="219"/>
      <c r="D153" s="219"/>
      <c r="E153" s="220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284" t="s">
        <v>332</v>
      </c>
      <c r="B154" s="219"/>
      <c r="C154" s="219"/>
      <c r="D154" s="285"/>
      <c r="E154" s="286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218"/>
      <c r="B155" s="253"/>
      <c r="C155" s="253"/>
      <c r="D155" s="219"/>
      <c r="E155" s="220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254" t="s">
        <v>92</v>
      </c>
      <c r="B156" s="255" t="s">
        <v>93</v>
      </c>
      <c r="C156" s="255"/>
      <c r="D156" s="219"/>
      <c r="E156" s="220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4"/>
      <c r="B157" s="256" t="n">
        <f aca="false">B57</f>
        <v>5000</v>
      </c>
      <c r="C157" s="256"/>
      <c r="D157" s="219"/>
      <c r="E157" s="220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258" t="n">
        <f aca="false">A58</f>
        <v>12</v>
      </c>
      <c r="B158" s="78" t="n">
        <f aca="false">B97</f>
        <v>501.512794429732</v>
      </c>
      <c r="C158" s="78"/>
      <c r="D158" s="219"/>
      <c r="E158" s="220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18"/>
      <c r="B159" s="219"/>
      <c r="C159" s="219"/>
      <c r="D159" s="219"/>
      <c r="E159" s="220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18"/>
      <c r="B160" s="219"/>
      <c r="C160" s="219"/>
      <c r="D160" s="219"/>
      <c r="E160" s="220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18"/>
      <c r="B161" s="219"/>
      <c r="C161" s="219"/>
      <c r="D161" s="219"/>
      <c r="E161" s="220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218"/>
      <c r="B162" s="219"/>
      <c r="C162" s="219"/>
      <c r="D162" s="219"/>
      <c r="E162" s="220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88"/>
      <c r="B163" s="289"/>
      <c r="C163" s="289"/>
      <c r="D163" s="289"/>
      <c r="E163" s="290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4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6" colorId="64" zoomScale="95" zoomScaleNormal="95" zoomScalePageLayoutView="100" workbookViewId="0">
      <selection pane="topLeft" activeCell="A183" activeCellId="0" sqref="A183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17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(B3+C3+E10+D3+E3)*1.2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0</v>
      </c>
      <c r="E32" s="230"/>
      <c r="F32" s="67"/>
      <c r="G32" s="231" t="s">
        <v>253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149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n">
        <f aca="false">IF(B38="YES",D38+A41,D38)</f>
        <v>500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264</v>
      </c>
      <c r="B43" s="244" t="s">
        <v>265</v>
      </c>
      <c r="C43" s="234"/>
      <c r="D43" s="244" t="s">
        <v>269</v>
      </c>
      <c r="E43" s="247"/>
      <c r="F43" s="67"/>
      <c r="G43" s="67" t="s">
        <v>266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0</v>
      </c>
      <c r="C44" s="108"/>
      <c r="D44" s="282" t="n">
        <f aca="false">A44+B44</f>
        <v>1</v>
      </c>
      <c r="E44" s="282"/>
      <c r="F44" s="67"/>
      <c r="G44" s="67" t="s">
        <v>267</v>
      </c>
      <c r="H44" s="242" t="n">
        <f aca="false">((A41*(B35-1))+D32)/B35</f>
        <v>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283</v>
      </c>
      <c r="B46" s="234"/>
      <c r="C46" s="234"/>
      <c r="D46" s="234"/>
      <c r="E46" s="247"/>
      <c r="F46" s="67"/>
      <c r="G46" s="67" t="s">
        <v>272</v>
      </c>
      <c r="H46" s="242" t="n">
        <f aca="false">H43</f>
        <v>501</v>
      </c>
      <c r="I46" s="242" t="s">
        <v>6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501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284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4785.89916</v>
      </c>
      <c r="C64" s="219" t="n">
        <v>10000</v>
      </c>
      <c r="D64" s="294" t="n">
        <f aca="false">B64</f>
        <v>4785.89916</v>
      </c>
      <c r="E64" s="220"/>
      <c r="F64" s="67"/>
      <c r="G64" s="288" t="s">
        <v>100</v>
      </c>
      <c r="H64" s="137" t="n">
        <f aca="false">H61*H63</f>
        <v>4785.89916</v>
      </c>
      <c r="I64" s="219"/>
      <c r="J64" s="294" t="n">
        <f aca="false">H64</f>
        <v>4785.89916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6" t="n">
        <v>100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 t="n">
        <f aca="false">B65+(B65*0.5*(H29/12-1))</f>
        <v>100</v>
      </c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100</v>
      </c>
      <c r="C67" s="219"/>
      <c r="D67" s="294"/>
      <c r="E67" s="220"/>
      <c r="F67" s="67"/>
      <c r="G67" s="288" t="s">
        <v>103</v>
      </c>
      <c r="H67" s="137" t="n">
        <f aca="false">H61*H66</f>
        <v>341.84994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</v>
      </c>
      <c r="C74" s="219"/>
      <c r="D74" s="219"/>
      <c r="E74" s="220"/>
      <c r="F74" s="67"/>
      <c r="G74" s="295" t="s">
        <v>288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 t="n">
        <f aca="false">IF(G18&gt;40000,325,0)</f>
        <v>325</v>
      </c>
      <c r="D75" s="219"/>
      <c r="E75" s="220"/>
      <c r="F75" s="67"/>
      <c r="G75" s="299" t="s">
        <v>289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6112.56582666667</v>
      </c>
      <c r="C81" s="219"/>
      <c r="D81" s="219"/>
      <c r="E81" s="220"/>
      <c r="F81" s="67"/>
      <c r="G81" s="307" t="s">
        <v>112</v>
      </c>
      <c r="H81" s="308" t="n">
        <f aca="false">SUM(J64:J80)</f>
        <v>6439.48249333333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509.380485555556</v>
      </c>
      <c r="C82" s="219"/>
      <c r="D82" s="219"/>
      <c r="E82" s="220"/>
      <c r="F82" s="67"/>
      <c r="G82" s="218" t="s">
        <v>113</v>
      </c>
      <c r="H82" s="304" t="n">
        <f aca="false">H81/H29</f>
        <v>536.623541111111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((B83*(H29)+B81))*1.2</f>
        <v>14549.478992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14941.778992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(((B83*(H29))+B81)/(1-B70))*B70</f>
        <v>102.709109463493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105.478472109722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14652.1881014635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14947.2674641097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IF(B99=Z102,(((H44*B35)+(H44*B35)*(B105/100))/(B58))*1.2,(((H44*B35)+(H44*B35)*(B105/100))/(B57+B58))*1.2)</f>
        <v>0</v>
      </c>
      <c r="C89" s="219"/>
      <c r="D89" s="219"/>
      <c r="E89" s="220"/>
      <c r="F89" s="67"/>
      <c r="G89" s="307" t="s">
        <v>127</v>
      </c>
      <c r="H89" s="308" t="n">
        <f aca="false">(A41+(A41*H105))*1.2</f>
        <v>0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1221.01567512196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1245.60562200914</v>
      </c>
      <c r="I90" s="219"/>
      <c r="J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1221.01567512196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1245.60562200914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293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f aca="false">199.99*1.2</f>
        <v>239.988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273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274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275</v>
      </c>
      <c r="AA104" s="67"/>
    </row>
    <row r="105" customFormat="false" ht="18.75" hidden="false" customHeight="true" outlineLevel="0" collapsed="false">
      <c r="A105" s="226" t="s">
        <v>28</v>
      </c>
      <c r="B105" s="316" t="n">
        <v>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276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277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278</v>
      </c>
      <c r="AA107" s="67"/>
    </row>
    <row r="108" customFormat="false" ht="18.75" hidden="false" customHeight="true" outlineLevel="0" collapsed="false">
      <c r="A108" s="221" t="s">
        <v>299</v>
      </c>
      <c r="B108" s="221"/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279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280</v>
      </c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239.988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((E118)+E117)-E114</f>
        <v>1239.988</v>
      </c>
      <c r="F119" s="67"/>
      <c r="G119" s="319" t="s">
        <v>301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1221.01567512196</v>
      </c>
      <c r="B128" s="325" t="n">
        <f aca="false">IF(A105="YES",B89,0)</f>
        <v>0</v>
      </c>
      <c r="C128" s="330"/>
      <c r="D128" s="325" t="n">
        <f aca="false">B91</f>
        <v>1221.01567512196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305</v>
      </c>
      <c r="H129" s="332" t="s">
        <v>306</v>
      </c>
      <c r="I129" s="332"/>
      <c r="J129" s="332" t="s">
        <v>307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337" t="n">
        <f aca="false">H90</f>
        <v>1245.60562200914</v>
      </c>
      <c r="H130" s="181" t="n">
        <f aca="false">IF(G105="YES",H89*H57,0)</f>
        <v>0</v>
      </c>
      <c r="I130" s="181"/>
      <c r="J130" s="338" t="n">
        <f aca="false">H91</f>
        <v>1245.60562200914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1221.01567512196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1245.60562200914</v>
      </c>
      <c r="H133" s="107" t="n">
        <f aca="false">IF(G105="YES",H89*H57,0)</f>
        <v>0</v>
      </c>
      <c r="I133" s="225"/>
      <c r="J133" s="188" t="n">
        <f aca="false">H91*H57</f>
        <v>1245.60562200914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1221.01567512196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1221.01567512196</v>
      </c>
      <c r="B137" s="42" t="n">
        <f aca="false">IF(A105="YES",B89,0)</f>
        <v>0</v>
      </c>
      <c r="C137" s="321"/>
      <c r="D137" s="42" t="n">
        <f aca="false">B91</f>
        <v>1221.01567512196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341.84994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49.22639136</v>
      </c>
      <c r="B140" s="347" t="n">
        <f aca="false">G18*0.000002*1.2*100</f>
        <v>16.40879712</v>
      </c>
      <c r="C140" s="348"/>
      <c r="D140" s="347" t="n">
        <f aca="false">A140+B140</f>
        <v>65.63518848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IF(G105="YES",H89*0.1,0)</f>
        <v>0</v>
      </c>
      <c r="H142" s="107" t="n">
        <f aca="false">G102-100</f>
        <v>139.988</v>
      </c>
      <c r="I142" s="107"/>
      <c r="J142" s="107" t="n">
        <f aca="false">(H139+J139+G142+H142)-H145</f>
        <v>1561.83794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239.988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100</v>
      </c>
      <c r="B148" s="42" t="n">
        <f aca="false">B102</f>
        <v>400</v>
      </c>
      <c r="C148" s="42"/>
      <c r="D148" s="42" t="n">
        <f aca="false">IF(A105="YES",(A38/100*B105)*B125,0)*0.001</f>
        <v>0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599.99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1245.60562200914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1221.01567512196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302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295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303</v>
      </c>
      <c r="C170" s="362"/>
      <c r="D170" s="361" t="s">
        <v>304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1221.01567512196</v>
      </c>
      <c r="B171" s="362" t="n">
        <f aca="false">IF(A105="YES",B89,0)</f>
        <v>0</v>
      </c>
      <c r="C171" s="365"/>
      <c r="D171" s="362" t="n">
        <f aca="false">B91</f>
        <v>1221.01567512196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308</v>
      </c>
      <c r="C173" s="234"/>
      <c r="D173" s="366" t="s">
        <v>309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 Monthly in advance </v>
      </c>
      <c r="B174" s="107" t="n">
        <f aca="false">B90*B57</f>
        <v>1221.01567512196</v>
      </c>
      <c r="C174" s="360"/>
      <c r="D174" s="107" t="n">
        <f aca="false">IF(A105="YES",B89*B57,0)</f>
        <v>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313</v>
      </c>
      <c r="B176" s="170" t="s">
        <v>314</v>
      </c>
      <c r="C176" s="367"/>
      <c r="D176" s="245" t="s">
        <v>217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1221.01567512196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303</v>
      </c>
      <c r="C179" s="360"/>
      <c r="D179" s="360" t="s">
        <v>304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1221.01567512196</v>
      </c>
      <c r="B180" s="107" t="n">
        <f aca="false">IF(A105="YES",B89,0)</f>
        <v>0</v>
      </c>
      <c r="C180" s="360"/>
      <c r="D180" s="107" t="n">
        <f aca="false">B91</f>
        <v>1221.01567512196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321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(G18*0.000006)*1.2*100</f>
        <v>49.22639136</v>
      </c>
      <c r="B183" s="372" t="n">
        <f aca="false">G18*0.000002*1.2*100</f>
        <v>16.40879712</v>
      </c>
      <c r="C183" s="373"/>
      <c r="D183" s="372" t="n">
        <f aca="false">A183+B183</f>
        <v>65.63518848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325</v>
      </c>
      <c r="B185" s="371" t="s">
        <v>62</v>
      </c>
      <c r="C185" s="107"/>
      <c r="D185" s="371" t="s">
        <v>291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239.988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328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329</v>
      </c>
      <c r="B190" s="360" t="s">
        <v>330</v>
      </c>
      <c r="C190" s="360"/>
      <c r="D190" s="360" t="s">
        <v>331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100</v>
      </c>
      <c r="B191" s="107" t="n">
        <f aca="false">B102</f>
        <v>400</v>
      </c>
      <c r="C191" s="107"/>
      <c r="D191" s="107" t="n">
        <f aca="false">IF(A105="YES",(A38/100*B105)*B125,0)*0.001</f>
        <v>0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333</v>
      </c>
      <c r="B193" s="360" t="s">
        <v>327</v>
      </c>
      <c r="C193" s="360"/>
      <c r="D193" s="360" t="s">
        <v>324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(E118/1.2)-100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599.99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334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223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224</v>
      </c>
      <c r="B203" s="378" t="n">
        <f aca="false">B209</f>
        <v>0.065</v>
      </c>
      <c r="C203" s="325" t="s">
        <v>226</v>
      </c>
      <c r="D203" s="379" t="n">
        <f aca="false">D64</f>
        <v>4785.89916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227</v>
      </c>
      <c r="B205" s="325" t="n">
        <f aca="false">B213</f>
        <v>100</v>
      </c>
      <c r="C205" s="324" t="s">
        <v>228</v>
      </c>
      <c r="D205" s="379" t="n">
        <f aca="false">B219+E215+B215+B217</f>
        <v>339.99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229</v>
      </c>
      <c r="B207" s="325" t="n">
        <f aca="false">E217</f>
        <v>5025.88916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224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226</v>
      </c>
      <c r="B211" s="108" t="n">
        <f aca="false">D64</f>
        <v>4785.89916</v>
      </c>
      <c r="C211" s="383" t="s">
        <v>232</v>
      </c>
      <c r="D211" s="321"/>
      <c r="E211" s="384" t="n">
        <f aca="false">B66</f>
        <v>100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232</v>
      </c>
      <c r="B213" s="108" t="n">
        <f aca="false">B67</f>
        <v>100</v>
      </c>
      <c r="C213" s="340" t="s">
        <v>335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335</v>
      </c>
      <c r="B215" s="245" t="n">
        <f aca="false">B191*E213*100</f>
        <v>40</v>
      </c>
      <c r="C215" s="340" t="s">
        <v>234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336</v>
      </c>
      <c r="B217" s="245" t="n">
        <f aca="false">B78-(B78*(E213*100))</f>
        <v>200</v>
      </c>
      <c r="C217" s="340" t="s">
        <v>229</v>
      </c>
      <c r="D217" s="321"/>
      <c r="E217" s="37" t="n">
        <f aca="false">(B211-B205+D205)</f>
        <v>5025.88916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337</v>
      </c>
      <c r="B219" s="345" t="n">
        <f aca="false">D191/0.1</f>
        <v>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338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236</v>
      </c>
      <c r="B223" s="108" t="n">
        <f aca="false">B71</f>
        <v>200</v>
      </c>
      <c r="C223" s="340" t="s">
        <v>237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238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239</v>
      </c>
      <c r="B225" s="388" t="n">
        <f aca="false">B68</f>
        <v>0.0075</v>
      </c>
      <c r="C225" s="340" t="s">
        <v>240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241</v>
      </c>
      <c r="D226" s="350"/>
      <c r="E226" s="37" t="n">
        <f aca="false">B86</f>
        <v>102.709109463493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242</v>
      </c>
      <c r="B227" s="108" t="n">
        <f aca="false">B79</f>
        <v>200</v>
      </c>
      <c r="C227" s="389" t="s">
        <v>339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243</v>
      </c>
      <c r="B229" s="108" t="n">
        <f aca="false">B80</f>
        <v>200</v>
      </c>
      <c r="C229" s="393" t="s">
        <v>340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67" activeCellId="0" sqref="B67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(B3+C3+E10+D3+E3)*1.2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253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149</v>
      </c>
      <c r="E40" s="220"/>
      <c r="F40" s="67"/>
      <c r="G40" s="394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264</v>
      </c>
      <c r="B43" s="244" t="s">
        <v>265</v>
      </c>
      <c r="C43" s="234"/>
      <c r="D43" s="244" t="s">
        <v>269</v>
      </c>
      <c r="E43" s="247"/>
      <c r="F43" s="67"/>
      <c r="G43" s="67" t="s">
        <v>266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1</v>
      </c>
      <c r="C44" s="108"/>
      <c r="D44" s="282" t="n">
        <f aca="false">A44+B44</f>
        <v>2</v>
      </c>
      <c r="E44" s="282"/>
      <c r="F44" s="67"/>
      <c r="G44" s="67" t="s">
        <v>267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283</v>
      </c>
      <c r="B46" s="234"/>
      <c r="C46" s="234"/>
      <c r="D46" s="234"/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 t="n">
        <f aca="false">(A41*(B58+B57))</f>
        <v>600</v>
      </c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284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4785.89916</v>
      </c>
      <c r="C64" s="219" t="n">
        <v>10000</v>
      </c>
      <c r="D64" s="294" t="n">
        <f aca="false">B64</f>
        <v>4785.89916</v>
      </c>
      <c r="E64" s="220"/>
      <c r="F64" s="67"/>
      <c r="G64" s="288" t="s">
        <v>100</v>
      </c>
      <c r="H64" s="137" t="n">
        <f aca="false">H61*H63</f>
        <v>4785.89916</v>
      </c>
      <c r="I64" s="219"/>
      <c r="J64" s="294" t="n">
        <f aca="false">H64</f>
        <v>4785.89916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100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100</v>
      </c>
      <c r="C67" s="219"/>
      <c r="D67" s="294"/>
      <c r="E67" s="220"/>
      <c r="F67" s="67"/>
      <c r="G67" s="288" t="s">
        <v>103</v>
      </c>
      <c r="H67" s="137" t="n">
        <f aca="false">H61*H66</f>
        <v>341.84994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</v>
      </c>
      <c r="C74" s="219"/>
      <c r="D74" s="219"/>
      <c r="E74" s="220"/>
      <c r="F74" s="67"/>
      <c r="G74" s="295" t="s">
        <v>288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/>
      <c r="D75" s="219"/>
      <c r="E75" s="220"/>
      <c r="F75" s="67"/>
      <c r="G75" s="299" t="s">
        <v>289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6112.56582666667</v>
      </c>
      <c r="C81" s="219"/>
      <c r="D81" s="219"/>
      <c r="E81" s="220"/>
      <c r="F81" s="67"/>
      <c r="G81" s="307" t="s">
        <v>112</v>
      </c>
      <c r="H81" s="308" t="n">
        <f aca="false">SUM(J64:J80)</f>
        <v>6439.48249333333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509.380485555556</v>
      </c>
      <c r="C82" s="219"/>
      <c r="D82" s="219"/>
      <c r="E82" s="220"/>
      <c r="F82" s="67"/>
      <c r="G82" s="218" t="s">
        <v>113</v>
      </c>
      <c r="H82" s="304" t="n">
        <f aca="false">H81/H29</f>
        <v>536.623541111111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</f>
        <v>12124.5658266667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14941.778992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102.709109463493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105.478472109722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12227.2749361302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14947.2674641097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IF(B99=Z102,(((H44*B35)+(H44*B35)*(B105/100))/(B58)),(((H44*B35)+(H44*B35)*(B105/100))/(B57+B58)))</f>
        <v>60</v>
      </c>
      <c r="C89" s="219" t="s">
        <v>6</v>
      </c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1018.93957801085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1245.60562200914</v>
      </c>
      <c r="I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1078.93957801085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1317.60562200914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273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274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275</v>
      </c>
      <c r="AA104" s="67"/>
    </row>
    <row r="105" customFormat="false" ht="18.75" hidden="false" customHeight="true" outlineLevel="0" collapsed="false">
      <c r="A105" s="226" t="s">
        <v>27</v>
      </c>
      <c r="B105" s="316" t="n">
        <v>20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276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277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278</v>
      </c>
      <c r="AA107" s="67"/>
    </row>
    <row r="108" customFormat="false" ht="18.75" hidden="false" customHeight="true" outlineLevel="0" collapsed="false">
      <c r="A108" s="221" t="s">
        <v>299</v>
      </c>
      <c r="B108" s="221"/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279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280</v>
      </c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((E118*1.2)+E117)-E114</f>
        <v>1239.988</v>
      </c>
      <c r="F119" s="67"/>
      <c r="G119" s="319" t="s">
        <v>301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1018.93957801085</v>
      </c>
      <c r="B128" s="325" t="n">
        <f aca="false">IF(A105="YES",B89,0)</f>
        <v>60</v>
      </c>
      <c r="C128" s="330"/>
      <c r="D128" s="325" t="n">
        <f aca="false">B91</f>
        <v>1078.93957801085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305</v>
      </c>
      <c r="H129" s="332" t="s">
        <v>306</v>
      </c>
      <c r="I129" s="332"/>
      <c r="J129" s="332" t="s">
        <v>307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337" t="n">
        <f aca="false">H90</f>
        <v>1245.60562200914</v>
      </c>
      <c r="H130" s="181" t="n">
        <f aca="false">IF(G105="YES",H89*H57,0)</f>
        <v>72</v>
      </c>
      <c r="I130" s="181"/>
      <c r="J130" s="338" t="n">
        <f aca="false">H91</f>
        <v>1317.60562200914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1018.93957801085</v>
      </c>
      <c r="C131" s="321"/>
      <c r="D131" s="42" t="n">
        <f aca="false">IF(A105="YES",B89*B57,0)</f>
        <v>60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1245.60562200914</v>
      </c>
      <c r="H133" s="107" t="n">
        <f aca="false">IF(G105="YES",H89*H57,0)</f>
        <v>72</v>
      </c>
      <c r="I133" s="225"/>
      <c r="J133" s="188" t="n">
        <f aca="false">H91*H57</f>
        <v>1317.60562200914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1078.93957801085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1018.93957801085</v>
      </c>
      <c r="B137" s="42" t="n">
        <f aca="false">IF(A105="YES",B89,0)</f>
        <v>60</v>
      </c>
      <c r="C137" s="321"/>
      <c r="D137" s="42" t="n">
        <f aca="false">B91</f>
        <v>1078.93957801085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341.84994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41.0219928</v>
      </c>
      <c r="B140" s="347" t="n">
        <f aca="false">G18*0.000002*100</f>
        <v>13.6739976</v>
      </c>
      <c r="C140" s="348"/>
      <c r="D140" s="347" t="n">
        <f aca="false">A140+B140</f>
        <v>54.6959904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1569.03794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100</v>
      </c>
      <c r="B148" s="42" t="n">
        <f aca="false">B102</f>
        <v>400</v>
      </c>
      <c r="C148" s="42"/>
      <c r="D148" s="42" t="n">
        <f aca="false">IF(A105="YES",(A38/100*B105)*B125,0)*0.001</f>
        <v>12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611.99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1317.60562200914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1078.93957801085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302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295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303</v>
      </c>
      <c r="C170" s="362"/>
      <c r="D170" s="361" t="s">
        <v>304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1018.93957801085</v>
      </c>
      <c r="B171" s="362" t="n">
        <f aca="false">IF(A105="YES",B89,0)</f>
        <v>60</v>
      </c>
      <c r="C171" s="365"/>
      <c r="D171" s="362" t="n">
        <f aca="false">B91</f>
        <v>1078.93957801085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308</v>
      </c>
      <c r="C173" s="234"/>
      <c r="D173" s="366" t="s">
        <v>309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 Monthly in advance </v>
      </c>
      <c r="B174" s="107" t="n">
        <f aca="false">B90*B57</f>
        <v>1018.93957801085</v>
      </c>
      <c r="C174" s="360"/>
      <c r="D174" s="107" t="n">
        <f aca="false">IF(A105="YES",B89*B57,0)</f>
        <v>60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313</v>
      </c>
      <c r="B176" s="170" t="s">
        <v>314</v>
      </c>
      <c r="C176" s="367"/>
      <c r="D176" s="245" t="s">
        <v>217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1078.93957801085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303</v>
      </c>
      <c r="C179" s="360"/>
      <c r="D179" s="360" t="s">
        <v>304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1018.93957801085</v>
      </c>
      <c r="B180" s="107" t="n">
        <f aca="false">IF(A105="YES",B89,0)</f>
        <v>60</v>
      </c>
      <c r="C180" s="360"/>
      <c r="D180" s="107" t="n">
        <f aca="false">B91</f>
        <v>1078.93957801085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321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(G18*0.000006)*100</f>
        <v>41.0219928</v>
      </c>
      <c r="B183" s="372" t="n">
        <f aca="false">G18*0.000002*100</f>
        <v>13.6739976</v>
      </c>
      <c r="C183" s="373"/>
      <c r="D183" s="372" t="n">
        <f aca="false">A183+B183</f>
        <v>54.6959904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325</v>
      </c>
      <c r="B185" s="371" t="s">
        <v>62</v>
      </c>
      <c r="C185" s="107"/>
      <c r="D185" s="371" t="s">
        <v>291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199.99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328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329</v>
      </c>
      <c r="B190" s="360" t="s">
        <v>330</v>
      </c>
      <c r="C190" s="360"/>
      <c r="D190" s="360" t="s">
        <v>331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100</v>
      </c>
      <c r="B191" s="107" t="n">
        <f aca="false">B102</f>
        <v>400</v>
      </c>
      <c r="C191" s="107"/>
      <c r="D191" s="107" t="n">
        <f aca="false">IF(A105="YES",(A38/100*B105)*B125,0)*0.001</f>
        <v>12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333</v>
      </c>
      <c r="B193" s="360" t="s">
        <v>327</v>
      </c>
      <c r="C193" s="360"/>
      <c r="D193" s="360" t="s">
        <v>324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E118-100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611.99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334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223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224</v>
      </c>
      <c r="B203" s="378" t="n">
        <f aca="false">B209</f>
        <v>0.065</v>
      </c>
      <c r="C203" s="325" t="s">
        <v>226</v>
      </c>
      <c r="D203" s="379" t="n">
        <f aca="false">D64</f>
        <v>4785.89916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227</v>
      </c>
      <c r="B205" s="325" t="n">
        <f aca="false">B213</f>
        <v>100</v>
      </c>
      <c r="C205" s="324" t="s">
        <v>228</v>
      </c>
      <c r="D205" s="379" t="n">
        <f aca="false">B219+E215+B215+B217</f>
        <v>459.99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229</v>
      </c>
      <c r="B207" s="325" t="n">
        <f aca="false">E217</f>
        <v>5145.88916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224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226</v>
      </c>
      <c r="B211" s="108" t="n">
        <f aca="false">D64</f>
        <v>4785.89916</v>
      </c>
      <c r="C211" s="383" t="s">
        <v>232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232</v>
      </c>
      <c r="B213" s="108" t="n">
        <f aca="false">B67</f>
        <v>100</v>
      </c>
      <c r="C213" s="340" t="s">
        <v>335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335</v>
      </c>
      <c r="B215" s="245" t="n">
        <f aca="false">B191*E213*100</f>
        <v>40</v>
      </c>
      <c r="C215" s="340" t="s">
        <v>234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336</v>
      </c>
      <c r="B217" s="245" t="n">
        <f aca="false">B78-(B78*(E213*100))</f>
        <v>200</v>
      </c>
      <c r="C217" s="340" t="s">
        <v>229</v>
      </c>
      <c r="D217" s="321"/>
      <c r="E217" s="37" t="n">
        <f aca="false">(B211-B205+D205)</f>
        <v>5145.88916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337</v>
      </c>
      <c r="B219" s="345" t="n">
        <f aca="false">D191/0.1</f>
        <v>120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338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236</v>
      </c>
      <c r="B223" s="108" t="n">
        <f aca="false">B71</f>
        <v>200</v>
      </c>
      <c r="C223" s="340" t="s">
        <v>237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238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239</v>
      </c>
      <c r="B225" s="388" t="n">
        <f aca="false">B68</f>
        <v>0.0075</v>
      </c>
      <c r="C225" s="340" t="s">
        <v>240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241</v>
      </c>
      <c r="D226" s="350"/>
      <c r="E226" s="37" t="n">
        <f aca="false">B86</f>
        <v>102.709109463493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242</v>
      </c>
      <c r="B227" s="108" t="n">
        <f aca="false">B79</f>
        <v>200</v>
      </c>
      <c r="C227" s="389" t="s">
        <v>339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243</v>
      </c>
      <c r="B229" s="108" t="n">
        <f aca="false">B80</f>
        <v>200</v>
      </c>
      <c r="C229" s="393" t="s">
        <v>340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247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2020-12-02T11:02:00Z</dcterms:created>
  <dc:creator>Kushal Panchal</dc:creator>
  <dc:language>en-US</dc:language>
  <dcterms:modified xsi:type="dcterms:W3CDTF">2024-07-16T16:59:20Z</dcterms:modified>
  <cp:revision>980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ICV">
    <vt:lpwstr>CE3AEC47E53A4CF5B6673284C36DFA3F_12</vt:lpwstr>
  </property>
  <property fmtid="{D5CDD505-2E9C-101B-9397-08002B2CF9AE}" pid="5" name="KSOProductBuildVer">
    <vt:lpwstr>1033-12.2.0.13489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