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oc Fee and Commission from Con" sheetId="1" state="visible" r:id="rId3"/>
    <sheet name="Default Broker Margin Values" sheetId="2" state="visible" r:id="rId4"/>
    <sheet name="CP(F2)-PCP_Used_LCV" sheetId="3" state="visible" r:id="rId5"/>
    <sheet name="CP(F2)-CP_Used_LCV" sheetId="4" state="visible" r:id="rId6"/>
    <sheet name="HPNR(F3)-PCP_Used_LCV" sheetId="5" state="visible" r:id="rId7"/>
    <sheet name="HPNR(F3)-CP_Used_LCV" sheetId="6" state="visible" r:id="rId8"/>
    <sheet name="HPNR(F3)-HPR_Used_LCV" sheetId="7" state="visible" r:id="rId9"/>
    <sheet name="HPNR(F3)-HPNR_Used_LCV" sheetId="8" state="visible" r:id="rId10"/>
    <sheet name="BCH-F3-PCH_Used_LCV" sheetId="9" state="visible" r:id="rId11"/>
    <sheet name="BCH-F3-BCH_Used_LCV" sheetId="10" state="visible" r:id="rId12"/>
    <sheet name="CP(F3)-PCH_Used_LCV" sheetId="11" state="visible" r:id="rId13"/>
    <sheet name="CP(F3)-BCH_Used_LCV" sheetId="12" state="visible" r:id="rId14"/>
    <sheet name="FL(F3)-FL_Used_LCV" sheetId="13" state="visible" r:id="rId15"/>
    <sheet name="FL(F3)-PCH_Used_LCV" sheetId="14" state="visible" r:id="rId16"/>
    <sheet name="FL(F3)-BCH_Used_LCV" sheetId="15" state="visible" r:id="rId17"/>
    <sheet name="HPNR (F3)-FL_Used_LCV" sheetId="16" state="visible" r:id="rId18"/>
    <sheet name="HPNR (F3)-PCH_Used_LCV" sheetId="17" state="visible" r:id="rId19"/>
    <sheet name="HPNR (F3)-BCH_Used_LCV" sheetId="18" state="visible" r:id="rId20"/>
    <sheet name="PCP_used_LCV" sheetId="19" state="visible" r:id="rId21"/>
    <sheet name="CP_used_LCV" sheetId="20" state="visible" r:id="rId22"/>
    <sheet name="HPR_used_LCV" sheetId="21" state="visible" r:id="rId23"/>
    <sheet name="HPNR_used_LCV" sheetId="22" state="visible" r:id="rId24"/>
    <sheet name="Formula1-FL_Used_LCV" sheetId="23" state="visible" r:id="rId25"/>
    <sheet name="Formula1-PCH_Used_LCV" sheetId="24" state="visible" r:id="rId26"/>
    <sheet name="Formula1-BCH_Used_LCV" sheetId="25" state="visible" r:id="rId27"/>
    <sheet name="CP(F2)-PCP_Used_car" sheetId="26" state="visible" r:id="rId28"/>
    <sheet name="CP(F2)-CP_Used_car" sheetId="27" state="visible" r:id="rId29"/>
    <sheet name="HPNR(F3)-PCP_Used_car" sheetId="28" state="visible" r:id="rId30"/>
    <sheet name="HPNR(F3)-CP_Used_car" sheetId="29" state="visible" r:id="rId31"/>
    <sheet name="HPNR(F3)-HPR_Used_car" sheetId="30" state="visible" r:id="rId32"/>
    <sheet name="HPNR(F3)-HPNR_Used_car" sheetId="31" state="visible" r:id="rId33"/>
    <sheet name="CP(F3)-PCH_Used_car" sheetId="32" state="visible" r:id="rId34"/>
    <sheet name="CP(F3)-BCH_Used_car" sheetId="33" state="visible" r:id="rId35"/>
    <sheet name="FL(F3)-FL_Used_car" sheetId="34" state="visible" r:id="rId36"/>
    <sheet name="FL(F3)-PCH_Used_car" sheetId="35" state="visible" r:id="rId37"/>
    <sheet name="FL(F3)-BCH_Used_car" sheetId="36" state="visible" r:id="rId38"/>
    <sheet name="HPNR (F3)-FL_Used_car" sheetId="37" state="visible" r:id="rId39"/>
    <sheet name="HPNR (F3)-PCH_Used_car" sheetId="38" state="visible" r:id="rId40"/>
    <sheet name="HPNR (F3)-BCH_Used_car" sheetId="39" state="visible" r:id="rId41"/>
    <sheet name="PCP_used_car" sheetId="40" state="visible" r:id="rId42"/>
    <sheet name="CP_used_car" sheetId="41" state="visible" r:id="rId43"/>
    <sheet name="HPR_used_car" sheetId="42" state="visible" r:id="rId44"/>
    <sheet name="HPNR_used_car" sheetId="43" state="visible" r:id="rId45"/>
    <sheet name="BCH-F3-PCH_Used_car" sheetId="44" state="visible" r:id="rId46"/>
    <sheet name="BCH-F3-BCH_Used_car" sheetId="45" state="visible" r:id="rId47"/>
    <sheet name="Formula1-FL_Used_car" sheetId="46" state="visible" r:id="rId48"/>
    <sheet name="Formula1-PCH_Used_car" sheetId="47" state="visible" r:id="rId49"/>
    <sheet name="Formula1-BCH_Used_car" sheetId="48" state="visible" r:id="rId50"/>
    <sheet name="CP (Formula 3) - PCH" sheetId="49" state="visible" r:id="rId51"/>
    <sheet name="CP (Formula 3) - BCH" sheetId="50" state="visible" r:id="rId52"/>
    <sheet name="CP (Formula 2) - CP" sheetId="51" state="visible" r:id="rId53"/>
    <sheet name="CP (Formula 2) - PCP" sheetId="52" state="visible" r:id="rId54"/>
    <sheet name="HPNR (Formula 3) - PCP" sheetId="53" state="visible" r:id="rId55"/>
    <sheet name="HPNR (Formula 3) - CP" sheetId="54" state="visible" r:id="rId56"/>
    <sheet name="HPNR (Formula 3) - HPR" sheetId="55" state="visible" r:id="rId57"/>
    <sheet name="HPNR (Formula 3) - FL" sheetId="56" state="visible" r:id="rId58"/>
    <sheet name="HPNR (Formula 3) - PCH" sheetId="57" state="visible" r:id="rId59"/>
    <sheet name="HPNR (Formula 3) - BCH" sheetId="58" state="visible" r:id="rId60"/>
    <sheet name="FL (Formula 3) - FL" sheetId="59" state="visible" r:id="rId61"/>
    <sheet name="FL (Formula 3) - PCH" sheetId="60" state="visible" r:id="rId62"/>
    <sheet name="FL (Formula 3) - BCH" sheetId="61" state="visible" r:id="rId63"/>
    <sheet name="HPNR (Formula 3) - HPNR" sheetId="62" state="visible" r:id="rId64"/>
    <sheet name="HirePurchaseNonRegulated" sheetId="63" state="visible" r:id="rId65"/>
    <sheet name="HirePurchaseRegulated" sheetId="64" state="visible" r:id="rId66"/>
    <sheet name="PersonalContractPurchase" sheetId="65" state="visible" r:id="rId67"/>
    <sheet name="ContractPurchase" sheetId="66" state="visible" r:id="rId68"/>
    <sheet name="Formula1-FL" sheetId="67" state="visible" r:id="rId69"/>
    <sheet name="Formula1-PCH" sheetId="68" state="visible" r:id="rId70"/>
    <sheet name="Formula1-BCH" sheetId="69" state="visible" r:id="rId71"/>
    <sheet name="FL (Formula 3) - BCH, PCH, FL" sheetId="70" state="visible" r:id="rId72"/>
    <sheet name="BCH (Formula 3) - PCH" sheetId="71" state="visible" r:id="rId73"/>
    <sheet name="BCH (Formula 3) - BCH" sheetId="72" state="visible" r:id="rId7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<sst xmlns="http://schemas.openxmlformats.org/spreadsheetml/2006/main" count="32331" uniqueCount="402">
  <si>
    <t xml:space="preserve">Hire Doc Fee</t>
  </si>
  <si>
    <t xml:space="preserve">Hire Doc Fee Commission </t>
  </si>
  <si>
    <t xml:space="preserve">Purchase Doc Fee</t>
  </si>
  <si>
    <t xml:space="preserve">Purchase Doc Fee Commission </t>
  </si>
  <si>
    <t xml:space="preserve">Hire Default Broker Margin Values</t>
  </si>
  <si>
    <t xml:space="preserve">Min </t>
  </si>
  <si>
    <t xml:space="preserve">Max</t>
  </si>
  <si>
    <t xml:space="preserve">Values</t>
  </si>
  <si>
    <t xml:space="preserve">Purchase Default Broker Margin Percentage</t>
  </si>
  <si>
    <t xml:space="preserve">A1 Credit</t>
  </si>
  <si>
    <t xml:space="preserve"> </t>
  </si>
  <si>
    <t xml:space="preserve">Percentage Values</t>
  </si>
  <si>
    <t xml:space="preserve">Limited Credit</t>
  </si>
  <si>
    <t xml:space="preserve">Premium Credit</t>
  </si>
  <si>
    <t xml:space="preserve">Calculations</t>
  </si>
  <si>
    <t xml:space="preserve">Cost price ex. VAT &amp; RFL </t>
  </si>
  <si>
    <t xml:space="preserve">VAT </t>
  </si>
  <si>
    <t xml:space="preserve">RFL &amp; FRF </t>
  </si>
  <si>
    <t xml:space="preserve">Cost OTR price </t>
  </si>
  <si>
    <t xml:space="preserve">OTR component </t>
  </si>
  <si>
    <t xml:space="preserve">Cost price</t>
  </si>
  <si>
    <t xml:space="preserve">Vehicle cost price </t>
  </si>
  <si>
    <t xml:space="preserve">Options and preparation cost </t>
  </si>
  <si>
    <t xml:space="preserve">RFL </t>
  </si>
  <si>
    <t xml:space="preserve">Target OTR</t>
  </si>
  <si>
    <t xml:space="preserve">OTR price </t>
  </si>
  <si>
    <t xml:space="preserve">Buying group</t>
  </si>
  <si>
    <t xml:space="preserve">P11D</t>
  </si>
  <si>
    <t xml:space="preserve">Dealer</t>
  </si>
  <si>
    <t xml:space="preserve">Manufacturer</t>
  </si>
  <si>
    <t xml:space="preserve">OTR for invoice </t>
  </si>
  <si>
    <t xml:space="preserve">YES</t>
  </si>
  <si>
    <t xml:space="preserve">NO</t>
  </si>
  <si>
    <t xml:space="preserve">                  </t>
  </si>
  <si>
    <t xml:space="preserve">Holding cost - formula - 2</t>
  </si>
  <si>
    <t xml:space="preserve">      Funder information</t>
  </si>
  <si>
    <t xml:space="preserve">Payment profile</t>
  </si>
  <si>
    <t xml:space="preserve">Monthly Advance</t>
  </si>
  <si>
    <t xml:space="preserve">Number of Monthly Advance</t>
  </si>
  <si>
    <t xml:space="preserve">Monthly advance</t>
  </si>
  <si>
    <t xml:space="preserve">Advance payment in Value</t>
  </si>
  <si>
    <t xml:space="preserve">Duration</t>
  </si>
  <si>
    <t xml:space="preserve">Funder</t>
  </si>
  <si>
    <t xml:space="preserve">Quote reference</t>
  </si>
  <si>
    <t xml:space="preserve">Quote expiry date</t>
  </si>
  <si>
    <t xml:space="preserve">Mileage</t>
  </si>
  <si>
    <t xml:space="preserve">sadasa</t>
  </si>
  <si>
    <t xml:space="preserve">dsfsfds</t>
  </si>
  <si>
    <t xml:space="preserve">Residual Value</t>
  </si>
  <si>
    <t xml:space="preserve">Maintenance Cost (SMR) Annual Value</t>
  </si>
  <si>
    <t xml:space="preserve">TOTAL CASH PRICE</t>
  </si>
  <si>
    <t xml:space="preserve">23125.00</t>
  </si>
  <si>
    <t xml:space="preserve">Term</t>
  </si>
  <si>
    <t xml:space="preserve">Miles per annum</t>
  </si>
  <si>
    <t xml:space="preserve">Contract mileage</t>
  </si>
  <si>
    <t xml:space="preserve">12</t>
  </si>
  <si>
    <t xml:space="preserve">5000</t>
  </si>
  <si>
    <t xml:space="preserve">CASH DEPOSIT</t>
  </si>
  <si>
    <t xml:space="preserve">1000</t>
  </si>
  <si>
    <t xml:space="preserve">Interest Rate (annual)</t>
  </si>
  <si>
    <t xml:space="preserve">Total cash price</t>
  </si>
  <si>
    <t xml:space="preserve">Cash deposit</t>
  </si>
  <si>
    <t xml:space="preserve">Balance to finance</t>
  </si>
  <si>
    <t xml:space="preserve">Subsequence term</t>
  </si>
  <si>
    <t xml:space="preserve">BALANCE TO FINANCE</t>
  </si>
  <si>
    <t xml:space="preserve">Calculation</t>
  </si>
  <si>
    <t xml:space="preserve">Document fee</t>
  </si>
  <si>
    <t xml:space="preserve">Number of monthly payments</t>
  </si>
  <si>
    <t xml:space="preserve">Monthly payment</t>
  </si>
  <si>
    <t xml:space="preserve">funderQuouteMonthlyPayment</t>
  </si>
  <si>
    <t xml:space="preserve">500</t>
  </si>
  <si>
    <t xml:space="preserve">vat</t>
  </si>
  <si>
    <t xml:space="preserve">maintenanceCost</t>
  </si>
  <si>
    <t xml:space="preserve">Optional final payment</t>
  </si>
  <si>
    <t xml:space="preserve">Option to purchase fee</t>
  </si>
  <si>
    <t xml:space="preserve">Maintenance included</t>
  </si>
  <si>
    <t xml:space="preserve">optionalFinalPayment</t>
  </si>
  <si>
    <t xml:space="preserve">fundingContractPeriod</t>
  </si>
  <si>
    <t xml:space="preserve">vatElement</t>
  </si>
  <si>
    <t xml:space="preserve">Monthly maint. Payment</t>
  </si>
  <si>
    <t xml:space="preserve">Pence per excess mile - finance</t>
  </si>
  <si>
    <t xml:space="preserve">Pence per excess mile - maint</t>
  </si>
  <si>
    <t xml:space="preserve">Holding Cost</t>
  </si>
  <si>
    <t xml:space="preserve">rfl</t>
  </si>
  <si>
    <t xml:space="preserve">DocumentTermCal</t>
  </si>
  <si>
    <t xml:space="preserve">Pence per excess mile - total</t>
  </si>
  <si>
    <t xml:space="preserve">Option to Purchase fee</t>
  </si>
  <si>
    <t xml:space="preserve">monthlyHoldingCost</t>
  </si>
  <si>
    <t xml:space="preserve">monthlyFinanceCost</t>
  </si>
  <si>
    <t xml:space="preserve">% CAP residual value used</t>
  </si>
  <si>
    <t xml:space="preserve">% CAP maintenance cost used</t>
  </si>
  <si>
    <t xml:space="preserve">Total Cap Maint. Value</t>
  </si>
  <si>
    <t xml:space="preserve">0.00</t>
  </si>
  <si>
    <t xml:space="preserve">Total Maint value</t>
  </si>
  <si>
    <t xml:space="preserve">    Own book holding cost matrix</t>
  </si>
  <si>
    <t xml:space="preserve">Term (months)</t>
  </si>
  <si>
    <t xml:space="preserve">Mileage per annum</t>
  </si>
  <si>
    <t xml:space="preserve">Advance</t>
  </si>
  <si>
    <t xml:space="preserve">Subsequent monthly rentals</t>
  </si>
  <si>
    <t xml:space="preserve">Options to purchase fee</t>
  </si>
  <si>
    <t xml:space="preserve">Period Supplement</t>
  </si>
  <si>
    <t xml:space="preserve">Base Rate</t>
  </si>
  <si>
    <t xml:space="preserve">Rate Over Base Rate</t>
  </si>
  <si>
    <t xml:space="preserve">Default Margin</t>
  </si>
  <si>
    <t xml:space="preserve">Minimum Margin (%) for broker Vrb</t>
  </si>
  <si>
    <t xml:space="preserve">Margin Required (%) for broker vrb</t>
  </si>
  <si>
    <t xml:space="preserve">Default VRB Paid to Broker</t>
  </si>
  <si>
    <t xml:space="preserve">contingency insurance multiplier (holding cost)</t>
  </si>
  <si>
    <t xml:space="preserve">Insurance Premium Tax</t>
  </si>
  <si>
    <t xml:space="preserve">contingency insurance multiplier (Customer cost)</t>
  </si>
  <si>
    <t xml:space="preserve">Tracker Cost EX VAT</t>
  </si>
  <si>
    <t xml:space="preserve">Tracker subs per month EX VAT</t>
  </si>
  <si>
    <t xml:space="preserve">Tracker subs Total EX VAT</t>
  </si>
  <si>
    <t xml:space="preserve">Disposal Costs</t>
  </si>
  <si>
    <t xml:space="preserve">Delivery and collection EX VAT</t>
  </si>
  <si>
    <t xml:space="preserve">Total Additional Cost</t>
  </si>
  <si>
    <t xml:space="preserve">Monthly additioanl cost</t>
  </si>
  <si>
    <t xml:space="preserve">Holding cost</t>
  </si>
  <si>
    <t xml:space="preserve">Advance(Balance To finanace)</t>
  </si>
  <si>
    <t xml:space="preserve">Residual</t>
  </si>
  <si>
    <t xml:space="preserve">Annual Interest Rate</t>
  </si>
  <si>
    <t xml:space="preserve">R</t>
  </si>
  <si>
    <t xml:space="preserve">Subsequent Rentals (n)</t>
  </si>
  <si>
    <t xml:space="preserve">Step 1</t>
  </si>
  <si>
    <t xml:space="preserve">Step 2</t>
  </si>
  <si>
    <t xml:space="preserve">Step 3</t>
  </si>
  <si>
    <t xml:space="preserve">Monthly rental </t>
  </si>
  <si>
    <t xml:space="preserve">Total exc. contingency insurance</t>
  </si>
  <si>
    <t xml:space="preserve">Insurance</t>
  </si>
  <si>
    <t xml:space="preserve">Total inc. contingency insurance</t>
  </si>
  <si>
    <t xml:space="preserve">Monthly maintenance rental</t>
  </si>
  <si>
    <t xml:space="preserve">Monthly finance rental</t>
  </si>
  <si>
    <t xml:space="preserve">Total monthly rental (Ex. VAT)</t>
  </si>
  <si>
    <t xml:space="preserve">Hire purchase - NON Regulated</t>
  </si>
  <si>
    <t xml:space="preserve">Hire purchase - Regulated</t>
  </si>
  <si>
    <t xml:space="preserve">Contract purchase</t>
  </si>
  <si>
    <t xml:space="preserve">Personal contract purchase</t>
  </si>
  <si>
    <t xml:space="preserve">       Own book customer quote</t>
  </si>
  <si>
    <t xml:space="preserve">Contract type</t>
  </si>
  <si>
    <t xml:space="preserve">Maintenance include</t>
  </si>
  <si>
    <t xml:space="preserve">Hire purchase - NON regulated</t>
  </si>
  <si>
    <t xml:space="preserve"> Monthly in advance </t>
  </si>
  <si>
    <t xml:space="preserve">Maintenance margin %</t>
  </si>
  <si>
    <t xml:space="preserve">Credit type</t>
  </si>
  <si>
    <t xml:space="preserve">APR</t>
  </si>
  <si>
    <t xml:space="preserve">Limited Cedit</t>
  </si>
  <si>
    <t xml:space="preserve">Limited credit</t>
  </si>
  <si>
    <t xml:space="preserve">A1  Crdit</t>
  </si>
  <si>
    <t xml:space="preserve">Included balloon payment</t>
  </si>
  <si>
    <t xml:space="preserve">Order deposit</t>
  </si>
  <si>
    <t xml:space="preserve">Finance deposit</t>
  </si>
  <si>
    <t xml:space="preserve">Total deposit</t>
  </si>
  <si>
    <t xml:space="preserve">Document fee (Ex. VAT)</t>
  </si>
  <si>
    <t xml:space="preserve">Initial payment</t>
  </si>
  <si>
    <t xml:space="preserve">       Sales price</t>
  </si>
  <si>
    <t xml:space="preserve">Vehicle</t>
  </si>
  <si>
    <t xml:space="preserve">Paint</t>
  </si>
  <si>
    <t xml:space="preserve">Options</t>
  </si>
  <si>
    <t xml:space="preserve">Accessories</t>
  </si>
  <si>
    <t xml:space="preserve">OTR price</t>
  </si>
  <si>
    <t xml:space="preserve">Sales price</t>
  </si>
  <si>
    <t xml:space="preserve">Basic list price</t>
  </si>
  <si>
    <t xml:space="preserve">Discount (%)</t>
  </si>
  <si>
    <t xml:space="preserve">Additional discount</t>
  </si>
  <si>
    <t xml:space="preserve">Discount total</t>
  </si>
  <si>
    <t xml:space="preserve">After discount price</t>
  </si>
  <si>
    <t xml:space="preserve">Accessories list price</t>
  </si>
  <si>
    <t xml:space="preserve">Accessories name</t>
  </si>
  <si>
    <t xml:space="preserve">Listing price</t>
  </si>
  <si>
    <t xml:space="preserve">Discount in %</t>
  </si>
  <si>
    <t xml:space="preserve">Accessories1</t>
  </si>
  <si>
    <t xml:space="preserve">Accessories2</t>
  </si>
  <si>
    <t xml:space="preserve">Accessories3</t>
  </si>
  <si>
    <t xml:space="preserve">Subtotal after discounts         </t>
  </si>
  <si>
    <t xml:space="preserve">Manufacturer delivery charges           </t>
  </si>
  <si>
    <t xml:space="preserve">VAT           </t>
  </si>
  <si>
    <t xml:space="preserve">Grant           </t>
  </si>
  <si>
    <t xml:space="preserve">Road tax for first year           </t>
  </si>
  <si>
    <t xml:space="preserve">First registration fee           </t>
  </si>
  <si>
    <t xml:space="preserve">On the road price for invoice           </t>
  </si>
  <si>
    <t xml:space="preserve">Rebate           </t>
  </si>
  <si>
    <t xml:space="preserve">Other support           </t>
  </si>
  <si>
    <t xml:space="preserve">Remarks</t>
  </si>
  <si>
    <t xml:space="preserve">On the road price for calculation           </t>
  </si>
  <si>
    <t xml:space="preserve">Sales profit          </t>
  </si>
  <si>
    <t xml:space="preserve">       Part exchange</t>
  </si>
  <si>
    <t xml:space="preserve">Part exchange</t>
  </si>
  <si>
    <t xml:space="preserve">Less finance settlement</t>
  </si>
  <si>
    <t xml:space="preserve">Net part exchange allowance</t>
  </si>
  <si>
    <t xml:space="preserve">Part exchange profit</t>
  </si>
  <si>
    <t xml:space="preserve">Referrer Commission </t>
  </si>
  <si>
    <t xml:space="preserve">Deposit required</t>
  </si>
  <si>
    <t xml:space="preserve">Balance to finanace</t>
  </si>
  <si>
    <t xml:space="preserve">       Summary</t>
  </si>
  <si>
    <t xml:space="preserve">Target rental</t>
  </si>
  <si>
    <t xml:space="preserve">Monthly finance payment</t>
  </si>
  <si>
    <t xml:space="preserve">Monthly maintenance payment</t>
  </si>
  <si>
    <t xml:space="preserve">Total monthly payment</t>
  </si>
  <si>
    <t xml:space="preserve">Monthly Finance Payment</t>
  </si>
  <si>
    <t xml:space="preserve">Balloon</t>
  </si>
  <si>
    <t xml:space="preserve">Basic cash price</t>
  </si>
  <si>
    <t xml:space="preserve">VAT</t>
  </si>
  <si>
    <t xml:space="preserve">NON - VAT</t>
  </si>
  <si>
    <t xml:space="preserve">Total Cash price</t>
  </si>
  <si>
    <t xml:space="preserve">Finanace charges</t>
  </si>
  <si>
    <t xml:space="preserve">Balance payable</t>
  </si>
  <si>
    <t xml:space="preserve">Options to puchase fee</t>
  </si>
  <si>
    <t xml:space="preserve">Initial cash payment</t>
  </si>
  <si>
    <t xml:space="preserve">Final payment (inc. Option to puchase fee</t>
  </si>
  <si>
    <t xml:space="preserve">Pence per excess mile - Maintenance</t>
  </si>
  <si>
    <t xml:space="preserve">Default comission</t>
  </si>
  <si>
    <t xml:space="preserve">Maintenance comission</t>
  </si>
  <si>
    <t xml:space="preserve">Document fee comission </t>
  </si>
  <si>
    <t xml:space="preserve">Total comission</t>
  </si>
  <si>
    <t xml:space="preserve">Vehicle profit</t>
  </si>
  <si>
    <t xml:space="preserve">     Own book holding cost matrix</t>
  </si>
  <si>
    <t xml:space="preserve">Holding Finance Charges</t>
  </si>
  <si>
    <t xml:space="preserve">Holding Balance Payable</t>
  </si>
  <si>
    <t xml:space="preserve">Contract Purchase</t>
  </si>
  <si>
    <t xml:space="preserve">Followed by</t>
  </si>
  <si>
    <t xml:space="preserve">Guaranteed future value</t>
  </si>
  <si>
    <t xml:space="preserve">Final payment (inc. option to purchase fee)</t>
  </si>
  <si>
    <t xml:space="preserve">Pence per excess mile - maint.</t>
  </si>
  <si>
    <t xml:space="preserve">       Commission due</t>
  </si>
  <si>
    <t xml:space="preserve">Vehicle comm.</t>
  </si>
  <si>
    <t xml:space="preserve">        Configuration</t>
  </si>
  <si>
    <t xml:space="preserve">Base interest rate</t>
  </si>
  <si>
    <t xml:space="preserve">Customer interest rate</t>
  </si>
  <si>
    <t xml:space="preserve">Finance margin</t>
  </si>
  <si>
    <t xml:space="preserve">Deductions</t>
  </si>
  <si>
    <t xml:space="preserve">Additional margin</t>
  </si>
  <si>
    <t xml:space="preserve">Total margin</t>
  </si>
  <si>
    <t xml:space="preserve">Customer rate over base</t>
  </si>
  <si>
    <t xml:space="preserve">Period supplement</t>
  </si>
  <si>
    <t xml:space="preserve">Default broker margin</t>
  </si>
  <si>
    <t xml:space="preserve">Maint. Margin</t>
  </si>
  <si>
    <t xml:space="preserve">Document fee margin</t>
  </si>
  <si>
    <t xml:space="preserve">       Additional items</t>
  </si>
  <si>
    <t xml:space="preserve">Tracker cost</t>
  </si>
  <si>
    <t xml:space="preserve">Tracker subs per month</t>
  </si>
  <si>
    <t xml:space="preserve">Total tracker cost</t>
  </si>
  <si>
    <t xml:space="preserve">Contingency insurance multiplier</t>
  </si>
  <si>
    <t xml:space="preserve">Insurance tax</t>
  </si>
  <si>
    <t xml:space="preserve">Contingency insurance value</t>
  </si>
  <si>
    <t xml:space="preserve">Disposal cost</t>
  </si>
  <si>
    <t xml:space="preserve">Delivery &amp; collection cost</t>
  </si>
  <si>
    <t xml:space="preserve">199.99</t>
  </si>
  <si>
    <t xml:space="preserve">Holding cost - formula - 3</t>
  </si>
  <si>
    <t xml:space="preserve">       Funder information</t>
  </si>
  <si>
    <t xml:space="preserve">Quote expiry date </t>
  </si>
  <si>
    <t xml:space="preserve">Test</t>
  </si>
  <si>
    <t xml:space="preserve">Initial finance rental(Ex. VAT)</t>
  </si>
  <si>
    <t xml:space="preserve">Initial maintenance rental (Ex. VAT)</t>
  </si>
  <si>
    <t xml:space="preserve">Finance Rental Monthly</t>
  </si>
  <si>
    <t xml:space="preserve">Maintenance monthly</t>
  </si>
  <si>
    <t xml:space="preserve">16400.00</t>
  </si>
  <si>
    <t xml:space="preserve">Total initial rental (Ex. VAT)</t>
  </si>
  <si>
    <t xml:space="preserve">Term (months) </t>
  </si>
  <si>
    <t xml:space="preserve">Document Fee</t>
  </si>
  <si>
    <t xml:space="preserve">33</t>
  </si>
  <si>
    <t xml:space="preserve">Maintenance</t>
  </si>
  <si>
    <t xml:space="preserve">Monthly finance rental(Ex. VAT)</t>
  </si>
  <si>
    <t xml:space="preserve">Monthly maintenance rental (Ex. VAT)</t>
  </si>
  <si>
    <t xml:space="preserve">Final balloon payment (Ex. VAT)</t>
  </si>
  <si>
    <t xml:space="preserve">Pence per excess mile - finance (Ex. VAT)</t>
  </si>
  <si>
    <t xml:space="preserve">Pence per excess mile - maintenance (Ex. VAT)</t>
  </si>
  <si>
    <t xml:space="preserve">Monthly Fianance Cost</t>
  </si>
  <si>
    <t xml:space="preserve">Maintenanace Cost</t>
  </si>
  <si>
    <t xml:space="preserve">Holding Cost (Monthly)</t>
  </si>
  <si>
    <t xml:space="preserve">Pence per excess mile - total (Ex. VAT)</t>
  </si>
  <si>
    <t xml:space="preserve">Percentage of sale proceed to customer</t>
  </si>
  <si>
    <t xml:space="preserve">Secondary hire period rental (Ex. VAT)</t>
  </si>
  <si>
    <t xml:space="preserve">Fianance Cost</t>
  </si>
  <si>
    <t xml:space="preserve"> Spread rentals initial payment </t>
  </si>
  <si>
    <t xml:space="preserve"> Spread rentals with 3 down </t>
  </si>
  <si>
    <t xml:space="preserve"> Spread rentals with 6 down </t>
  </si>
  <si>
    <t xml:space="preserve"> Spread rentals with 9 down </t>
  </si>
  <si>
    <t xml:space="preserve"> Spread rentals with 12 down </t>
  </si>
  <si>
    <t xml:space="preserve"> Terminal pause with 3 down </t>
  </si>
  <si>
    <t xml:space="preserve"> Terminal Pause with 6 down </t>
  </si>
  <si>
    <t xml:space="preserve"> Terminal Pause with 9 down </t>
  </si>
  <si>
    <t xml:space="preserve">Hire purchase – Regulated</t>
  </si>
  <si>
    <t xml:space="preserve">Hire Purchase Non-Regulated</t>
  </si>
  <si>
    <t xml:space="preserve">Broker upsell Margin %</t>
  </si>
  <si>
    <t xml:space="preserve">Upload document</t>
  </si>
  <si>
    <t xml:space="preserve">`</t>
  </si>
  <si>
    <t xml:space="preserve">otr   </t>
  </si>
  <si>
    <t xml:space="preserve">Minimum Margin (%)</t>
  </si>
  <si>
    <t xml:space="preserve">Margin Required (%)</t>
  </si>
  <si>
    <t xml:space="preserve">Additional RFL Per annum</t>
  </si>
  <si>
    <t xml:space="preserve">Additional RFL Premium Vehicle (Over £40k) Per annum</t>
  </si>
  <si>
    <t xml:space="preserve">Additional RFL Total</t>
  </si>
  <si>
    <t xml:space="preserve">Upsell</t>
  </si>
  <si>
    <t xml:space="preserve">Refferal commision</t>
  </si>
  <si>
    <t xml:space="preserve">Customer Quote - Personal Contract Hire</t>
  </si>
  <si>
    <t xml:space="preserve">Order deposit (No VAT)</t>
  </si>
  <si>
    <t xml:space="preserve">Business Contract Hire</t>
  </si>
  <si>
    <t xml:space="preserve">Document fee (Inc. VAT)</t>
  </si>
  <si>
    <t xml:space="preserve">Upsell (Ex. VAT)</t>
  </si>
  <si>
    <t xml:space="preserve">Referral commission (Ex. VAT)</t>
  </si>
  <si>
    <t xml:space="preserve">        Part exchange</t>
  </si>
  <si>
    <t xml:space="preserve">Add part exchange to montly rental</t>
  </si>
  <si>
    <t xml:space="preserve">Balance due</t>
  </si>
  <si>
    <t xml:space="preserve">        Summary</t>
  </si>
  <si>
    <t xml:space="preserve">Monthly maint. rental</t>
  </si>
  <si>
    <t xml:space="preserve">Total monthly rental</t>
  </si>
  <si>
    <t xml:space="preserve">Monthly finance rental (In. VAT)</t>
  </si>
  <si>
    <t xml:space="preserve">Monthly maintenance rental (In. VAT)</t>
  </si>
  <si>
    <t xml:space="preserve">Total monthly rental (In. VAT)</t>
  </si>
  <si>
    <t xml:space="preserve">Initial finance rental</t>
  </si>
  <si>
    <t xml:space="preserve">Initial maint. rental</t>
  </si>
  <si>
    <t xml:space="preserve">Initial finance rental (In. VAT)</t>
  </si>
  <si>
    <t xml:space="preserve">Initial maintenance rental (In. VAT)</t>
  </si>
  <si>
    <t xml:space="preserve">Total initial rental (In. VAT)</t>
  </si>
  <si>
    <t xml:space="preserve">Total initial rental</t>
  </si>
  <si>
    <t xml:space="preserve">Part exchange value</t>
  </si>
  <si>
    <t xml:space="preserve">Pence per excess mile - finance (In. VAT)</t>
  </si>
  <si>
    <t xml:space="preserve">Pence per excess mile - maintenance (In. VAT)</t>
  </si>
  <si>
    <t xml:space="preserve">Pence per excess mile - total (In. VAT)</t>
  </si>
  <si>
    <t xml:space="preserve">Document fee (In. VAT)</t>
  </si>
  <si>
    <t xml:space="preserve">Default commission (Ex. VAT)</t>
  </si>
  <si>
    <t xml:space="preserve">Upsell commission (Ex. VAT)</t>
  </si>
  <si>
    <t xml:space="preserve">Pence per excess mile - main.</t>
  </si>
  <si>
    <t xml:space="preserve">Maintenance commission (Ex. VAT)</t>
  </si>
  <si>
    <t xml:space="preserve">Document fee commission (Ex. VAT)</t>
  </si>
  <si>
    <t xml:space="preserve">Total commission (Ex. VAT)</t>
  </si>
  <si>
    <t xml:space="preserve">Subsidy requested</t>
  </si>
  <si>
    <t xml:space="preserve">Subsidy Requested</t>
  </si>
  <si>
    <t xml:space="preserve">Subsidy Commission Deduction</t>
  </si>
  <si>
    <t xml:space="preserve">Commission due</t>
  </si>
  <si>
    <t xml:space="preserve">Default finance comm.</t>
  </si>
  <si>
    <t xml:space="preserve">Upsell comm.</t>
  </si>
  <si>
    <t xml:space="preserve">Maint. comm.</t>
  </si>
  <si>
    <t xml:space="preserve">Own book holding cost matrix</t>
  </si>
  <si>
    <t xml:space="preserve">Document fee comm.</t>
  </si>
  <si>
    <t xml:space="preserve">Referrer comm.</t>
  </si>
  <si>
    <t xml:space="preserve">Broker upsell margin</t>
  </si>
  <si>
    <t xml:space="preserve">Referrer margin</t>
  </si>
  <si>
    <t xml:space="preserve">Maintnance Margin</t>
  </si>
  <si>
    <t xml:space="preserve">            Additional items</t>
  </si>
  <si>
    <t xml:space="preserve">Additional RFL per annum</t>
  </si>
  <si>
    <t xml:space="preserve">Additional RFL (List price over 40k) per annum</t>
  </si>
  <si>
    <t xml:space="preserve">Customer Quote - Business Contract Hire</t>
  </si>
  <si>
    <t xml:space="preserve">          Total Cash Price</t>
  </si>
  <si>
    <t xml:space="preserve">6000</t>
  </si>
  <si>
    <t xml:space="preserve">20</t>
  </si>
  <si>
    <t xml:space="preserve">50</t>
  </si>
  <si>
    <t xml:space="preserve">10</t>
  </si>
  <si>
    <t xml:space="preserve">          </t>
  </si>
  <si>
    <t xml:space="preserve">  </t>
  </si>
  <si>
    <t xml:space="preserve">without maintenance Holding cost</t>
  </si>
  <si>
    <t xml:space="preserve">Referrer commision</t>
  </si>
  <si>
    <t xml:space="preserve">Customer Quote - Finance Lease</t>
  </si>
  <si>
    <t xml:space="preserve">With balloon</t>
  </si>
  <si>
    <t xml:space="preserve">Monthly finance rental (Ex. VAT)</t>
  </si>
  <si>
    <t xml:space="preserve">Initial finance rental (Ex. VAT)</t>
  </si>
  <si>
    <t xml:space="preserve">Final Balloon Payment</t>
  </si>
  <si>
    <t xml:space="preserve">Percentage of sales proceeds to customer</t>
  </si>
  <si>
    <t xml:space="preserve">Total Cash Price</t>
  </si>
  <si>
    <t xml:space="preserve">0</t>
  </si>
  <si>
    <t xml:space="preserve">1</t>
  </si>
  <si>
    <t xml:space="preserve">Customer Quote – Finance Lease</t>
  </si>
  <si>
    <t xml:space="preserve"> Terminal pause with 9 down </t>
  </si>
  <si>
    <t xml:space="preserve">200</t>
  </si>
  <si>
    <t xml:space="preserve">Holding cost - formula - 1</t>
  </si>
  <si>
    <t xml:space="preserve">Total monthly holding cost</t>
  </si>
  <si>
    <t xml:space="preserve">Advance for Holding Cost (Retrived From OTR Screen)</t>
  </si>
  <si>
    <t xml:space="preserve">Monthly finance cost</t>
  </si>
  <si>
    <t xml:space="preserve">Monthly maintenance cost</t>
  </si>
  <si>
    <t xml:space="preserve">CAP Residual value (Inc. VAT)</t>
  </si>
  <si>
    <t xml:space="preserve">Residual value used (Inc. VAT)</t>
  </si>
  <si>
    <t xml:space="preserve">Maintenance value used(Ex. VAT)</t>
  </si>
  <si>
    <t xml:space="preserve">CAP maintenance value (Ex. VAT)</t>
  </si>
  <si>
    <t xml:space="preserve">Monthly Interest (total/12)</t>
  </si>
  <si>
    <t xml:space="preserve">Monthly Mintenance</t>
  </si>
  <si>
    <t xml:space="preserve">Finance Cost</t>
  </si>
  <si>
    <t xml:space="preserve">Step 1 (Residual/(1+r)^(n+1) ))  = X</t>
  </si>
  <si>
    <t xml:space="preserve">Step 2 (Advance - (Residual/(1+r)^(n+1) )))  Y</t>
  </si>
  <si>
    <t xml:space="preserve">Step 3 ((1-1/(1+r)^n )/r)  Z</t>
  </si>
  <si>
    <t xml:space="preserve">Step 4 (Finance Cost)</t>
  </si>
  <si>
    <t xml:space="preserve">Holding Cost (Monthly)
Finance Cost + Maintenance Cost</t>
  </si>
  <si>
    <t xml:space="preserve">Target Holding cost</t>
  </si>
  <si>
    <t xml:space="preserve">Subsequence rental</t>
  </si>
  <si>
    <t xml:space="preserve">Step 1 (Residual/(1+r)^(n+1) ))</t>
  </si>
  <si>
    <t xml:space="preserve">Step 2 (Advance - (Residual/(1+r)^(n+1) )))</t>
  </si>
  <si>
    <t xml:space="preserve">Step 3 ((1-1/(1+r)^n )/r)</t>
  </si>
  <si>
    <t xml:space="preserve">Otr   </t>
  </si>
  <si>
    <t xml:space="preserve">Select Caste</t>
  </si>
  <si>
    <t xml:space="preserve">Referrer commission (Ex. VAT)</t>
  </si>
  <si>
    <t xml:space="preserve">           </t>
  </si>
  <si>
    <t xml:space="preserve">21250.00</t>
  </si>
  <si>
    <t xml:space="preserve">Minimum Margin </t>
  </si>
  <si>
    <t xml:space="preserve">Margin Required </t>
  </si>
  <si>
    <t xml:space="preserve">OTR Calculation</t>
  </si>
  <si>
    <t xml:space="preserve">377.00</t>
  </si>
  <si>
    <t xml:space="preserve">26673.00</t>
  </si>
  <si>
    <t xml:space="preserve">Default Broker Margin </t>
  </si>
  <si>
    <t xml:space="preserve">RFL included?</t>
  </si>
  <si>
    <t>NO</t>
  </si>
  <si>
    <t>0</t>
  </si>
  <si>
    <t>100</t>
  </si>
  <si>
    <t>YES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</si>
</sst>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&quot;TRUE&quot;;&quot;TRUE&quot;;&quot;FALSE&quot;"/>
    <numFmt numFmtId="166" formatCode="\£#,##0.00"/>
    <numFmt numFmtId="167" formatCode="0%"/>
    <numFmt numFmtId="168" formatCode="0.00%"/>
    <numFmt numFmtId="169" formatCode="#,##0.00"/>
    <numFmt numFmtId="170" formatCode="[$-409]m/d/yyyy"/>
    <numFmt numFmtId="171" formatCode="0.00"/>
    <numFmt numFmtId="172" formatCode="_(* #,##0.00_);_(* \(#,##0.00\);_(* \-??_);_(@_)"/>
    <numFmt numFmtId="173" formatCode="_(* #,##0_);_(* \(#,##0\);_(* \-??_);_(@_)"/>
    <numFmt numFmtId="174" formatCode="\£#,##0.00000"/>
    <numFmt numFmtId="175" formatCode="\£#,##0.0000"/>
    <numFmt numFmtId="176" formatCode="0.0000%"/>
    <numFmt numFmtId="177" formatCode="#,##0.0000000"/>
    <numFmt numFmtId="178" formatCode="#,##0.000000000"/>
    <numFmt numFmtId="179" formatCode="#,##0.0"/>
    <numFmt numFmtId="180" formatCode="0.0000000000000"/>
    <numFmt numFmtId="181" formatCode="0.0000"/>
    <numFmt numFmtId="182" formatCode="0.000%"/>
    <numFmt numFmtId="183" formatCode="#,##0.00000"/>
    <numFmt numFmtId="184" formatCode="#,##0.000"/>
    <numFmt numFmtId="185" formatCode="#,##0.0000000000"/>
    <numFmt numFmtId="186" formatCode="#,##0.0000"/>
  </numFmts>
  <fonts count="36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4"/>
      <color rgb="FF000000"/>
      <name val="Calibri"/>
      <family val="2"/>
      <charset val="1"/>
    </font>
    <font>
      <b val="true"/>
      <sz val="32"/>
      <color rgb="FFFFFFFF"/>
      <name val="Calibri"/>
      <family val="2"/>
      <charset val="1"/>
    </font>
    <font>
      <b val="true"/>
      <sz val="11"/>
      <color rgb="FFC9211E"/>
      <name val="Arial"/>
      <family val="2"/>
      <charset val="1"/>
    </font>
    <font>
      <b val="true"/>
      <sz val="14"/>
      <color rgb="FFC9211E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36"/>
      <color rgb="FFFFFFFF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sz val="14"/>
      <color rgb="FF000000"/>
      <name val="Calibri2"/>
      <family val="0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b val="true"/>
      <u val="single"/>
      <sz val="14"/>
      <color rgb="FFFFFFFF"/>
      <name val="Calibri"/>
      <family val="2"/>
      <charset val="1"/>
    </font>
    <font>
      <b val="true"/>
      <sz val="14"/>
      <color rgb="FF000000"/>
      <name val="Calibri2"/>
      <family val="0"/>
      <charset val="1"/>
    </font>
    <font>
      <b val="true"/>
      <sz val="14"/>
      <color rgb="FFFFFFFF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4"/>
      <color rgb="FFC00000"/>
      <name val="Calibri"/>
      <family val="2"/>
      <charset val="1"/>
    </font>
    <font>
      <b val="true"/>
      <u val="single"/>
      <sz val="14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 val="true"/>
      <u val="singl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i val="true"/>
      <sz val="12"/>
      <color rgb="FFBFBFBF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4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7E3794"/>
      <name val="Inconsolata"/>
      <family val="0"/>
      <charset val="1"/>
    </font>
    <font>
      <strike val="true"/>
      <sz val="14"/>
      <color rgb="FF000000"/>
      <name val="Calibri"/>
      <family val="2"/>
      <charset val="1"/>
    </font>
    <font>
      <b val="true"/>
      <u val="single"/>
      <sz val="16"/>
      <color rgb="FFFFFFFF"/>
      <name val="Calibri"/>
      <family val="2"/>
      <charset val="1"/>
    </font>
    <font>
      <sz val="14"/>
      <color rgb="FFC9211E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C9211E"/>
        <bgColor rgb="FFC00000"/>
      </patternFill>
    </fill>
    <fill>
      <patternFill patternType="solid">
        <fgColor rgb="FFFFFFD7"/>
        <bgColor rgb="FFFFFFFF"/>
      </patternFill>
    </fill>
    <fill>
      <patternFill patternType="solid">
        <fgColor rgb="FF81D41A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D7"/>
      </patternFill>
    </fill>
    <fill>
      <patternFill patternType="solid">
        <fgColor rgb="FFC00000"/>
        <bgColor rgb="FFC9211E"/>
      </patternFill>
    </fill>
    <fill>
      <patternFill patternType="solid">
        <fgColor rgb="FF70AD47"/>
        <bgColor rgb="FF81D41A"/>
      </patternFill>
    </fill>
    <fill>
      <patternFill patternType="solid">
        <fgColor rgb="FFE7E6E6"/>
        <bgColor rgb="FFD9D9D9"/>
      </patternFill>
    </fill>
    <fill>
      <patternFill patternType="solid">
        <fgColor rgb="FF000000"/>
        <bgColor rgb="FF003300"/>
      </patternFill>
    </fill>
    <fill>
      <patternFill patternType="solid">
        <fgColor rgb="FFA6A6A6"/>
        <bgColor rgb="FFA5A5A5"/>
      </patternFill>
    </fill>
    <fill>
      <patternFill patternType="solid">
        <fgColor rgb="FFBFBFBF"/>
        <bgColor rgb="FFD0CECE"/>
      </patternFill>
    </fill>
    <fill>
      <patternFill patternType="solid">
        <fgColor rgb="FFA9D18E"/>
        <bgColor rgb="FFA8D08D"/>
      </patternFill>
    </fill>
    <fill>
      <patternFill patternType="solid">
        <fgColor rgb="FFFFC000"/>
        <bgColor rgb="FFFF9900"/>
      </patternFill>
    </fill>
    <fill>
      <patternFill patternType="solid">
        <fgColor rgb="FF2A6099"/>
        <bgColor rgb="FF666699"/>
      </patternFill>
    </fill>
    <fill>
      <patternFill patternType="solid">
        <fgColor rgb="FFA8D08D"/>
        <bgColor rgb="FFA9D18E"/>
      </patternFill>
    </fill>
    <fill>
      <patternFill patternType="solid">
        <fgColor rgb="FFAFD095"/>
        <bgColor rgb="FFA9D18E"/>
      </patternFill>
    </fill>
    <fill>
      <patternFill patternType="solid">
        <fgColor rgb="FFFFEBEB"/>
        <bgColor rgb="FFE7E6E6"/>
      </patternFill>
    </fill>
    <fill>
      <patternFill patternType="solid">
        <fgColor rgb="FFD0CECE"/>
        <bgColor rgb="FFD8D8D8"/>
      </patternFill>
    </fill>
    <fill>
      <patternFill patternType="solid">
        <fgColor rgb="FFA5A5A5"/>
        <bgColor rgb="FFA6A6A6"/>
      </patternFill>
    </fill>
  </fills>
  <borders count="50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 style="thick">
        <color rgb="FFFF0000"/>
      </bottom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 style="medium"/>
      <top/>
      <bottom style="thin">
        <color rgb="FFD9D9D9"/>
      </bottom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medium"/>
      <right/>
      <top/>
      <bottom style="medium">
        <color rgb="FFD9D9D9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 style="thin">
        <color rgb="FFFF0000"/>
      </bottom>
      <diagonal/>
    </border>
    <border diagonalUp="false" diagonalDown="false">
      <left/>
      <right/>
      <top/>
      <bottom style="thin">
        <color rgb="FFFF0000"/>
      </bottom>
      <diagonal/>
    </border>
    <border diagonalUp="false" diagonalDown="false">
      <left/>
      <right style="medium"/>
      <top/>
      <bottom style="thin">
        <color rgb="FFFF0000"/>
      </bottom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/>
      <diagonal/>
    </border>
    <border diagonalUp="false" diagonalDown="false">
      <left style="medium"/>
      <right style="medium"/>
      <top style="medium"/>
      <bottom style="thick">
        <color rgb="FFFF0000"/>
      </bottom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>
        <color rgb="FFD8D8D8"/>
      </top>
      <bottom/>
      <diagonal/>
    </border>
    <border diagonalUp="false" diagonalDown="false">
      <left style="medium"/>
      <right/>
      <top style="medium">
        <color rgb="FFD8D8D8"/>
      </top>
      <bottom/>
      <diagonal/>
    </border>
    <border diagonalUp="false" diagonalDown="false">
      <left/>
      <right style="medium">
        <color rgb="FFD8D8D8"/>
      </right>
      <top style="medium">
        <color rgb="FFD8D8D8"/>
      </top>
      <bottom/>
      <diagonal/>
    </border>
    <border diagonalUp="false" diagonalDown="false">
      <left style="medium">
        <color rgb="FFD8D8D8"/>
      </left>
      <right style="medium">
        <color rgb="FFD8D8D8"/>
      </right>
      <top style="medium">
        <color rgb="FFD8D8D8"/>
      </top>
      <bottom/>
      <diagonal/>
    </border>
    <border diagonalUp="false" diagonalDown="false">
      <left style="medium"/>
      <right/>
      <top style="thin"/>
      <bottom style="medium">
        <color rgb="FFD8D8D8"/>
      </bottom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medium"/>
      <right/>
      <top/>
      <bottom style="thin">
        <color rgb="FFD8D8D8"/>
      </bottom>
      <diagonal/>
    </border>
    <border diagonalUp="false" diagonalDown="false">
      <left/>
      <right/>
      <top/>
      <bottom style="thin">
        <color rgb="FFD8D8D8"/>
      </bottom>
      <diagonal/>
    </border>
    <border diagonalUp="false" diagonalDown="false">
      <left/>
      <right style="medium"/>
      <top/>
      <bottom style="thin">
        <color rgb="FFD8D8D8"/>
      </bottom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31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7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14" fillId="8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5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9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5" fillId="9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15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1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5" fillId="6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1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1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5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5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5" borderId="3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0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1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1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12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1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6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6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5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3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1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1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7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6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6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5" fillId="5" borderId="20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5" fillId="6" borderId="0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6" borderId="0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6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" fillId="1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12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12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12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" fillId="12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11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11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3" fillId="11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6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6" borderId="2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6" borderId="2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5" fillId="6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6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3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" fillId="11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" fillId="11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6" fillId="1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5" fillId="6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6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6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" fillId="6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6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6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6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6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8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5" fillId="6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5" fillId="6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5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0" fillId="7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" fillId="6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6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8" fillId="6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3" fillId="6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8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9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28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8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9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6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6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5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3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6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3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5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5" fillId="6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15" fillId="6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8" fontId="15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6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1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6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6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20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28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4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3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4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6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6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4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1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1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5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5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8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8" fillId="1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18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28" fillId="18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28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4" fontId="5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5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5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5" fontId="1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15" fillId="6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5" fontId="15" fillId="6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28" fillId="18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28" fillId="1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1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6" fontId="5" fillId="5" borderId="3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15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5" fontId="5" fillId="6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5" fontId="5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5" borderId="3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5" fillId="1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1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1" fillId="6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6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1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1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4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3" fillId="12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11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1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4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1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" fillId="1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15" fillId="6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1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5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3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12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2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" fillId="2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6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1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" fillId="1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5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" fillId="1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9" fontId="9" fillId="5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" fillId="5" borderId="3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" fillId="5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" fillId="2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7E3794"/>
      <rgbColor rgb="FFFFFFD7"/>
      <rgbColor rgb="FFE7E6E6"/>
      <rgbColor rgb="FF660066"/>
      <rgbColor rgb="FFFF8080"/>
      <rgbColor rgb="FF2A6099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9D18E"/>
      <rgbColor rgb="FFD9D9D9"/>
      <rgbColor rgb="FFFFEBEB"/>
      <rgbColor rgb="FFAFD095"/>
      <rgbColor rgb="FFFF99CC"/>
      <rgbColor rgb="FFA8D08D"/>
      <rgbColor rgb="FFD8D8D8"/>
      <rgbColor rgb="FF3366FF"/>
      <rgbColor rgb="FF33CCCC"/>
      <rgbColor rgb="FF81D41A"/>
      <rgbColor rgb="FFFFC000"/>
      <rgbColor rgb="FFFF9900"/>
      <rgbColor rgb="FFFF6600"/>
      <rgbColor rgb="FF666699"/>
      <rgbColor rgb="FFA5A5A5"/>
      <rgbColor rgb="FF003366"/>
      <rgbColor rgb="FF70AD47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sharedStrings.xml" Type="http://schemas.openxmlformats.org/officeDocument/2006/relationships/sharedStrings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2578125" defaultRowHeight="14.25" customHeight="true" zeroHeight="false" outlineLevelRow="0" outlineLevelCol="0"/>
  <cols>
    <col min="1" max="1" customWidth="true" hidden="false" style="1" width="12.5" collapsed="false" outlineLevel="0"/>
    <col min="2" max="2" customWidth="true" hidden="false" style="1" width="37.5" collapsed="false" outlineLevel="0"/>
    <col min="3" max="3" customWidth="true" hidden="false" style="1" width="34.75" collapsed="false" outlineLevel="0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n">
        <v>239.99</v>
      </c>
      <c r="B2" s="1" t="n">
        <v>250</v>
      </c>
    </row>
    <row r="4" customFormat="false" ht="14.25" hidden="false" customHeight="false" outlineLevel="0" collapsed="false">
      <c r="A4" s="1" t="s">
        <v>2</v>
      </c>
      <c r="B4" s="1" t="s">
        <v>3</v>
      </c>
    </row>
    <row r="5" customFormat="false" ht="14.25" hidden="false" customHeight="false" outlineLevel="0" collapsed="false">
      <c r="A5" s="1" t="n">
        <v>239.99</v>
      </c>
      <c r="B5" s="1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25" activeCellId="0" sqref="C25"/>
    </sheetView>
  </sheetViews>
  <sheetFormatPr defaultColWidth="10.2578125" defaultRowHeight="14.25" customHeight="true" zeroHeight="false" outlineLevelRow="0" outlineLevelCol="0"/>
  <cols>
    <col min="1" max="1" customWidth="true" hidden="false" style="1" width="15.38" collapsed="false" outlineLevel="0"/>
    <col min="2" max="2" customWidth="true" hidden="false" style="1" width="22.25" collapsed="false" outlineLevel="0"/>
    <col min="3" max="3" customWidth="true" hidden="false" style="1" width="24.38" collapsed="false" outlineLevel="0"/>
  </cols>
  <sheetData>
    <row r="1" customFormat="false" ht="14.25" hidden="false" customHeight="false" outlineLevel="0" collapsed="false">
      <c r="A1" s="2" t="s">
        <v>4</v>
      </c>
      <c r="B1" s="2"/>
      <c r="C1" s="2"/>
    </row>
    <row r="2" customFormat="false" ht="14.25" hidden="false" customHeight="false" outlineLevel="0" collapsed="false">
      <c r="A2" s="1" t="s">
        <v>5</v>
      </c>
      <c r="B2" s="1" t="s">
        <v>6</v>
      </c>
      <c r="C2" s="1" t="s">
        <v>7</v>
      </c>
    </row>
    <row r="3" customFormat="false" ht="14.25" hidden="false" customHeight="false" outlineLevel="0" collapsed="false">
      <c r="A3" s="1" t="n">
        <v>12</v>
      </c>
      <c r="B3" s="1" t="n">
        <v>36</v>
      </c>
      <c r="C3" s="1" t="n">
        <v>250</v>
      </c>
    </row>
    <row r="4" customFormat="false" ht="14.25" hidden="false" customHeight="false" outlineLevel="0" collapsed="false">
      <c r="A4" s="1" t="n">
        <v>46</v>
      </c>
      <c r="B4" s="1" t="n">
        <v>75</v>
      </c>
      <c r="C4" s="1" t="n">
        <v>350</v>
      </c>
    </row>
    <row r="5" customFormat="false" ht="14.25" hidden="false" customHeight="false" outlineLevel="0" collapsed="false">
      <c r="A5" s="1" t="n">
        <v>76</v>
      </c>
      <c r="B5" s="1" t="n">
        <v>84</v>
      </c>
      <c r="C5" s="1" t="n">
        <v>400</v>
      </c>
    </row>
    <row r="6" customFormat="false" ht="14.25" hidden="false" customHeight="false" outlineLevel="0" collapsed="false">
      <c r="A6" s="1" t="n">
        <v>0</v>
      </c>
      <c r="B6" s="1" t="n">
        <v>0</v>
      </c>
      <c r="C6" s="1" t="n">
        <v>0</v>
      </c>
    </row>
    <row r="10" customFormat="false" ht="14.25" hidden="false" customHeight="false" outlineLevel="0" collapsed="false">
      <c r="A10" s="2" t="s">
        <v>8</v>
      </c>
      <c r="B10" s="2"/>
      <c r="C10" s="2"/>
    </row>
    <row r="11" customFormat="false" ht="14.25" hidden="false" customHeight="false" outlineLevel="0" collapsed="false">
      <c r="A11" s="3" t="s">
        <v>9</v>
      </c>
      <c r="B11" s="4"/>
      <c r="C11" s="4"/>
      <c r="D11" s="5" t="s">
        <v>10</v>
      </c>
    </row>
    <row r="12" customFormat="false" ht="14.25" hidden="false" customHeight="false" outlineLevel="0" collapsed="false">
      <c r="A12" s="1" t="s">
        <v>5</v>
      </c>
      <c r="B12" s="1" t="s">
        <v>6</v>
      </c>
      <c r="C12" s="1" t="s">
        <v>11</v>
      </c>
    </row>
    <row r="13" customFormat="false" ht="14.25" hidden="false" customHeight="false" outlineLevel="0" collapsed="false">
      <c r="A13" s="1" t="n">
        <v>12</v>
      </c>
      <c r="B13" s="1" t="n">
        <v>23</v>
      </c>
      <c r="C13" s="1" t="n">
        <v>0.5</v>
      </c>
    </row>
    <row r="14" customFormat="false" ht="14.25" hidden="false" customHeight="false" outlineLevel="0" collapsed="false">
      <c r="A14" s="1" t="n">
        <v>24</v>
      </c>
      <c r="B14" s="1" t="n">
        <v>35</v>
      </c>
      <c r="C14" s="1" t="n">
        <v>0.75</v>
      </c>
    </row>
    <row r="15" customFormat="false" ht="14.25" hidden="false" customHeight="false" outlineLevel="0" collapsed="false">
      <c r="A15" s="1" t="n">
        <v>36</v>
      </c>
      <c r="B15" s="1" t="n">
        <v>47</v>
      </c>
      <c r="C15" s="1" t="n">
        <v>1</v>
      </c>
    </row>
    <row r="16" customFormat="false" ht="14.25" hidden="false" customHeight="false" outlineLevel="0" collapsed="false">
      <c r="A16" s="1" t="n">
        <v>48</v>
      </c>
      <c r="B16" s="1" t="n">
        <v>60</v>
      </c>
      <c r="C16" s="1" t="n">
        <v>1.25</v>
      </c>
    </row>
    <row r="19" customFormat="false" ht="14.25" hidden="false" customHeight="false" outlineLevel="0" collapsed="false">
      <c r="A19" s="3" t="s">
        <v>12</v>
      </c>
      <c r="B19" s="4"/>
      <c r="C19" s="4"/>
    </row>
    <row r="20" customFormat="false" ht="14.25" hidden="false" customHeight="false" outlineLevel="0" collapsed="false">
      <c r="A20" s="1" t="s">
        <v>5</v>
      </c>
      <c r="B20" s="1" t="s">
        <v>6</v>
      </c>
      <c r="C20" s="1" t="s">
        <v>11</v>
      </c>
    </row>
    <row r="21" customFormat="false" ht="14.25" hidden="false" customHeight="false" outlineLevel="0" collapsed="false">
      <c r="A21" s="1" t="n">
        <v>12</v>
      </c>
      <c r="B21" s="1" t="n">
        <v>23</v>
      </c>
      <c r="C21" s="1" t="n">
        <v>1</v>
      </c>
    </row>
    <row r="22" customFormat="false" ht="14.25" hidden="false" customHeight="false" outlineLevel="0" collapsed="false">
      <c r="A22" s="1" t="n">
        <v>24</v>
      </c>
      <c r="B22" s="1" t="n">
        <v>35</v>
      </c>
      <c r="C22" s="1" t="n">
        <v>3</v>
      </c>
    </row>
    <row r="23" customFormat="false" ht="14.25" hidden="false" customHeight="false" outlineLevel="0" collapsed="false">
      <c r="A23" s="1" t="n">
        <v>36</v>
      </c>
      <c r="B23" s="1" t="n">
        <v>47</v>
      </c>
      <c r="C23" s="1" t="n">
        <v>4</v>
      </c>
    </row>
    <row r="24" customFormat="false" ht="14.25" hidden="false" customHeight="false" outlineLevel="0" collapsed="false">
      <c r="A24" s="1" t="n">
        <v>48</v>
      </c>
      <c r="B24" s="1" t="n">
        <v>60</v>
      </c>
      <c r="C24" s="1" t="n">
        <v>5</v>
      </c>
    </row>
    <row r="27" customFormat="false" ht="14.25" hidden="false" customHeight="false" outlineLevel="0" collapsed="false">
      <c r="A27" s="3" t="s">
        <v>13</v>
      </c>
      <c r="B27" s="4"/>
      <c r="C27" s="4"/>
    </row>
    <row r="28" customFormat="false" ht="14.25" hidden="false" customHeight="false" outlineLevel="0" collapsed="false">
      <c r="A28" s="1" t="s">
        <v>5</v>
      </c>
      <c r="B28" s="1" t="s">
        <v>6</v>
      </c>
      <c r="C28" s="1" t="s">
        <v>11</v>
      </c>
    </row>
    <row r="29" customFormat="false" ht="14.25" hidden="false" customHeight="false" outlineLevel="0" collapsed="false">
      <c r="A29" s="1" t="n">
        <v>12</v>
      </c>
      <c r="B29" s="1" t="n">
        <v>23</v>
      </c>
      <c r="C29" s="1" t="n">
        <v>1</v>
      </c>
    </row>
    <row r="30" customFormat="false" ht="14.25" hidden="false" customHeight="false" outlineLevel="0" collapsed="false">
      <c r="A30" s="1" t="n">
        <v>24</v>
      </c>
      <c r="B30" s="1" t="n">
        <v>35</v>
      </c>
      <c r="C30" s="1" t="n">
        <v>3</v>
      </c>
    </row>
    <row r="31" customFormat="false" ht="14.25" hidden="false" customHeight="false" outlineLevel="0" collapsed="false">
      <c r="A31" s="1" t="n">
        <v>36</v>
      </c>
      <c r="B31" s="1" t="n">
        <v>47</v>
      </c>
      <c r="C31" s="1" t="n">
        <v>4</v>
      </c>
    </row>
    <row r="32" customFormat="false" ht="14.25" hidden="false" customHeight="false" outlineLevel="0" collapsed="false">
      <c r="A32" s="1" t="n">
        <v>48</v>
      </c>
      <c r="B32" s="1" t="n">
        <v>60</v>
      </c>
      <c r="C32" s="1" t="n">
        <v>5</v>
      </c>
    </row>
    <row r="33" customFormat="false" ht="14.25" hidden="false" customHeight="false" outlineLevel="0" collapsed="false">
      <c r="A33" s="1" t="n">
        <v>0</v>
      </c>
      <c r="B33" s="1" t="n">
        <v>0</v>
      </c>
      <c r="C33" s="1" t="n">
        <v>0</v>
      </c>
    </row>
  </sheetData>
  <mergeCells count="2">
    <mergeCell ref="A1:C1"/>
    <mergeCell ref="A10:C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81"/>
  <sheetViews>
    <sheetView showFormulas="false" showGridLines="true" showRowColHeaders="true" showZeros="true" rightToLeft="false" tabSelected="false" showOutlineSymbols="true" defaultGridColor="true" view="normal" topLeftCell="A229" colorId="64" zoomScale="100" zoomScaleNormal="100" zoomScalePageLayoutView="100" workbookViewId="0">
      <selection pane="topLeft" activeCell="B253" activeCellId="0" sqref="B253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2" customWidth="true" hidden="false" style="6" width="18.88" collapsed="false" outlineLevel="0"/>
    <col min="13" max="13" customWidth="true" hidden="false" style="6" width="22.5" collapsed="false" outlineLevel="0"/>
    <col min="14" max="14" customWidth="true" hidden="false" style="6" width="20.88" collapsed="false" outlineLevel="0"/>
    <col min="15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13916.67</v>
      </c>
      <c r="C2" s="9" t="s">
        <v>16</v>
      </c>
      <c r="D2" s="10" t="n">
        <f aca="false">C9</f>
        <v>2783.334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16700.004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 t="s">
        <v>10</v>
      </c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13208.33</v>
      </c>
      <c r="C9" s="14" t="n">
        <f aca="false">B9*0.2</f>
        <v>2783.334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13916.67</v>
      </c>
      <c r="C15" s="14" t="n">
        <f aca="false">SUM(C9:C13)</f>
        <v>2783.334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16700.004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13916.67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22.05" hidden="false" customHeight="false" outlineLevel="0" collapsed="false">
      <c r="A26" s="32" t="s">
        <v>35</v>
      </c>
      <c r="B26" s="32"/>
      <c r="C26" s="32"/>
      <c r="D26" s="32"/>
      <c r="E26" s="32"/>
      <c r="F26" s="32"/>
      <c r="G26" s="32"/>
      <c r="H26" s="32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18.75" hidden="false" customHeight="false" outlineLevel="0" collapsed="false">
      <c r="A28" s="40" t="s">
        <v>36</v>
      </c>
      <c r="B28" s="36" t="s">
        <v>39</v>
      </c>
      <c r="C28" s="36"/>
      <c r="D28" s="36"/>
      <c r="E28" s="36"/>
      <c r="F28" s="36"/>
      <c r="G28" s="36"/>
      <c r="H28" s="37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/>
      <c r="I29" s="36"/>
      <c r="J29" s="33" t="s">
        <v>41</v>
      </c>
      <c r="K29" s="41" t="str">
        <f aca="false">A34</f>
        <v>12</v>
      </c>
    </row>
    <row r="30" customFormat="false" ht="18.75" hidden="false" customHeight="false" outlineLevel="0" collapsed="false">
      <c r="A30" s="40" t="s">
        <v>42</v>
      </c>
      <c r="B30" s="36"/>
      <c r="C30" s="42" t="s">
        <v>43</v>
      </c>
      <c r="D30" s="43"/>
      <c r="E30" s="36"/>
      <c r="F30" s="42" t="s">
        <v>44</v>
      </c>
      <c r="G30" s="43"/>
      <c r="H30" s="37"/>
      <c r="I30" s="36"/>
      <c r="J30" s="33" t="s">
        <v>45</v>
      </c>
      <c r="K30" s="41" t="str">
        <f aca="false">C34</f>
        <v>5000</v>
      </c>
    </row>
    <row r="31" customFormat="false" ht="18.75" hidden="false" customHeight="false" outlineLevel="0" collapsed="false">
      <c r="A31" s="44" t="s">
        <v>46</v>
      </c>
      <c r="B31" s="36"/>
      <c r="C31" s="45" t="s">
        <v>47</v>
      </c>
      <c r="D31" s="45"/>
      <c r="E31" s="36"/>
      <c r="F31" s="45"/>
      <c r="G31" s="45"/>
      <c r="H31" s="37"/>
      <c r="I31" s="36"/>
      <c r="J31" s="33" t="s">
        <v>48</v>
      </c>
      <c r="K31" s="46" t="n">
        <f aca="false">A43</f>
        <v>6000</v>
      </c>
    </row>
    <row r="32" customFormat="false" ht="34.3" hidden="false" customHeight="false" outlineLevel="0" collapsed="false">
      <c r="A32" s="40"/>
      <c r="B32" s="47"/>
      <c r="C32" s="47"/>
      <c r="D32" s="47"/>
      <c r="E32" s="47"/>
      <c r="F32" s="47"/>
      <c r="G32" s="47"/>
      <c r="H32" s="37"/>
      <c r="I32" s="7"/>
      <c r="J32" s="33" t="s">
        <v>49</v>
      </c>
      <c r="K32" s="46" t="str">
        <f aca="false">A46</f>
        <v>50</v>
      </c>
      <c r="M32" s="48" t="s">
        <v>50</v>
      </c>
      <c r="N32" s="49" t="s">
        <v>51</v>
      </c>
    </row>
    <row r="33" customFormat="false" ht="18.75" hidden="false" customHeight="false" outlineLevel="0" collapsed="false">
      <c r="A33" s="40" t="s">
        <v>52</v>
      </c>
      <c r="B33" s="36"/>
      <c r="C33" s="50" t="s">
        <v>53</v>
      </c>
      <c r="D33" s="43"/>
      <c r="E33" s="36"/>
      <c r="F33" s="42" t="s">
        <v>54</v>
      </c>
      <c r="G33" s="43"/>
      <c r="H33" s="51"/>
      <c r="I33" s="7"/>
      <c r="J33" s="38"/>
      <c r="K33" s="52"/>
      <c r="M33" s="48"/>
      <c r="N33" s="17"/>
    </row>
    <row r="34" customFormat="false" ht="18.75" hidden="false" customHeight="false" outlineLevel="0" collapsed="false">
      <c r="A34" s="44" t="s">
        <v>55</v>
      </c>
      <c r="B34" s="36"/>
      <c r="C34" s="45" t="s">
        <v>56</v>
      </c>
      <c r="D34" s="45"/>
      <c r="E34" s="36"/>
      <c r="F34" s="45" t="n">
        <f aca="false">(A34/12)*C34</f>
        <v>5000</v>
      </c>
      <c r="G34" s="45"/>
      <c r="H34" s="51"/>
      <c r="I34" s="7"/>
      <c r="J34" s="7"/>
      <c r="K34" s="7"/>
      <c r="M34" s="48" t="s">
        <v>57</v>
      </c>
      <c r="N34" s="53" t="s">
        <v>58</v>
      </c>
    </row>
    <row r="35" customFormat="false" ht="21.6" hidden="false" customHeight="false" outlineLevel="0" collapsed="false">
      <c r="A35" s="35"/>
      <c r="B35" s="36"/>
      <c r="C35" s="36"/>
      <c r="E35" s="36"/>
      <c r="F35" s="47"/>
      <c r="G35" s="47"/>
      <c r="H35" s="51"/>
      <c r="I35" s="7"/>
      <c r="J35" s="54" t="s">
        <v>59</v>
      </c>
      <c r="K35" s="55" t="n">
        <v>0.065</v>
      </c>
      <c r="M35" s="48"/>
      <c r="N35" s="17" t="s">
        <v>10</v>
      </c>
    </row>
    <row r="36" customFormat="false" ht="18.75" hidden="false" customHeight="false" outlineLevel="0" collapsed="false">
      <c r="A36" s="40" t="s">
        <v>60</v>
      </c>
      <c r="B36" s="36"/>
      <c r="C36" s="42" t="s">
        <v>61</v>
      </c>
      <c r="D36" s="43"/>
      <c r="E36" s="36"/>
      <c r="F36" s="42" t="s">
        <v>62</v>
      </c>
      <c r="G36" s="43"/>
      <c r="H36" s="51"/>
      <c r="I36" s="7"/>
      <c r="J36" s="7" t="s">
        <v>63</v>
      </c>
      <c r="K36" s="7" t="n">
        <f aca="false">C40</f>
        <v>11</v>
      </c>
      <c r="M36" s="48" t="s">
        <v>64</v>
      </c>
      <c r="N36" s="56" t="n">
        <f aca="false">N32-N34</f>
        <v>22125</v>
      </c>
    </row>
    <row r="37" customFormat="false" ht="18.75" hidden="false" customHeight="false" outlineLevel="0" collapsed="false">
      <c r="A37" s="40" t="n">
        <f aca="false">E19</f>
        <v>16700.004</v>
      </c>
      <c r="B37" s="36"/>
      <c r="C37" s="45" t="s">
        <v>58</v>
      </c>
      <c r="D37" s="45"/>
      <c r="E37" s="36"/>
      <c r="F37" s="47" t="n">
        <f aca="false">A37-C37</f>
        <v>15700.004</v>
      </c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40"/>
      <c r="B38" s="47"/>
      <c r="C38" s="47"/>
      <c r="D38" s="47"/>
      <c r="E38" s="47"/>
      <c r="F38" s="47"/>
      <c r="G38" s="47"/>
      <c r="H38" s="51"/>
      <c r="J38" s="57" t="s">
        <v>65</v>
      </c>
      <c r="K38" s="57"/>
      <c r="L38" s="7"/>
    </row>
    <row r="39" customFormat="false" ht="18.75" hidden="false" customHeight="false" outlineLevel="0" collapsed="false">
      <c r="A39" s="40" t="s">
        <v>66</v>
      </c>
      <c r="B39" s="36"/>
      <c r="C39" s="43" t="s">
        <v>67</v>
      </c>
      <c r="D39" s="42"/>
      <c r="E39" s="36"/>
      <c r="F39" s="42" t="s">
        <v>68</v>
      </c>
      <c r="G39" s="43"/>
      <c r="H39" s="51"/>
      <c r="J39" s="7" t="s">
        <v>69</v>
      </c>
      <c r="K39" s="7" t="str">
        <f aca="false">F40</f>
        <v>500</v>
      </c>
      <c r="L39" s="7"/>
    </row>
    <row r="40" customFormat="false" ht="18.75" hidden="false" customHeight="false" outlineLevel="0" collapsed="false">
      <c r="A40" s="44" t="s">
        <v>55</v>
      </c>
      <c r="B40" s="36"/>
      <c r="C40" s="58" t="n">
        <f aca="false">A34-1</f>
        <v>11</v>
      </c>
      <c r="D40" s="58"/>
      <c r="E40" s="36"/>
      <c r="F40" s="45" t="s">
        <v>70</v>
      </c>
      <c r="G40" s="45"/>
      <c r="H40" s="51"/>
      <c r="J40" s="7" t="s">
        <v>71</v>
      </c>
      <c r="K40" s="7" t="n">
        <f aca="false">C15</f>
        <v>2783.334</v>
      </c>
      <c r="L40" s="7"/>
    </row>
    <row r="41" customFormat="false" ht="18.75" hidden="false" customHeight="false" outlineLevel="0" collapsed="false">
      <c r="A41" s="40"/>
      <c r="B41" s="47"/>
      <c r="C41" s="47"/>
      <c r="D41" s="47"/>
      <c r="E41" s="47"/>
      <c r="F41" s="47"/>
      <c r="G41" s="47"/>
      <c r="H41" s="51"/>
      <c r="J41" s="7" t="s">
        <v>72</v>
      </c>
      <c r="K41" s="7" t="str">
        <f aca="false">IF(F43="Yes",A46,0)</f>
        <v>50</v>
      </c>
      <c r="L41" s="7"/>
    </row>
    <row r="42" customFormat="false" ht="18.75" hidden="false" customHeight="false" outlineLevel="0" collapsed="false">
      <c r="A42" s="40" t="s">
        <v>73</v>
      </c>
      <c r="B42" s="36"/>
      <c r="C42" s="42" t="s">
        <v>74</v>
      </c>
      <c r="D42" s="43"/>
      <c r="E42" s="36"/>
      <c r="F42" s="42" t="s">
        <v>75</v>
      </c>
      <c r="G42" s="43"/>
      <c r="H42" s="51"/>
      <c r="J42" s="7" t="s">
        <v>76</v>
      </c>
      <c r="K42" s="7" t="n">
        <f aca="false">A43</f>
        <v>6000</v>
      </c>
      <c r="L42" s="7"/>
    </row>
    <row r="43" customFormat="false" ht="18.75" hidden="false" customHeight="false" outlineLevel="0" collapsed="false">
      <c r="A43" s="44" t="n">
        <v>6000</v>
      </c>
      <c r="B43" s="36"/>
      <c r="C43" s="45" t="n">
        <v>20</v>
      </c>
      <c r="D43" s="45"/>
      <c r="E43" s="36"/>
      <c r="F43" s="45" t="s">
        <v>31</v>
      </c>
      <c r="G43" s="45"/>
      <c r="H43" s="51"/>
      <c r="J43" s="7" t="s">
        <v>77</v>
      </c>
      <c r="K43" s="7" t="str">
        <f aca="false">A34</f>
        <v>12</v>
      </c>
      <c r="L43" s="7"/>
    </row>
    <row r="44" customFormat="false" ht="18.75" hidden="false" customHeight="false" outlineLevel="0" collapsed="false">
      <c r="A44" s="40"/>
      <c r="B44" s="47"/>
      <c r="C44" s="47"/>
      <c r="D44" s="47"/>
      <c r="E44" s="47"/>
      <c r="F44" s="47"/>
      <c r="G44" s="47"/>
      <c r="H44" s="51"/>
      <c r="J44" s="7" t="s">
        <v>78</v>
      </c>
      <c r="K44" s="7" t="n">
        <f aca="false">((K40-(((K42/(1.2))*0.2)))/(K43))</f>
        <v>148.611166666667</v>
      </c>
      <c r="L44" s="7"/>
    </row>
    <row r="45" customFormat="false" ht="18.75" hidden="false" customHeight="false" outlineLevel="0" collapsed="false">
      <c r="A45" s="40" t="s">
        <v>79</v>
      </c>
      <c r="B45" s="36"/>
      <c r="C45" s="42" t="s">
        <v>80</v>
      </c>
      <c r="D45" s="43"/>
      <c r="E45" s="36"/>
      <c r="F45" s="42" t="s">
        <v>81</v>
      </c>
      <c r="G45" s="43"/>
      <c r="H45" s="51"/>
      <c r="J45" s="7" t="s">
        <v>82</v>
      </c>
      <c r="K45" s="7" t="n">
        <f aca="false">(K39-K44)+K41</f>
        <v>401.388833333333</v>
      </c>
      <c r="L45" s="7"/>
    </row>
    <row r="46" customFormat="false" ht="18.75" hidden="false" customHeight="false" outlineLevel="0" collapsed="false">
      <c r="A46" s="44" t="n">
        <v>0</v>
      </c>
      <c r="B46" s="36"/>
      <c r="C46" s="45" t="n">
        <v>1</v>
      </c>
      <c r="D46" s="45"/>
      <c r="E46" s="36"/>
      <c r="F46" s="45" t="n">
        <v>0</v>
      </c>
      <c r="G46" s="45"/>
      <c r="H46" s="51"/>
      <c r="J46" s="7" t="s">
        <v>83</v>
      </c>
      <c r="K46" s="7" t="n">
        <v>0</v>
      </c>
      <c r="L46" s="7"/>
    </row>
    <row r="47" customFormat="false" ht="18.75" hidden="false" customHeight="false" outlineLevel="0" collapsed="false">
      <c r="A47" s="40"/>
      <c r="B47" s="47"/>
      <c r="C47" s="47"/>
      <c r="D47" s="47"/>
      <c r="E47" s="47"/>
      <c r="F47" s="47"/>
      <c r="G47" s="47"/>
      <c r="H47" s="51"/>
      <c r="J47" s="7" t="s">
        <v>84</v>
      </c>
      <c r="K47" s="7" t="n">
        <f aca="false">A40/K29</f>
        <v>1</v>
      </c>
      <c r="L47" s="7"/>
    </row>
    <row r="48" customFormat="false" ht="18.75" hidden="false" customHeight="false" outlineLevel="0" collapsed="false">
      <c r="A48" s="40" t="s">
        <v>85</v>
      </c>
      <c r="B48" s="47"/>
      <c r="C48" s="47"/>
      <c r="D48" s="47"/>
      <c r="E48" s="47"/>
      <c r="F48" s="47"/>
      <c r="G48" s="47"/>
      <c r="H48" s="51"/>
      <c r="J48" s="59" t="s">
        <v>86</v>
      </c>
      <c r="K48" s="7" t="n">
        <f aca="false">C43/A34</f>
        <v>1.66666666666667</v>
      </c>
      <c r="L48" s="7"/>
    </row>
    <row r="49" customFormat="false" ht="18.75" hidden="false" customHeight="false" outlineLevel="0" collapsed="false">
      <c r="A49" s="40" t="n">
        <f aca="false">C46+F46</f>
        <v>1</v>
      </c>
      <c r="B49" s="47"/>
      <c r="C49" s="47"/>
      <c r="D49" s="47"/>
      <c r="E49" s="36"/>
      <c r="F49" s="47"/>
      <c r="G49" s="47"/>
      <c r="H49" s="51"/>
      <c r="J49" s="59" t="s">
        <v>87</v>
      </c>
      <c r="K49" s="7" t="n">
        <f aca="false">K45+K48+K47</f>
        <v>404.0555</v>
      </c>
      <c r="L49" s="7"/>
    </row>
    <row r="50" customFormat="false" ht="18.75" hidden="false" customHeight="false" outlineLevel="0" collapsed="false">
      <c r="A50" s="60"/>
      <c r="B50" s="61"/>
      <c r="C50" s="61"/>
      <c r="D50" s="61"/>
      <c r="E50" s="61"/>
      <c r="F50" s="61"/>
      <c r="G50" s="62"/>
      <c r="H50" s="63"/>
      <c r="I50" s="7"/>
      <c r="J50" s="59" t="s">
        <v>88</v>
      </c>
      <c r="K50" s="7" t="n">
        <f aca="false">K49-A46</f>
        <v>354.0555</v>
      </c>
    </row>
    <row r="51" customFormat="false" ht="19.5" hidden="false" customHeight="true" outlineLevel="0" collapsed="false">
      <c r="A51" s="29"/>
      <c r="B51" s="30"/>
      <c r="C51" s="30"/>
      <c r="D51" s="30"/>
      <c r="E51" s="30"/>
      <c r="F51" s="30"/>
      <c r="G51" s="30"/>
      <c r="H51" s="31"/>
      <c r="I51" s="7"/>
      <c r="J51" s="7"/>
      <c r="K51" s="7"/>
    </row>
    <row r="52" customFormat="false" ht="18.75" hidden="false" customHeight="false" outlineLevel="0" collapsed="false">
      <c r="A52" s="64" t="s">
        <v>89</v>
      </c>
      <c r="B52" s="36"/>
      <c r="C52" s="36" t="s">
        <v>90</v>
      </c>
      <c r="D52" s="36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65" t="n">
        <v>1</v>
      </c>
      <c r="B53" s="36"/>
      <c r="C53" s="66" t="n">
        <v>1</v>
      </c>
      <c r="D53" s="66"/>
      <c r="E53" s="66"/>
      <c r="F53" s="36"/>
      <c r="G53" s="36"/>
      <c r="H53" s="37"/>
      <c r="I53" s="7"/>
      <c r="J53" s="67" t="s">
        <v>91</v>
      </c>
      <c r="K53" s="68" t="s">
        <v>92</v>
      </c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9"/>
      <c r="B55" s="30"/>
      <c r="C55" s="30"/>
      <c r="D55" s="30"/>
      <c r="E55" s="30"/>
      <c r="F55" s="30"/>
      <c r="G55" s="30"/>
      <c r="H55" s="31"/>
      <c r="I55" s="7"/>
      <c r="J55" s="7" t="s">
        <v>93</v>
      </c>
      <c r="K55" s="7" t="n">
        <f aca="false">A46*A34</f>
        <v>600</v>
      </c>
    </row>
    <row r="56" customFormat="false" ht="18.75" hidden="false" customHeight="false" outlineLevel="0" collapsed="false">
      <c r="A56" s="70" t="s">
        <v>94</v>
      </c>
      <c r="B56" s="36"/>
      <c r="C56" s="36"/>
      <c r="D56" s="71"/>
      <c r="E56" s="71"/>
      <c r="F56" s="71"/>
      <c r="G56" s="71"/>
      <c r="H56" s="72"/>
      <c r="I56" s="7"/>
      <c r="J56" s="7"/>
      <c r="K56" s="7"/>
    </row>
    <row r="57" customFormat="false" ht="19.5" hidden="false" customHeight="true" outlineLevel="0" collapsed="false">
      <c r="A57" s="35"/>
      <c r="B57" s="73"/>
      <c r="C57" s="73"/>
      <c r="D57" s="36"/>
      <c r="E57" s="36"/>
      <c r="F57" s="36"/>
      <c r="G57" s="36"/>
      <c r="H57" s="37"/>
      <c r="I57" s="7"/>
      <c r="J57" s="7"/>
      <c r="K57" s="7"/>
    </row>
    <row r="58" customFormat="false" ht="19.7" hidden="false" customHeight="false" outlineLevel="0" collapsed="false">
      <c r="A58" s="74" t="s">
        <v>95</v>
      </c>
      <c r="B58" s="75" t="s">
        <v>96</v>
      </c>
      <c r="C58" s="75"/>
      <c r="D58" s="75"/>
      <c r="E58" s="36"/>
      <c r="F58" s="36"/>
      <c r="G58" s="36"/>
      <c r="H58" s="37"/>
      <c r="I58" s="7"/>
      <c r="J58" s="7"/>
      <c r="K58" s="7"/>
    </row>
    <row r="59" customFormat="false" ht="18.75" hidden="false" customHeight="false" outlineLevel="0" collapsed="false">
      <c r="A59" s="74"/>
      <c r="B59" s="76" t="str">
        <f aca="false">K30</f>
        <v>5000</v>
      </c>
      <c r="C59" s="76"/>
      <c r="D59" s="76"/>
      <c r="E59" s="36"/>
      <c r="F59" s="36"/>
      <c r="G59" s="36"/>
      <c r="H59" s="37"/>
      <c r="I59" s="7"/>
      <c r="J59" s="7"/>
      <c r="K59" s="7"/>
    </row>
    <row r="60" customFormat="false" ht="18.75" hidden="false" customHeight="false" outlineLevel="0" collapsed="false">
      <c r="A60" s="77" t="str">
        <f aca="false">K29</f>
        <v>12</v>
      </c>
      <c r="B60" s="78" t="n">
        <f aca="false">K49</f>
        <v>404.0555</v>
      </c>
      <c r="C60" s="78"/>
      <c r="D60" s="78"/>
      <c r="E60" s="36"/>
      <c r="F60" s="36"/>
      <c r="G60" s="36"/>
      <c r="H60" s="37"/>
      <c r="I60" s="7"/>
      <c r="J60" s="7"/>
      <c r="K60" s="7"/>
    </row>
    <row r="61" customFormat="false" ht="18.75" hidden="false" customHeight="false" outlineLevel="0" collapsed="false">
      <c r="A61" s="35"/>
      <c r="B61" s="36"/>
      <c r="C61" s="36"/>
      <c r="D61" s="36"/>
      <c r="E61" s="36"/>
      <c r="F61" s="36"/>
      <c r="G61" s="36"/>
      <c r="H61" s="37"/>
      <c r="I61" s="7"/>
      <c r="J61" s="7"/>
      <c r="K61" s="7"/>
    </row>
    <row r="62" customFormat="false" ht="18.75" hidden="false" customHeight="false" outlineLevel="0" collapsed="false">
      <c r="A62" s="60"/>
      <c r="B62" s="61"/>
      <c r="C62" s="61"/>
      <c r="D62" s="61"/>
      <c r="E62" s="61"/>
      <c r="F62" s="61"/>
      <c r="G62" s="61"/>
      <c r="H62" s="69"/>
      <c r="I62" s="7"/>
      <c r="J62" s="7"/>
      <c r="K62" s="7"/>
    </row>
    <row r="63" customFormat="false" ht="18.75" hidden="false" customHeight="false" outlineLevel="0" collapsed="false">
      <c r="A63" s="36"/>
      <c r="B63" s="36"/>
      <c r="C63" s="36"/>
      <c r="D63" s="36"/>
      <c r="E63" s="36"/>
      <c r="F63" s="36"/>
      <c r="G63" s="36"/>
      <c r="H63" s="36"/>
      <c r="I63" s="7"/>
      <c r="J63" s="7"/>
      <c r="K63" s="7"/>
    </row>
    <row r="64" customFormat="false" ht="18.75" hidden="false" customHeight="false" outlineLevel="0" collapsed="false">
      <c r="A64" s="36"/>
      <c r="B64" s="36"/>
      <c r="C64" s="36"/>
      <c r="D64" s="36"/>
      <c r="E64" s="36"/>
      <c r="F64" s="36"/>
      <c r="G64" s="36"/>
      <c r="H64" s="36"/>
      <c r="I64" s="7"/>
      <c r="J64" s="7"/>
      <c r="K64" s="7"/>
    </row>
    <row r="65" customFormat="false" ht="18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J65" s="7"/>
      <c r="K65" s="7"/>
    </row>
    <row r="66" customFormat="false" ht="18.75" hidden="false" customHeight="false" outlineLevel="0" collapsed="false">
      <c r="A66" s="29"/>
      <c r="B66" s="30"/>
      <c r="C66" s="30"/>
      <c r="D66" s="30"/>
      <c r="E66" s="79"/>
      <c r="F66" s="79"/>
      <c r="G66" s="79"/>
      <c r="H66" s="31"/>
      <c r="J66" s="29"/>
      <c r="K66" s="30"/>
      <c r="L66" s="30"/>
      <c r="M66" s="30"/>
      <c r="N66" s="79"/>
      <c r="O66" s="79"/>
      <c r="P66" s="79"/>
      <c r="Q66" s="31"/>
      <c r="S66" s="29"/>
      <c r="T66" s="30"/>
      <c r="U66" s="30"/>
      <c r="V66" s="30"/>
      <c r="W66" s="79"/>
      <c r="X66" s="79"/>
      <c r="Y66" s="79"/>
      <c r="Z66" s="31"/>
      <c r="AB66" s="29"/>
      <c r="AC66" s="30"/>
      <c r="AD66" s="30"/>
      <c r="AE66" s="30"/>
      <c r="AF66" s="79"/>
      <c r="AG66" s="79"/>
      <c r="AH66" s="79"/>
      <c r="AI66" s="31"/>
    </row>
    <row r="67" customFormat="false" ht="18.75" hidden="false" customHeight="false" outlineLevel="0" collapsed="false">
      <c r="A67" s="35" t="s">
        <v>97</v>
      </c>
      <c r="B67" s="36" t="n">
        <v>1</v>
      </c>
      <c r="C67" s="36"/>
      <c r="D67" s="36"/>
      <c r="E67" s="27"/>
      <c r="F67" s="27"/>
      <c r="G67" s="27"/>
      <c r="H67" s="37"/>
      <c r="J67" s="35" t="s">
        <v>97</v>
      </c>
      <c r="K67" s="36" t="n">
        <v>1</v>
      </c>
      <c r="L67" s="36"/>
      <c r="M67" s="36"/>
      <c r="N67" s="27"/>
      <c r="O67" s="27"/>
      <c r="P67" s="27"/>
      <c r="Q67" s="37"/>
      <c r="S67" s="35" t="s">
        <v>97</v>
      </c>
      <c r="T67" s="36" t="n">
        <v>1</v>
      </c>
      <c r="U67" s="36"/>
      <c r="V67" s="36"/>
      <c r="W67" s="27"/>
      <c r="X67" s="27"/>
      <c r="Y67" s="27"/>
      <c r="Z67" s="37"/>
      <c r="AB67" s="35" t="s">
        <v>97</v>
      </c>
      <c r="AC67" s="36" t="n">
        <v>1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35" t="s">
        <v>98</v>
      </c>
      <c r="B68" s="36" t="n">
        <f aca="false">K29-B67</f>
        <v>11</v>
      </c>
      <c r="C68" s="36"/>
      <c r="D68" s="36"/>
      <c r="E68" s="27"/>
      <c r="F68" s="27"/>
      <c r="G68" s="27"/>
      <c r="H68" s="37"/>
      <c r="J68" s="35" t="s">
        <v>98</v>
      </c>
      <c r="K68" s="36" t="n">
        <f aca="false">K29-K67</f>
        <v>11</v>
      </c>
      <c r="L68" s="36"/>
      <c r="M68" s="36"/>
      <c r="N68" s="27"/>
      <c r="O68" s="27"/>
      <c r="P68" s="27"/>
      <c r="Q68" s="37"/>
      <c r="S68" s="35" t="s">
        <v>98</v>
      </c>
      <c r="T68" s="36" t="n">
        <f aca="false">K29-T67</f>
        <v>11</v>
      </c>
      <c r="U68" s="36"/>
      <c r="V68" s="36"/>
      <c r="W68" s="27"/>
      <c r="X68" s="27"/>
      <c r="Y68" s="27"/>
      <c r="Z68" s="37"/>
      <c r="AB68" s="35" t="s">
        <v>98</v>
      </c>
      <c r="AC68" s="36" t="n">
        <f aca="false">K29-AC67</f>
        <v>11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0" t="s">
        <v>99</v>
      </c>
      <c r="B69" s="81" t="n">
        <v>25</v>
      </c>
      <c r="C69" s="36"/>
      <c r="D69" s="36"/>
      <c r="E69" s="27"/>
      <c r="F69" s="27"/>
      <c r="G69" s="27"/>
      <c r="H69" s="37"/>
      <c r="J69" s="80" t="s">
        <v>99</v>
      </c>
      <c r="K69" s="81" t="n">
        <v>20</v>
      </c>
      <c r="L69" s="36"/>
      <c r="M69" s="36"/>
      <c r="N69" s="27"/>
      <c r="O69" s="27"/>
      <c r="P69" s="27"/>
      <c r="Q69" s="37"/>
      <c r="S69" s="80" t="s">
        <v>99</v>
      </c>
      <c r="T69" s="81" t="n">
        <v>10</v>
      </c>
      <c r="U69" s="36"/>
      <c r="V69" s="36"/>
      <c r="W69" s="27"/>
      <c r="X69" s="27"/>
      <c r="Y69" s="27"/>
      <c r="Z69" s="37"/>
      <c r="AB69" s="80" t="s">
        <v>99</v>
      </c>
      <c r="AC69" s="81" t="n">
        <v>10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35" t="s">
        <v>27</v>
      </c>
      <c r="B70" s="36" t="n">
        <f aca="false">J18</f>
        <v>40526</v>
      </c>
      <c r="C70" s="36"/>
      <c r="D70" s="36"/>
      <c r="E70" s="27"/>
      <c r="F70" s="27"/>
      <c r="G70" s="27"/>
      <c r="H70" s="37"/>
      <c r="J70" s="35" t="s">
        <v>27</v>
      </c>
      <c r="K70" s="36" t="n">
        <f aca="false">J18</f>
        <v>40526</v>
      </c>
      <c r="L70" s="36"/>
      <c r="M70" s="36"/>
      <c r="N70" s="27"/>
      <c r="O70" s="27"/>
      <c r="P70" s="27"/>
      <c r="Q70" s="37"/>
      <c r="S70" s="35" t="s">
        <v>27</v>
      </c>
      <c r="T70" s="36" t="n">
        <f aca="false">J18</f>
        <v>40526</v>
      </c>
      <c r="U70" s="36"/>
      <c r="V70" s="36"/>
      <c r="W70" s="27"/>
      <c r="X70" s="27"/>
      <c r="Y70" s="27"/>
      <c r="Z70" s="37"/>
      <c r="AB70" s="35" t="s">
        <v>27</v>
      </c>
      <c r="AC70" s="36" t="n">
        <f aca="false">J18</f>
        <v>40526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82" t="s">
        <v>100</v>
      </c>
      <c r="B71" s="83" t="n">
        <v>0.0105</v>
      </c>
      <c r="C71" s="36"/>
      <c r="D71" s="36"/>
      <c r="E71" s="27"/>
      <c r="F71" s="27"/>
      <c r="G71" s="27"/>
      <c r="H71" s="37"/>
      <c r="J71" s="82" t="s">
        <v>100</v>
      </c>
      <c r="K71" s="83" t="n">
        <v>0.06</v>
      </c>
      <c r="L71" s="36"/>
      <c r="M71" s="36"/>
      <c r="N71" s="27"/>
      <c r="O71" s="27"/>
      <c r="P71" s="27"/>
      <c r="Q71" s="37"/>
      <c r="S71" s="82" t="s">
        <v>100</v>
      </c>
      <c r="T71" s="83" t="n">
        <f aca="false">IF(AND(K29&gt;=12,K29&lt;=24),0.0105,IF(AND(K29&gt;=48),-0.0075,0))</f>
        <v>-0.0075</v>
      </c>
      <c r="U71" s="36"/>
      <c r="V71" s="36"/>
      <c r="W71" s="27"/>
      <c r="X71" s="27"/>
      <c r="Y71" s="27"/>
      <c r="Z71" s="37"/>
      <c r="AB71" s="82" t="s">
        <v>100</v>
      </c>
      <c r="AC71" s="83" t="n">
        <f aca="false">IF(AND(K29&gt;=12,K29&lt;=24),0.0105,IF(AND(K29&gt;=48),-0.0075,0))</f>
        <v>-0.0075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4" t="s">
        <v>101</v>
      </c>
      <c r="B72" s="85" t="n">
        <v>0.065</v>
      </c>
      <c r="C72" s="36"/>
      <c r="D72" s="36"/>
      <c r="E72" s="27"/>
      <c r="F72" s="27"/>
      <c r="G72" s="27"/>
      <c r="H72" s="37"/>
      <c r="J72" s="84" t="s">
        <v>101</v>
      </c>
      <c r="K72" s="85" t="n">
        <v>0.08</v>
      </c>
      <c r="L72" s="36"/>
      <c r="M72" s="36"/>
      <c r="N72" s="27"/>
      <c r="O72" s="27"/>
      <c r="P72" s="27"/>
      <c r="Q72" s="37"/>
      <c r="S72" s="84" t="s">
        <v>101</v>
      </c>
      <c r="T72" s="85" t="n">
        <v>0.059</v>
      </c>
      <c r="U72" s="36"/>
      <c r="V72" s="36"/>
      <c r="W72" s="27"/>
      <c r="X72" s="27"/>
      <c r="Y72" s="27"/>
      <c r="Z72" s="37"/>
      <c r="AB72" s="84" t="s">
        <v>101</v>
      </c>
      <c r="AC72" s="85" t="n">
        <v>0.059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6" t="s">
        <v>102</v>
      </c>
      <c r="B73" s="87" t="n">
        <v>0.05</v>
      </c>
      <c r="C73" s="36"/>
      <c r="D73" s="36"/>
      <c r="E73" s="27"/>
      <c r="F73" s="27"/>
      <c r="G73" s="27"/>
      <c r="H73" s="37"/>
      <c r="J73" s="86" t="s">
        <v>102</v>
      </c>
      <c r="K73" s="87" t="n">
        <v>0.1</v>
      </c>
      <c r="L73" s="36"/>
      <c r="M73" s="36"/>
      <c r="N73" s="27"/>
      <c r="O73" s="27"/>
      <c r="P73" s="27"/>
      <c r="Q73" s="37"/>
      <c r="S73" s="86" t="s">
        <v>102</v>
      </c>
      <c r="T73" s="87" t="n">
        <f aca="false">IF(T117=AP117,2.4%,7.2%)</f>
        <v>0.072</v>
      </c>
      <c r="U73" s="36"/>
      <c r="V73" s="36"/>
      <c r="W73" s="27"/>
      <c r="X73" s="27"/>
      <c r="Y73" s="27"/>
      <c r="Z73" s="37"/>
      <c r="AB73" s="86" t="s">
        <v>102</v>
      </c>
      <c r="AC73" s="87" t="n">
        <f aca="false">IF(AC117=AP117,2.4%,7.2%)</f>
        <v>0.072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103</v>
      </c>
      <c r="B74" s="69" t="n">
        <f aca="false">(B98*B68)-(K47*K29)</f>
        <v>9929.63086066532</v>
      </c>
      <c r="C74" s="36"/>
      <c r="D74" s="36"/>
      <c r="E74" s="27"/>
      <c r="F74" s="27"/>
      <c r="G74" s="27"/>
      <c r="H74" s="37"/>
      <c r="J74" s="60" t="s">
        <v>103</v>
      </c>
      <c r="K74" s="69" t="e">
        <f aca="false">(K98*K68)-(K47*K29)</f>
        <v>#VALUE!</v>
      </c>
      <c r="L74" s="36"/>
      <c r="M74" s="36"/>
      <c r="N74" s="27"/>
      <c r="O74" s="27"/>
      <c r="P74" s="27"/>
      <c r="Q74" s="37"/>
      <c r="S74" s="60" t="s">
        <v>103</v>
      </c>
      <c r="T74" s="69" t="e">
        <f aca="false">(T98*T68)-(K47*K29)</f>
        <v>#VALUE!</v>
      </c>
      <c r="U74" s="36"/>
      <c r="V74" s="36"/>
      <c r="W74" s="27"/>
      <c r="X74" s="27"/>
      <c r="Y74" s="27"/>
      <c r="Z74" s="37"/>
      <c r="AB74" s="60" t="s">
        <v>103</v>
      </c>
      <c r="AC74" s="69" t="e">
        <f aca="false">(AC98*AC68)-(K47*K29)</f>
        <v>#VALUE!</v>
      </c>
      <c r="AD74" s="36"/>
      <c r="AE74" s="36"/>
      <c r="AF74" s="27"/>
      <c r="AG74" s="27"/>
      <c r="AH74" s="27"/>
      <c r="AI74" s="37"/>
    </row>
    <row r="75" customFormat="false" ht="18.75" hidden="false" customHeight="false" outlineLevel="0" collapsed="false">
      <c r="A75" s="82" t="s">
        <v>104</v>
      </c>
      <c r="B75" s="83" t="n">
        <v>0.0075</v>
      </c>
      <c r="C75" s="36"/>
      <c r="D75" s="36"/>
      <c r="E75" s="27"/>
      <c r="F75" s="27"/>
      <c r="G75" s="27"/>
      <c r="H75" s="37"/>
      <c r="J75" s="82" t="s">
        <v>104</v>
      </c>
      <c r="K75" s="83" t="n">
        <v>0.05</v>
      </c>
      <c r="L75" s="36"/>
      <c r="M75" s="36"/>
      <c r="N75" s="27"/>
      <c r="O75" s="27"/>
      <c r="P75" s="27"/>
      <c r="Q75" s="37"/>
      <c r="S75" s="82" t="s">
        <v>104</v>
      </c>
      <c r="T75" s="83" t="n">
        <v>0.005</v>
      </c>
      <c r="U75" s="36"/>
      <c r="V75" s="36"/>
      <c r="W75" s="27"/>
      <c r="X75" s="27"/>
      <c r="Y75" s="27"/>
      <c r="Z75" s="37"/>
      <c r="AB75" s="82" t="s">
        <v>104</v>
      </c>
      <c r="AC75" s="83" t="n">
        <v>0.005</v>
      </c>
      <c r="AD75" s="36"/>
      <c r="AE75" s="36"/>
      <c r="AF75" s="27"/>
      <c r="AG75" s="27"/>
      <c r="AH75" s="27"/>
      <c r="AI75" s="37"/>
    </row>
    <row r="76" customFormat="false" ht="18.75" hidden="false" customHeight="false" outlineLevel="0" collapsed="false">
      <c r="A76" s="35"/>
      <c r="B76" s="88" t="n">
        <f aca="false">B75</f>
        <v>0.0075</v>
      </c>
      <c r="C76" s="36"/>
      <c r="D76" s="36"/>
      <c r="E76" s="27"/>
      <c r="F76" s="27"/>
      <c r="G76" s="27"/>
      <c r="H76" s="37"/>
      <c r="J76" s="35" t="s">
        <v>105</v>
      </c>
      <c r="K76" s="88" t="n">
        <f aca="false">K75+(K75*0.25*(K29/12-1))</f>
        <v>0.05</v>
      </c>
      <c r="L76" s="36"/>
      <c r="M76" s="36"/>
      <c r="N76" s="27"/>
      <c r="O76" s="27"/>
      <c r="P76" s="27"/>
      <c r="Q76" s="37"/>
      <c r="S76" s="35" t="s">
        <v>105</v>
      </c>
      <c r="T76" s="88" t="n">
        <f aca="false">T75+(T75*0.5*(K29/12-1))</f>
        <v>0.005</v>
      </c>
      <c r="U76" s="36"/>
      <c r="V76" s="36"/>
      <c r="W76" s="27"/>
      <c r="X76" s="27"/>
      <c r="Y76" s="27"/>
      <c r="Z76" s="37"/>
      <c r="AB76" s="35" t="s">
        <v>105</v>
      </c>
      <c r="AC76" s="88" t="n">
        <f aca="false">AC75+(AC75*0.5*(K29/12-1))</f>
        <v>0.005</v>
      </c>
      <c r="AD76" s="36"/>
      <c r="AE76" s="36"/>
      <c r="AF76" s="27"/>
      <c r="AG76" s="27"/>
      <c r="AH76" s="27"/>
      <c r="AI76" s="37"/>
    </row>
    <row r="77" customFormat="false" ht="18.75" hidden="false" customHeight="false" outlineLevel="0" collapsed="false">
      <c r="A77" s="60" t="s">
        <v>106</v>
      </c>
      <c r="B77" s="69" t="n">
        <f aca="false">(G167*B76)</f>
        <v>151.8375</v>
      </c>
      <c r="C77" s="36"/>
      <c r="D77" s="36"/>
      <c r="E77" s="27"/>
      <c r="F77" s="27"/>
      <c r="G77" s="27"/>
      <c r="H77" s="37"/>
      <c r="J77" s="60" t="s">
        <v>106</v>
      </c>
      <c r="K77" s="69" t="n">
        <f aca="false">K70*K76</f>
        <v>2026.3</v>
      </c>
      <c r="L77" s="36"/>
      <c r="M77" s="36"/>
      <c r="N77" s="27"/>
      <c r="O77" s="27"/>
      <c r="P77" s="27"/>
      <c r="Q77" s="37"/>
      <c r="S77" s="60" t="s">
        <v>106</v>
      </c>
      <c r="T77" s="69" t="n">
        <f aca="false">T70*T76</f>
        <v>202.63</v>
      </c>
      <c r="U77" s="36"/>
      <c r="V77" s="36"/>
      <c r="W77" s="27"/>
      <c r="X77" s="27"/>
      <c r="Y77" s="27"/>
      <c r="Z77" s="37"/>
      <c r="AB77" s="60" t="s">
        <v>106</v>
      </c>
      <c r="AC77" s="69" t="e">
        <f aca="false">AH167*AC76</f>
        <v>#VALUE!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82" t="s">
        <v>107</v>
      </c>
      <c r="B78" s="83" t="n">
        <v>0</v>
      </c>
      <c r="C78" s="36"/>
      <c r="D78" s="36"/>
      <c r="E78" s="27"/>
      <c r="F78" s="27"/>
      <c r="G78" s="27"/>
      <c r="H78" s="37"/>
      <c r="J78" s="82" t="s">
        <v>107</v>
      </c>
      <c r="K78" s="83" t="n">
        <v>0</v>
      </c>
      <c r="L78" s="36"/>
      <c r="M78" s="36"/>
      <c r="N78" s="27"/>
      <c r="O78" s="27"/>
      <c r="P78" s="27"/>
      <c r="Q78" s="37"/>
      <c r="S78" s="82" t="s">
        <v>107</v>
      </c>
      <c r="T78" s="83" t="n">
        <v>0</v>
      </c>
      <c r="U78" s="36"/>
      <c r="V78" s="36"/>
      <c r="W78" s="27"/>
      <c r="X78" s="27"/>
      <c r="Y78" s="27"/>
      <c r="Z78" s="37"/>
      <c r="AB78" s="82" t="s">
        <v>107</v>
      </c>
      <c r="AC78" s="83" t="n"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84" t="s">
        <v>108</v>
      </c>
      <c r="B79" s="85" t="n">
        <v>0</v>
      </c>
      <c r="C79" s="36"/>
      <c r="D79" s="36"/>
      <c r="E79" s="27"/>
      <c r="F79" s="27"/>
      <c r="G79" s="27"/>
      <c r="H79" s="37"/>
      <c r="J79" s="84" t="s">
        <v>108</v>
      </c>
      <c r="K79" s="85" t="n">
        <v>0</v>
      </c>
      <c r="L79" s="36"/>
      <c r="M79" s="36"/>
      <c r="N79" s="27"/>
      <c r="O79" s="27"/>
      <c r="P79" s="27"/>
      <c r="Q79" s="37"/>
      <c r="S79" s="84" t="s">
        <v>108</v>
      </c>
      <c r="T79" s="85" t="n">
        <v>0</v>
      </c>
      <c r="U79" s="36"/>
      <c r="V79" s="36"/>
      <c r="W79" s="27"/>
      <c r="X79" s="27"/>
      <c r="Y79" s="27"/>
      <c r="Z79" s="37"/>
      <c r="AB79" s="84" t="s">
        <v>108</v>
      </c>
      <c r="AC79" s="85" t="n">
        <v>0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60" t="s">
        <v>109</v>
      </c>
      <c r="B80" s="89" t="n">
        <f aca="false">B78*(1+B79)</f>
        <v>0</v>
      </c>
      <c r="C80" s="36"/>
      <c r="D80" s="36"/>
      <c r="E80" s="27"/>
      <c r="F80" s="27"/>
      <c r="G80" s="27"/>
      <c r="H80" s="37"/>
      <c r="J80" s="60" t="s">
        <v>109</v>
      </c>
      <c r="K80" s="89" t="n">
        <f aca="false">K78*(1+K79)</f>
        <v>0</v>
      </c>
      <c r="L80" s="36"/>
      <c r="M80" s="36"/>
      <c r="N80" s="27"/>
      <c r="O80" s="27"/>
      <c r="P80" s="27"/>
      <c r="Q80" s="37"/>
      <c r="S80" s="60" t="s">
        <v>109</v>
      </c>
      <c r="T80" s="89" t="n">
        <f aca="false">T78*(1+T79)</f>
        <v>0</v>
      </c>
      <c r="U80" s="36"/>
      <c r="V80" s="36"/>
      <c r="W80" s="27"/>
      <c r="X80" s="27"/>
      <c r="Y80" s="27"/>
      <c r="Z80" s="37"/>
      <c r="AB80" s="60" t="s">
        <v>109</v>
      </c>
      <c r="AC80" s="89" t="n">
        <f aca="false">AC78*(1+AC79)</f>
        <v>0</v>
      </c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82" t="s">
        <v>110</v>
      </c>
      <c r="B81" s="90" t="n">
        <v>0</v>
      </c>
      <c r="C81" s="36"/>
      <c r="D81" s="36"/>
      <c r="E81" s="27"/>
      <c r="F81" s="27"/>
      <c r="G81" s="27"/>
      <c r="H81" s="37"/>
      <c r="J81" s="82" t="s">
        <v>110</v>
      </c>
      <c r="K81" s="90" t="n">
        <v>0</v>
      </c>
      <c r="L81" s="36"/>
      <c r="M81" s="36"/>
      <c r="N81" s="27"/>
      <c r="O81" s="27"/>
      <c r="P81" s="27"/>
      <c r="Q81" s="37"/>
      <c r="S81" s="82" t="s">
        <v>110</v>
      </c>
      <c r="T81" s="90" t="n">
        <v>0</v>
      </c>
      <c r="U81" s="36"/>
      <c r="V81" s="36"/>
      <c r="W81" s="27"/>
      <c r="X81" s="27"/>
      <c r="Y81" s="27"/>
      <c r="Z81" s="37"/>
      <c r="AB81" s="82" t="s">
        <v>110</v>
      </c>
      <c r="AC81" s="90" t="n">
        <v>0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84" t="s">
        <v>111</v>
      </c>
      <c r="B82" s="81" t="n">
        <v>0</v>
      </c>
      <c r="C82" s="36"/>
      <c r="D82" s="36"/>
      <c r="E82" s="27"/>
      <c r="F82" s="27"/>
      <c r="G82" s="27"/>
      <c r="H82" s="37"/>
      <c r="J82" s="84" t="s">
        <v>111</v>
      </c>
      <c r="K82" s="81" t="n">
        <v>0</v>
      </c>
      <c r="L82" s="36"/>
      <c r="M82" s="36"/>
      <c r="N82" s="27"/>
      <c r="O82" s="27"/>
      <c r="P82" s="27"/>
      <c r="Q82" s="37"/>
      <c r="S82" s="84" t="s">
        <v>111</v>
      </c>
      <c r="T82" s="81" t="n">
        <v>0</v>
      </c>
      <c r="U82" s="36"/>
      <c r="V82" s="36"/>
      <c r="W82" s="27"/>
      <c r="X82" s="27"/>
      <c r="Y82" s="27"/>
      <c r="Z82" s="37"/>
      <c r="AB82" s="84" t="s">
        <v>111</v>
      </c>
      <c r="AC82" s="81" t="n"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60" t="s">
        <v>112</v>
      </c>
      <c r="B83" s="69" t="n">
        <f aca="false">B82*K29</f>
        <v>0</v>
      </c>
      <c r="C83" s="36"/>
      <c r="D83" s="36" t="n">
        <f aca="false">B83+B81</f>
        <v>0</v>
      </c>
      <c r="E83" s="27"/>
      <c r="F83" s="27"/>
      <c r="G83" s="27"/>
      <c r="H83" s="37"/>
      <c r="J83" s="60" t="s">
        <v>112</v>
      </c>
      <c r="K83" s="69" t="n">
        <f aca="false">K82*K29</f>
        <v>0</v>
      </c>
      <c r="L83" s="36"/>
      <c r="M83" s="36" t="n">
        <f aca="false">K83+K81</f>
        <v>0</v>
      </c>
      <c r="N83" s="27"/>
      <c r="O83" s="27"/>
      <c r="P83" s="27"/>
      <c r="Q83" s="37"/>
      <c r="S83" s="60" t="s">
        <v>112</v>
      </c>
      <c r="T83" s="69" t="n">
        <f aca="false">T82*K29</f>
        <v>0</v>
      </c>
      <c r="U83" s="36"/>
      <c r="V83" s="36" t="n">
        <f aca="false">T83+T81</f>
        <v>0</v>
      </c>
      <c r="W83" s="27"/>
      <c r="X83" s="27"/>
      <c r="Y83" s="27"/>
      <c r="Z83" s="37"/>
      <c r="AB83" s="60" t="s">
        <v>112</v>
      </c>
      <c r="AC83" s="69" t="n">
        <f aca="false">AC82*K29</f>
        <v>0</v>
      </c>
      <c r="AD83" s="36"/>
      <c r="AE83" s="36" t="n">
        <f aca="false">AC83+AC81</f>
        <v>0</v>
      </c>
      <c r="AF83" s="27"/>
      <c r="AG83" s="27"/>
      <c r="AH83" s="27"/>
      <c r="AI83" s="37"/>
    </row>
    <row r="84" customFormat="false" ht="18.75" hidden="false" customHeight="false" outlineLevel="0" collapsed="false">
      <c r="A84" s="84" t="s">
        <v>113</v>
      </c>
      <c r="B84" s="81" t="n">
        <v>0</v>
      </c>
      <c r="C84" s="36"/>
      <c r="D84" s="36" t="n">
        <f aca="false">B84</f>
        <v>0</v>
      </c>
      <c r="E84" s="27"/>
      <c r="F84" s="27"/>
      <c r="G84" s="27"/>
      <c r="H84" s="37"/>
      <c r="J84" s="84" t="s">
        <v>113</v>
      </c>
      <c r="K84" s="81" t="n">
        <v>0</v>
      </c>
      <c r="L84" s="36"/>
      <c r="M84" s="36" t="n">
        <f aca="false">K84</f>
        <v>0</v>
      </c>
      <c r="N84" s="27"/>
      <c r="O84" s="27"/>
      <c r="P84" s="27"/>
      <c r="Q84" s="37"/>
      <c r="S84" s="84" t="s">
        <v>113</v>
      </c>
      <c r="T84" s="81" t="n">
        <v>0</v>
      </c>
      <c r="U84" s="36"/>
      <c r="V84" s="36" t="n">
        <f aca="false">T84</f>
        <v>0</v>
      </c>
      <c r="W84" s="27"/>
      <c r="X84" s="27"/>
      <c r="Y84" s="27"/>
      <c r="Z84" s="37"/>
      <c r="AB84" s="84" t="s">
        <v>113</v>
      </c>
      <c r="AC84" s="81" t="n">
        <v>0</v>
      </c>
      <c r="AD84" s="36"/>
      <c r="AE84" s="36" t="n">
        <f aca="false">AC84</f>
        <v>0</v>
      </c>
      <c r="AF84" s="27"/>
      <c r="AG84" s="27"/>
      <c r="AH84" s="27"/>
      <c r="AI84" s="37"/>
    </row>
    <row r="85" customFormat="false" ht="18.75" hidden="false" customHeight="false" outlineLevel="0" collapsed="false">
      <c r="A85" s="86" t="s">
        <v>114</v>
      </c>
      <c r="B85" s="91" t="n">
        <v>0</v>
      </c>
      <c r="C85" s="36"/>
      <c r="D85" s="36" t="n">
        <f aca="false">B85</f>
        <v>0</v>
      </c>
      <c r="E85" s="27"/>
      <c r="F85" s="36"/>
      <c r="G85" s="27"/>
      <c r="H85" s="37"/>
      <c r="J85" s="86" t="s">
        <v>114</v>
      </c>
      <c r="K85" s="91" t="n">
        <v>0</v>
      </c>
      <c r="L85" s="36"/>
      <c r="M85" s="36" t="n">
        <f aca="false">K85</f>
        <v>0</v>
      </c>
      <c r="N85" s="27"/>
      <c r="O85" s="27"/>
      <c r="P85" s="27"/>
      <c r="Q85" s="37"/>
      <c r="S85" s="86" t="s">
        <v>114</v>
      </c>
      <c r="T85" s="91" t="n">
        <v>0</v>
      </c>
      <c r="U85" s="36"/>
      <c r="V85" s="36" t="n">
        <f aca="false">T85</f>
        <v>0</v>
      </c>
      <c r="W85" s="27"/>
      <c r="X85" s="27"/>
      <c r="Y85" s="27"/>
      <c r="Z85" s="37"/>
      <c r="AB85" s="86" t="s">
        <v>114</v>
      </c>
      <c r="AC85" s="91" t="n">
        <v>0</v>
      </c>
      <c r="AD85" s="36"/>
      <c r="AE85" s="36" t="n">
        <f aca="false">AC85</f>
        <v>0</v>
      </c>
      <c r="AF85" s="27"/>
      <c r="AG85" s="27"/>
      <c r="AH85" s="27"/>
      <c r="AI85" s="37"/>
    </row>
    <row r="86" customFormat="false" ht="18.75" hidden="false" customHeight="false" outlineLevel="0" collapsed="false">
      <c r="A86" s="92" t="s">
        <v>115</v>
      </c>
      <c r="B86" s="93" t="n">
        <f aca="false">SUM(D74:D85)</f>
        <v>0</v>
      </c>
      <c r="C86" s="36"/>
      <c r="D86" s="36"/>
      <c r="E86" s="27"/>
      <c r="F86" s="36"/>
      <c r="G86" s="36"/>
      <c r="H86" s="37"/>
      <c r="J86" s="92" t="s">
        <v>115</v>
      </c>
      <c r="K86" s="93" t="n">
        <f aca="false">SUM(M74:M85)</f>
        <v>0</v>
      </c>
      <c r="L86" s="36"/>
      <c r="M86" s="36"/>
      <c r="N86" s="27"/>
      <c r="O86" s="27"/>
      <c r="P86" s="27"/>
      <c r="Q86" s="37"/>
      <c r="S86" s="92" t="s">
        <v>115</v>
      </c>
      <c r="T86" s="93" t="n">
        <f aca="false">SUM(V74:V85)</f>
        <v>0</v>
      </c>
      <c r="U86" s="36"/>
      <c r="V86" s="36"/>
      <c r="W86" s="27"/>
      <c r="X86" s="27"/>
      <c r="Y86" s="27"/>
      <c r="Z86" s="37"/>
      <c r="AB86" s="92" t="s">
        <v>115</v>
      </c>
      <c r="AC86" s="93" t="n">
        <f aca="false">SUM(AE74:AE85)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116</v>
      </c>
      <c r="B87" s="37" t="n">
        <f aca="false">B86/K29</f>
        <v>0</v>
      </c>
      <c r="C87" s="36"/>
      <c r="D87" s="36"/>
      <c r="E87" s="27"/>
      <c r="F87" s="27"/>
      <c r="G87" s="27"/>
      <c r="H87" s="37"/>
      <c r="J87" s="35" t="s">
        <v>116</v>
      </c>
      <c r="K87" s="37" t="n">
        <f aca="false">K86/K29</f>
        <v>0</v>
      </c>
      <c r="L87" s="36"/>
      <c r="M87" s="36"/>
      <c r="N87" s="27"/>
      <c r="O87" s="27"/>
      <c r="P87" s="27"/>
      <c r="Q87" s="37"/>
      <c r="S87" s="35" t="s">
        <v>116</v>
      </c>
      <c r="T87" s="37" t="n">
        <f aca="false">T86/K29</f>
        <v>0</v>
      </c>
      <c r="U87" s="36"/>
      <c r="V87" s="36"/>
      <c r="W87" s="27"/>
      <c r="X87" s="27"/>
      <c r="Y87" s="27"/>
      <c r="Z87" s="37"/>
      <c r="AB87" s="35" t="s">
        <v>116</v>
      </c>
      <c r="AC87" s="37" t="n">
        <f aca="false">AC86/K29</f>
        <v>0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94" t="s">
        <v>117</v>
      </c>
      <c r="B88" s="63" t="n">
        <f aca="false">K49</f>
        <v>404.0555</v>
      </c>
      <c r="C88" s="36"/>
      <c r="D88" s="36"/>
      <c r="E88" s="27"/>
      <c r="F88" s="27"/>
      <c r="G88" s="27"/>
      <c r="H88" s="37"/>
      <c r="J88" s="94" t="s">
        <v>117</v>
      </c>
      <c r="K88" s="63" t="n">
        <f aca="false">K47</f>
        <v>1</v>
      </c>
      <c r="L88" s="36"/>
      <c r="M88" s="36"/>
      <c r="N88" s="27"/>
      <c r="O88" s="27"/>
      <c r="P88" s="27"/>
      <c r="Q88" s="37"/>
      <c r="S88" s="94" t="s">
        <v>117</v>
      </c>
      <c r="T88" s="63" t="n">
        <f aca="false">B60</f>
        <v>404.0555</v>
      </c>
      <c r="U88" s="36"/>
      <c r="V88" s="36"/>
      <c r="W88" s="27"/>
      <c r="X88" s="27"/>
      <c r="Y88" s="27"/>
      <c r="Z88" s="37"/>
      <c r="AB88" s="94" t="s">
        <v>117</v>
      </c>
      <c r="AC88" s="63" t="n">
        <f aca="false">B60</f>
        <v>404.0555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/>
      <c r="B89" s="36"/>
      <c r="C89" s="36"/>
      <c r="D89" s="36"/>
      <c r="E89" s="27"/>
      <c r="F89" s="27"/>
      <c r="G89" s="27"/>
      <c r="H89" s="37"/>
      <c r="J89" s="35"/>
      <c r="K89" s="36"/>
      <c r="L89" s="36"/>
      <c r="M89" s="36"/>
      <c r="N89" s="27"/>
      <c r="O89" s="27"/>
      <c r="P89" s="27"/>
      <c r="Q89" s="37"/>
      <c r="S89" s="35"/>
      <c r="T89" s="36"/>
      <c r="U89" s="36"/>
      <c r="V89" s="36"/>
      <c r="W89" s="27"/>
      <c r="X89" s="27"/>
      <c r="Y89" s="27"/>
      <c r="Z89" s="37"/>
      <c r="AB89" s="35"/>
      <c r="AC89" s="36"/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29" t="s">
        <v>118</v>
      </c>
      <c r="B90" s="31" t="n">
        <f aca="false">F37</f>
        <v>15700.004</v>
      </c>
      <c r="C90" s="36"/>
      <c r="D90" s="36"/>
      <c r="E90" s="27"/>
      <c r="F90" s="29" t="s">
        <v>118</v>
      </c>
      <c r="G90" s="31" t="n">
        <f aca="false">F37</f>
        <v>15700.004</v>
      </c>
      <c r="H90" s="37"/>
      <c r="J90" s="29" t="s">
        <v>118</v>
      </c>
      <c r="K90" s="31" t="e">
        <f aca="false">P167</f>
        <v>#VALUE!</v>
      </c>
      <c r="L90" s="36"/>
      <c r="M90" s="36"/>
      <c r="N90" s="27"/>
      <c r="O90" s="27"/>
      <c r="P90" s="27"/>
      <c r="Q90" s="37"/>
      <c r="S90" s="29" t="s">
        <v>118</v>
      </c>
      <c r="T90" s="31" t="e">
        <f aca="false">Y167</f>
        <v>#VALUE!</v>
      </c>
      <c r="U90" s="36"/>
      <c r="V90" s="36"/>
      <c r="W90" s="27"/>
      <c r="X90" s="27"/>
      <c r="Y90" s="27"/>
      <c r="Z90" s="37"/>
      <c r="AB90" s="29" t="s">
        <v>118</v>
      </c>
      <c r="AC90" s="31" t="e">
        <f aca="false">AH167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119</v>
      </c>
      <c r="B91" s="37" t="n">
        <f aca="false">IF(A111="YES",A43,0)*1.2</f>
        <v>7200</v>
      </c>
      <c r="C91" s="36"/>
      <c r="D91" s="36"/>
      <c r="E91" s="27"/>
      <c r="F91" s="35" t="s">
        <v>119</v>
      </c>
      <c r="G91" s="37" t="n">
        <f aca="false">IF(A111="YES",A43,0)*1.2</f>
        <v>7200</v>
      </c>
      <c r="H91" s="37"/>
      <c r="J91" s="35" t="s">
        <v>119</v>
      </c>
      <c r="K91" s="37" t="n">
        <f aca="false">IF(J120="YES",A40,0)</f>
        <v>0</v>
      </c>
      <c r="L91" s="36"/>
      <c r="M91" s="36"/>
      <c r="N91" s="27"/>
      <c r="O91" s="27"/>
      <c r="P91" s="27"/>
      <c r="Q91" s="37"/>
      <c r="S91" s="35" t="s">
        <v>119</v>
      </c>
      <c r="T91" s="37" t="str">
        <f aca="false">A40</f>
        <v>12</v>
      </c>
      <c r="U91" s="36"/>
      <c r="V91" s="36"/>
      <c r="W91" s="27"/>
      <c r="X91" s="27"/>
      <c r="Y91" s="27"/>
      <c r="Z91" s="37"/>
      <c r="AB91" s="35" t="s">
        <v>119</v>
      </c>
      <c r="AC91" s="37" t="str">
        <f aca="false">A40</f>
        <v>12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35" t="s">
        <v>120</v>
      </c>
      <c r="B92" s="88" t="n">
        <f aca="false">B71+B72+B73</f>
        <v>0.1255</v>
      </c>
      <c r="C92" s="36"/>
      <c r="D92" s="36"/>
      <c r="E92" s="27"/>
      <c r="F92" s="35" t="s">
        <v>120</v>
      </c>
      <c r="G92" s="95" t="n">
        <f aca="false">B72</f>
        <v>0.065</v>
      </c>
      <c r="H92" s="37"/>
      <c r="J92" s="35" t="s">
        <v>120</v>
      </c>
      <c r="K92" s="88" t="n">
        <f aca="false">K71+K72+K73</f>
        <v>0.24</v>
      </c>
      <c r="L92" s="36"/>
      <c r="M92" s="36"/>
      <c r="N92" s="27"/>
      <c r="O92" s="27"/>
      <c r="P92" s="27"/>
      <c r="Q92" s="37"/>
      <c r="S92" s="35" t="s">
        <v>120</v>
      </c>
      <c r="T92" s="88" t="n">
        <f aca="false">T71+T72+T73</f>
        <v>0.1235</v>
      </c>
      <c r="U92" s="36"/>
      <c r="V92" s="36"/>
      <c r="W92" s="27"/>
      <c r="X92" s="27"/>
      <c r="Y92" s="27"/>
      <c r="Z92" s="37"/>
      <c r="AB92" s="35" t="s">
        <v>120</v>
      </c>
      <c r="AC92" s="88" t="n">
        <f aca="false">AC71+AC72+AC73</f>
        <v>0.1235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 t="s">
        <v>121</v>
      </c>
      <c r="B93" s="88" t="n">
        <f aca="false">B92/12</f>
        <v>0.0104583333333333</v>
      </c>
      <c r="C93" s="36"/>
      <c r="D93" s="36"/>
      <c r="E93" s="27"/>
      <c r="F93" s="35" t="s">
        <v>121</v>
      </c>
      <c r="G93" s="88" t="n">
        <f aca="false">G92/12</f>
        <v>0.00541666666666667</v>
      </c>
      <c r="H93" s="37"/>
      <c r="J93" s="35" t="s">
        <v>121</v>
      </c>
      <c r="K93" s="88" t="n">
        <f aca="false">K92/12</f>
        <v>0.02</v>
      </c>
      <c r="L93" s="36"/>
      <c r="M93" s="36"/>
      <c r="N93" s="27"/>
      <c r="O93" s="27"/>
      <c r="P93" s="27"/>
      <c r="Q93" s="37"/>
      <c r="S93" s="35" t="s">
        <v>121</v>
      </c>
      <c r="T93" s="88" t="n">
        <f aca="false">T92/12</f>
        <v>0.0102916666666667</v>
      </c>
      <c r="U93" s="36"/>
      <c r="V93" s="36"/>
      <c r="W93" s="27"/>
      <c r="X93" s="27"/>
      <c r="Y93" s="27"/>
      <c r="Z93" s="37"/>
      <c r="AB93" s="35" t="s">
        <v>121</v>
      </c>
      <c r="AC93" s="88" t="n">
        <f aca="false">AC92/12</f>
        <v>0.0102916666666667</v>
      </c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35" t="s">
        <v>122</v>
      </c>
      <c r="B94" s="37" t="n">
        <f aca="false">IF(B91=0,(B68+B67),(B68))</f>
        <v>11</v>
      </c>
      <c r="C94" s="36"/>
      <c r="D94" s="36"/>
      <c r="E94" s="27"/>
      <c r="F94" s="35" t="s">
        <v>122</v>
      </c>
      <c r="G94" s="37" t="n">
        <f aca="false">IF(G91=0,(B68+B67),(B68))</f>
        <v>11</v>
      </c>
      <c r="H94" s="37"/>
      <c r="J94" s="35" t="s">
        <v>122</v>
      </c>
      <c r="K94" s="37" t="n">
        <f aca="false">IF(K91=0,(K68+K67),(K68))</f>
        <v>12</v>
      </c>
      <c r="L94" s="36"/>
      <c r="M94" s="36"/>
      <c r="N94" s="27"/>
      <c r="O94" s="27"/>
      <c r="P94" s="27"/>
      <c r="Q94" s="37"/>
      <c r="S94" s="35" t="s">
        <v>122</v>
      </c>
      <c r="T94" s="37" t="n">
        <f aca="false">T68</f>
        <v>11</v>
      </c>
      <c r="U94" s="36"/>
      <c r="V94" s="36"/>
      <c r="W94" s="27"/>
      <c r="X94" s="27"/>
      <c r="Y94" s="27"/>
      <c r="Z94" s="37"/>
      <c r="AB94" s="35" t="s">
        <v>122</v>
      </c>
      <c r="AC94" s="37" t="n">
        <f aca="false">AC68</f>
        <v>11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35" t="s">
        <v>123</v>
      </c>
      <c r="B95" s="37" t="n">
        <f aca="false">(B91/((1+B93)^(B94+1)))</f>
        <v>6354.94179987962</v>
      </c>
      <c r="C95" s="36"/>
      <c r="D95" s="36"/>
      <c r="E95" s="27"/>
      <c r="F95" s="35" t="s">
        <v>123</v>
      </c>
      <c r="G95" s="37" t="n">
        <f aca="false">(G91/((1+G93)^(G94+1)))</f>
        <v>6748.06930144099</v>
      </c>
      <c r="H95" s="37"/>
      <c r="J95" s="35" t="s">
        <v>123</v>
      </c>
      <c r="K95" s="37" t="n">
        <f aca="false">(K91/((1+K93)^(K94+1)))</f>
        <v>0</v>
      </c>
      <c r="L95" s="36"/>
      <c r="M95" s="36"/>
      <c r="N95" s="27"/>
      <c r="O95" s="27"/>
      <c r="P95" s="27"/>
      <c r="Q95" s="37"/>
      <c r="S95" s="35" t="s">
        <v>123</v>
      </c>
      <c r="T95" s="37" t="n">
        <f aca="false">(T91/((1+T93)^(T94+1)))</f>
        <v>10.6125560515631</v>
      </c>
      <c r="U95" s="36"/>
      <c r="V95" s="36"/>
      <c r="W95" s="27"/>
      <c r="X95" s="27"/>
      <c r="Y95" s="27"/>
      <c r="Z95" s="37"/>
      <c r="AB95" s="35" t="s">
        <v>123</v>
      </c>
      <c r="AC95" s="37" t="n">
        <f aca="false">(AC91/((1+AC93)^(AC94+1)))</f>
        <v>10.6125560515631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35" t="s">
        <v>124</v>
      </c>
      <c r="B96" s="37" t="n">
        <f aca="false">((1-(1/((1+B93)^B94)))/B93)</f>
        <v>10.3399216528992</v>
      </c>
      <c r="C96" s="36"/>
      <c r="D96" s="36"/>
      <c r="E96" s="27"/>
      <c r="F96" s="35" t="s">
        <v>124</v>
      </c>
      <c r="G96" s="37" t="n">
        <f aca="false">((1-(1/((1+G93)^G94)))/G93)</f>
        <v>10.6507347822959</v>
      </c>
      <c r="H96" s="37"/>
      <c r="J96" s="35" t="s">
        <v>124</v>
      </c>
      <c r="K96" s="37" t="n">
        <f aca="false">((1-(1/((1+K93)^K94)))/K93)</f>
        <v>10.5753412209172</v>
      </c>
      <c r="L96" s="36"/>
      <c r="M96" s="36"/>
      <c r="N96" s="27"/>
      <c r="O96" s="27"/>
      <c r="P96" s="27"/>
      <c r="Q96" s="37"/>
      <c r="S96" s="35" t="s">
        <v>124</v>
      </c>
      <c r="T96" s="37" t="n">
        <f aca="false">((1-(1/((1+T93)^T94)))/T93)</f>
        <v>10.3499842839909</v>
      </c>
      <c r="U96" s="36"/>
      <c r="V96" s="36"/>
      <c r="W96" s="27"/>
      <c r="X96" s="27"/>
      <c r="Y96" s="27"/>
      <c r="Z96" s="37"/>
      <c r="AB96" s="35" t="s">
        <v>124</v>
      </c>
      <c r="AC96" s="37" t="n">
        <f aca="false">((1-(1/((1+AC93)^AC94)))/AC93)</f>
        <v>10.3499842839909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35" t="s">
        <v>125</v>
      </c>
      <c r="B97" s="37" t="n">
        <f aca="false">B90-B95</f>
        <v>9345.06220012039</v>
      </c>
      <c r="C97" s="36"/>
      <c r="D97" s="36"/>
      <c r="E97" s="27"/>
      <c r="F97" s="35" t="s">
        <v>125</v>
      </c>
      <c r="G97" s="37" t="n">
        <f aca="false">G90-G95</f>
        <v>8951.93469855901</v>
      </c>
      <c r="H97" s="37"/>
      <c r="J97" s="35" t="s">
        <v>125</v>
      </c>
      <c r="K97" s="37" t="e">
        <f aca="false">K90-K95</f>
        <v>#VALUE!</v>
      </c>
      <c r="L97" s="36"/>
      <c r="M97" s="36"/>
      <c r="N97" s="27"/>
      <c r="O97" s="27"/>
      <c r="P97" s="27"/>
      <c r="Q97" s="37"/>
      <c r="S97" s="35" t="s">
        <v>125</v>
      </c>
      <c r="T97" s="37" t="e">
        <f aca="false">T90-T95</f>
        <v>#VALUE!</v>
      </c>
      <c r="U97" s="36"/>
      <c r="V97" s="36"/>
      <c r="W97" s="27"/>
      <c r="X97" s="27"/>
      <c r="Y97" s="27"/>
      <c r="Z97" s="37"/>
      <c r="AB97" s="35" t="s">
        <v>125</v>
      </c>
      <c r="AC97" s="37" t="e">
        <f aca="false">AC90-AC95</f>
        <v>#VALUE!</v>
      </c>
      <c r="AD97" s="36"/>
      <c r="AE97" s="36"/>
      <c r="AF97" s="27"/>
      <c r="AG97" s="27"/>
      <c r="AH97" s="27"/>
      <c r="AI97" s="37"/>
    </row>
    <row r="98" customFormat="false" ht="18.75" hidden="false" customHeight="false" outlineLevel="0" collapsed="false">
      <c r="A98" s="35" t="s">
        <v>126</v>
      </c>
      <c r="B98" s="37" t="n">
        <f aca="false">(B97/B96)</f>
        <v>903.784623696847</v>
      </c>
      <c r="C98" s="36"/>
      <c r="D98" s="36"/>
      <c r="E98" s="27"/>
      <c r="F98" s="35" t="s">
        <v>126</v>
      </c>
      <c r="G98" s="37" t="n">
        <f aca="false">(G97/G96)</f>
        <v>840.499259585292</v>
      </c>
      <c r="H98" s="37"/>
      <c r="J98" s="35" t="s">
        <v>126</v>
      </c>
      <c r="K98" s="37" t="e">
        <f aca="false">(K97/K96)</f>
        <v>#VALUE!</v>
      </c>
      <c r="L98" s="36"/>
      <c r="M98" s="36"/>
      <c r="N98" s="27"/>
      <c r="O98" s="27"/>
      <c r="P98" s="27"/>
      <c r="Q98" s="37"/>
      <c r="S98" s="35" t="s">
        <v>126</v>
      </c>
      <c r="T98" s="37" t="e">
        <f aca="false">(T97/T96)</f>
        <v>#VALUE!</v>
      </c>
      <c r="U98" s="36"/>
      <c r="V98" s="36"/>
      <c r="W98" s="27"/>
      <c r="X98" s="27"/>
      <c r="Y98" s="27"/>
      <c r="Z98" s="37"/>
      <c r="AB98" s="35" t="s">
        <v>126</v>
      </c>
      <c r="AC98" s="37" t="e">
        <f aca="false">(AC97/AC96)</f>
        <v>#VALUE!</v>
      </c>
      <c r="AD98" s="36"/>
      <c r="AE98" s="36"/>
      <c r="AF98" s="27"/>
      <c r="AG98" s="27"/>
      <c r="AH98" s="27"/>
      <c r="AI98" s="37"/>
    </row>
    <row r="99" customFormat="false" ht="18.75" hidden="false" customHeight="false" outlineLevel="0" collapsed="false">
      <c r="A99" s="35" t="s">
        <v>127</v>
      </c>
      <c r="B99" s="37" t="n">
        <f aca="false">((B98*(B94))+B86)</f>
        <v>9941.63086066532</v>
      </c>
      <c r="C99" s="36"/>
      <c r="D99" s="36"/>
      <c r="E99" s="27"/>
      <c r="F99" s="35" t="s">
        <v>127</v>
      </c>
      <c r="G99" s="37" t="n">
        <f aca="false">((G98*(G94))+G86)</f>
        <v>9245.49185543821</v>
      </c>
      <c r="H99" s="37"/>
      <c r="J99" s="35" t="s">
        <v>127</v>
      </c>
      <c r="K99" s="37" t="e">
        <f aca="false">((K98*(K94))+K86)</f>
        <v>#VALUE!</v>
      </c>
      <c r="L99" s="36"/>
      <c r="M99" s="36"/>
      <c r="N99" s="27"/>
      <c r="O99" s="27"/>
      <c r="P99" s="27"/>
      <c r="Q99" s="37"/>
      <c r="S99" s="35" t="s">
        <v>127</v>
      </c>
      <c r="T99" s="37" t="e">
        <f aca="false">(T98*(T94))+T86</f>
        <v>#VALUE!</v>
      </c>
      <c r="U99" s="36"/>
      <c r="V99" s="36"/>
      <c r="W99" s="27"/>
      <c r="X99" s="27"/>
      <c r="Y99" s="27"/>
      <c r="Z99" s="37"/>
      <c r="AB99" s="35" t="s">
        <v>127</v>
      </c>
      <c r="AC99" s="37" t="e">
        <f aca="false">(AC98*(AC68))+AC86</f>
        <v>#VALUE!</v>
      </c>
      <c r="AD99" s="36"/>
      <c r="AE99" s="36"/>
      <c r="AF99" s="27"/>
      <c r="AG99" s="27"/>
      <c r="AH99" s="27"/>
      <c r="AI99" s="37"/>
    </row>
    <row r="100" customFormat="false" ht="18.75" hidden="false" customHeight="false" outlineLevel="0" collapsed="false">
      <c r="A100" s="35" t="s">
        <v>128</v>
      </c>
      <c r="B100" s="37" t="n">
        <f aca="false">(((B98*(B94))+B86)/(1-B80))*B80</f>
        <v>0</v>
      </c>
      <c r="C100" s="36"/>
      <c r="D100" s="36"/>
      <c r="E100" s="27"/>
      <c r="F100" s="35" t="s">
        <v>128</v>
      </c>
      <c r="G100" s="37" t="n">
        <f aca="false">(((G98*(G94))+G86)/(1-G80))*G80</f>
        <v>0</v>
      </c>
      <c r="H100" s="37"/>
      <c r="J100" s="35" t="s">
        <v>128</v>
      </c>
      <c r="K100" s="37" t="e">
        <f aca="false">(K99/(1-K80))*K80</f>
        <v>#VALUE!</v>
      </c>
      <c r="L100" s="36"/>
      <c r="M100" s="36"/>
      <c r="N100" s="27"/>
      <c r="O100" s="27"/>
      <c r="P100" s="27"/>
      <c r="Q100" s="37"/>
      <c r="S100" s="35" t="s">
        <v>128</v>
      </c>
      <c r="T100" s="37" t="e">
        <f aca="false">(T99/(1-T80))*T80</f>
        <v>#VALUE!</v>
      </c>
      <c r="U100" s="36"/>
      <c r="V100" s="36"/>
      <c r="W100" s="27"/>
      <c r="X100" s="27"/>
      <c r="Y100" s="27"/>
      <c r="Z100" s="37"/>
      <c r="AB100" s="35" t="s">
        <v>128</v>
      </c>
      <c r="AC100" s="37" t="e">
        <f aca="false">(AC99/(1-AC80))*AC80</f>
        <v>#VALUE!</v>
      </c>
      <c r="AD100" s="36"/>
      <c r="AE100" s="36"/>
      <c r="AF100" s="27"/>
      <c r="AG100" s="27"/>
      <c r="AH100" s="27"/>
      <c r="AI100" s="37"/>
    </row>
    <row r="101" customFormat="false" ht="18.75" hidden="false" customHeight="false" outlineLevel="0" collapsed="false">
      <c r="A101" s="60" t="s">
        <v>129</v>
      </c>
      <c r="B101" s="69" t="n">
        <f aca="false">(B99+B100)</f>
        <v>9941.63086066532</v>
      </c>
      <c r="C101" s="36"/>
      <c r="D101" s="36"/>
      <c r="E101" s="27"/>
      <c r="F101" s="60" t="s">
        <v>129</v>
      </c>
      <c r="G101" s="69" t="n">
        <f aca="false">(G99+G100)</f>
        <v>9245.49185543821</v>
      </c>
      <c r="H101" s="37"/>
      <c r="J101" s="60" t="s">
        <v>129</v>
      </c>
      <c r="K101" s="69" t="e">
        <f aca="false">(K99+K100)</f>
        <v>#VALUE!</v>
      </c>
      <c r="L101" s="36"/>
      <c r="M101" s="36"/>
      <c r="N101" s="27"/>
      <c r="O101" s="27"/>
      <c r="P101" s="27"/>
      <c r="Q101" s="37"/>
      <c r="S101" s="60" t="s">
        <v>129</v>
      </c>
      <c r="T101" s="69" t="e">
        <f aca="false">(T99+T100)</f>
        <v>#VALUE!</v>
      </c>
      <c r="U101" s="36"/>
      <c r="V101" s="36"/>
      <c r="W101" s="27"/>
      <c r="X101" s="27"/>
      <c r="Y101" s="27"/>
      <c r="Z101" s="37"/>
      <c r="AB101" s="60" t="s">
        <v>129</v>
      </c>
      <c r="AC101" s="69" t="e">
        <f aca="false">(AC99+AC100)</f>
        <v>#VALUE!</v>
      </c>
      <c r="AD101" s="36"/>
      <c r="AE101" s="36"/>
      <c r="AF101" s="27"/>
      <c r="AG101" s="27"/>
      <c r="AH101" s="27"/>
      <c r="AI101" s="37"/>
    </row>
    <row r="102" customFormat="false" ht="18.75" hidden="false" customHeight="false" outlineLevel="0" collapsed="false">
      <c r="A102" s="35"/>
      <c r="B102" s="36"/>
      <c r="C102" s="36"/>
      <c r="D102" s="36"/>
      <c r="E102" s="27"/>
      <c r="F102" s="35"/>
      <c r="G102" s="36"/>
      <c r="H102" s="37"/>
      <c r="J102" s="35"/>
      <c r="K102" s="36"/>
      <c r="L102" s="36"/>
      <c r="M102" s="36"/>
      <c r="N102" s="27"/>
      <c r="O102" s="27"/>
      <c r="P102" s="27"/>
      <c r="Q102" s="37"/>
      <c r="S102" s="35"/>
      <c r="T102" s="36"/>
      <c r="U102" s="36"/>
      <c r="V102" s="36"/>
      <c r="W102" s="27"/>
      <c r="X102" s="27"/>
      <c r="Y102" s="27"/>
      <c r="Z102" s="37"/>
      <c r="AB102" s="35"/>
      <c r="AC102" s="36"/>
      <c r="AD102" s="36"/>
      <c r="AE102" s="36"/>
      <c r="AF102" s="27"/>
      <c r="AG102" s="27"/>
      <c r="AH102" s="27"/>
      <c r="AI102" s="37"/>
    </row>
    <row r="103" customFormat="false" ht="18.75" hidden="false" customHeight="false" outlineLevel="0" collapsed="false">
      <c r="A103" s="92" t="s">
        <v>130</v>
      </c>
      <c r="B103" s="93" t="n">
        <f aca="false">((A46*A34)+((A46*A34)*A117))/(B68)*1.2</f>
        <v>85.0909090909091</v>
      </c>
      <c r="C103" s="36"/>
      <c r="D103" s="36"/>
      <c r="E103" s="27"/>
      <c r="F103" s="92" t="s">
        <v>130</v>
      </c>
      <c r="G103" s="96" t="str">
        <f aca="false">IF(B35="YES",((E49/B94)*(1+A117)*(C54/100)),"0")</f>
        <v>0</v>
      </c>
      <c r="H103" s="37"/>
      <c r="J103" s="92" t="s">
        <v>130</v>
      </c>
      <c r="K103" s="93" t="n">
        <f aca="false">((E40/K94)*(1+J117))*1.2</f>
        <v>0</v>
      </c>
      <c r="L103" s="36"/>
      <c r="M103" s="36"/>
      <c r="N103" s="27"/>
      <c r="O103" s="27"/>
      <c r="P103" s="27"/>
      <c r="Q103" s="37"/>
      <c r="S103" s="92" t="s">
        <v>130</v>
      </c>
      <c r="T103" s="93" t="n">
        <f aca="false">((E40/T94)*(1+S117))</f>
        <v>0</v>
      </c>
      <c r="U103" s="36"/>
      <c r="V103" s="36"/>
      <c r="W103" s="27"/>
      <c r="X103" s="27"/>
      <c r="Y103" s="27"/>
      <c r="Z103" s="37"/>
      <c r="AB103" s="92" t="s">
        <v>130</v>
      </c>
      <c r="AC103" s="93" t="n">
        <f aca="false">((E40/AC94)*(1+AB117))*1.2</f>
        <v>0</v>
      </c>
      <c r="AD103" s="36"/>
      <c r="AE103" s="36"/>
      <c r="AF103" s="27"/>
      <c r="AG103" s="27"/>
      <c r="AH103" s="27"/>
      <c r="AI103" s="37"/>
    </row>
    <row r="104" customFormat="false" ht="18.75" hidden="false" customHeight="false" outlineLevel="0" collapsed="false">
      <c r="A104" s="97" t="s">
        <v>131</v>
      </c>
      <c r="B104" s="98" t="n">
        <f aca="false">B101/(B94)</f>
        <v>903.784623696847</v>
      </c>
      <c r="C104" s="36"/>
      <c r="D104" s="36"/>
      <c r="E104" s="27"/>
      <c r="F104" s="97" t="s">
        <v>131</v>
      </c>
      <c r="G104" s="98" t="n">
        <f aca="false">G101/(G94)</f>
        <v>840.499259585292</v>
      </c>
      <c r="H104" s="37"/>
      <c r="J104" s="97" t="s">
        <v>131</v>
      </c>
      <c r="K104" s="98" t="e">
        <f aca="false">K101/(K94)</f>
        <v>#VALUE!</v>
      </c>
      <c r="L104" s="36"/>
      <c r="M104" s="36"/>
      <c r="N104" s="27"/>
      <c r="O104" s="27"/>
      <c r="P104" s="27"/>
      <c r="Q104" s="37"/>
      <c r="S104" s="97" t="s">
        <v>131</v>
      </c>
      <c r="T104" s="98" t="e">
        <f aca="false">T101/(T94)</f>
        <v>#VALUE!</v>
      </c>
      <c r="U104" s="36"/>
      <c r="V104" s="36"/>
      <c r="W104" s="27"/>
      <c r="X104" s="27"/>
      <c r="Y104" s="27"/>
      <c r="Z104" s="37"/>
      <c r="AB104" s="97" t="s">
        <v>131</v>
      </c>
      <c r="AC104" s="98" t="e">
        <f aca="false">AC101/(AC68)</f>
        <v>#VALUE!</v>
      </c>
      <c r="AD104" s="36"/>
      <c r="AE104" s="36"/>
      <c r="AF104" s="27"/>
      <c r="AG104" s="27"/>
      <c r="AH104" s="27"/>
      <c r="AI104" s="37"/>
    </row>
    <row r="105" customFormat="false" ht="18.75" hidden="false" customHeight="false" outlineLevel="0" collapsed="false">
      <c r="A105" s="99" t="s">
        <v>132</v>
      </c>
      <c r="B105" s="100" t="n">
        <f aca="false">B103+B104</f>
        <v>988.875532787756</v>
      </c>
      <c r="C105" s="36"/>
      <c r="D105" s="36"/>
      <c r="E105" s="27" t="s">
        <v>31</v>
      </c>
      <c r="F105" s="99" t="s">
        <v>132</v>
      </c>
      <c r="G105" s="100" t="n">
        <f aca="false">G103+G104</f>
        <v>840.499259585292</v>
      </c>
      <c r="H105" s="37"/>
      <c r="J105" s="99" t="s">
        <v>132</v>
      </c>
      <c r="K105" s="100" t="e">
        <f aca="false">(K103+K104)</f>
        <v>#VALUE!</v>
      </c>
      <c r="L105" s="36"/>
      <c r="M105" s="36"/>
      <c r="N105" s="27"/>
      <c r="O105" s="27"/>
      <c r="P105" s="27"/>
      <c r="Q105" s="37"/>
      <c r="S105" s="99" t="s">
        <v>132</v>
      </c>
      <c r="T105" s="100" t="e">
        <f aca="false">T103+T104</f>
        <v>#VALUE!</v>
      </c>
      <c r="U105" s="36"/>
      <c r="V105" s="36"/>
      <c r="W105" s="27"/>
      <c r="X105" s="27"/>
      <c r="Y105" s="27"/>
      <c r="Z105" s="37"/>
      <c r="AB105" s="99" t="s">
        <v>132</v>
      </c>
      <c r="AC105" s="100" t="e">
        <f aca="false">AC103+AC104</f>
        <v>#VALUE!</v>
      </c>
      <c r="AD105" s="36"/>
      <c r="AE105" s="36"/>
      <c r="AF105" s="27"/>
      <c r="AG105" s="27"/>
      <c r="AH105" s="27"/>
      <c r="AI105" s="37"/>
    </row>
    <row r="106" customFormat="false" ht="18.75" hidden="false" customHeight="false" outlineLevel="0" collapsed="false">
      <c r="A106" s="60"/>
      <c r="B106" s="61"/>
      <c r="C106" s="61"/>
      <c r="D106" s="61"/>
      <c r="E106" s="101"/>
      <c r="F106" s="101"/>
      <c r="G106" s="101"/>
      <c r="H106" s="69"/>
      <c r="J106" s="60"/>
      <c r="K106" s="61"/>
      <c r="L106" s="61"/>
      <c r="M106" s="61"/>
      <c r="N106" s="101"/>
      <c r="O106" s="101"/>
      <c r="P106" s="101"/>
      <c r="Q106" s="69"/>
      <c r="S106" s="60"/>
      <c r="T106" s="61"/>
      <c r="U106" s="61"/>
      <c r="V106" s="61"/>
      <c r="W106" s="101"/>
      <c r="X106" s="101"/>
      <c r="Y106" s="101"/>
      <c r="Z106" s="69"/>
      <c r="AB106" s="60"/>
      <c r="AC106" s="61"/>
      <c r="AD106" s="61"/>
      <c r="AE106" s="61"/>
      <c r="AF106" s="101"/>
      <c r="AG106" s="101"/>
      <c r="AH106" s="101"/>
      <c r="AI106" s="69"/>
    </row>
    <row r="107" customFormat="false" ht="18.7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J107" s="27"/>
      <c r="K107" s="27"/>
      <c r="L107" s="27"/>
      <c r="M107" s="27"/>
      <c r="N107" s="27"/>
      <c r="O107" s="27"/>
      <c r="P107" s="27"/>
      <c r="Q107" s="27"/>
      <c r="S107" s="27"/>
      <c r="T107" s="27"/>
      <c r="U107" s="27"/>
      <c r="V107" s="27"/>
      <c r="W107" s="27"/>
      <c r="X107" s="27"/>
      <c r="Y107" s="27"/>
      <c r="Z107" s="27"/>
      <c r="AB107" s="27"/>
      <c r="AC107" s="27"/>
      <c r="AD107" s="27"/>
      <c r="AE107" s="27"/>
      <c r="AF107" s="27"/>
      <c r="AG107" s="27"/>
      <c r="AH107" s="27"/>
      <c r="AI107" s="27"/>
    </row>
    <row r="108" customFormat="false" ht="18.75" hidden="false" customHeight="false" outlineLevel="0" collapsed="false">
      <c r="A108" s="27" t="n">
        <v>0.2</v>
      </c>
      <c r="B108" s="27" t="n">
        <v>0</v>
      </c>
      <c r="C108" s="27"/>
      <c r="D108" s="27" t="n">
        <v>0</v>
      </c>
      <c r="E108" s="27"/>
      <c r="F108" s="27"/>
      <c r="G108" s="27"/>
      <c r="H108" s="27"/>
      <c r="J108" s="27"/>
      <c r="K108" s="27"/>
      <c r="L108" s="27"/>
      <c r="M108" s="27"/>
      <c r="N108" s="27"/>
      <c r="O108" s="27"/>
      <c r="P108" s="27"/>
      <c r="Q108" s="27"/>
      <c r="S108" s="27"/>
      <c r="T108" s="27"/>
      <c r="U108" s="27"/>
      <c r="V108" s="27"/>
      <c r="W108" s="27"/>
      <c r="X108" s="27"/>
      <c r="Y108" s="27"/>
      <c r="Z108" s="27"/>
      <c r="AB108" s="27"/>
      <c r="AC108" s="27"/>
      <c r="AD108" s="27"/>
      <c r="AE108" s="27"/>
      <c r="AF108" s="27"/>
      <c r="AG108" s="27"/>
      <c r="AH108" s="27"/>
      <c r="AI108" s="27"/>
    </row>
    <row r="109" customFormat="false" ht="47.25" hidden="false" customHeight="true" outlineLevel="0" collapsed="false">
      <c r="A109" s="102" t="s">
        <v>133</v>
      </c>
      <c r="B109" s="102"/>
      <c r="C109" s="102"/>
      <c r="D109" s="102"/>
      <c r="E109" s="102"/>
      <c r="F109" s="102"/>
      <c r="G109" s="102"/>
      <c r="H109" s="102"/>
      <c r="J109" s="28" t="s">
        <v>134</v>
      </c>
      <c r="K109" s="28"/>
      <c r="L109" s="28"/>
      <c r="M109" s="28"/>
      <c r="N109" s="28"/>
      <c r="O109" s="28"/>
      <c r="P109" s="28"/>
      <c r="Q109" s="28"/>
      <c r="S109" s="102" t="s">
        <v>135</v>
      </c>
      <c r="T109" s="102"/>
      <c r="U109" s="102"/>
      <c r="V109" s="102"/>
      <c r="W109" s="102"/>
      <c r="X109" s="102"/>
      <c r="Y109" s="102"/>
      <c r="Z109" s="102"/>
      <c r="AB109" s="102" t="s">
        <v>136</v>
      </c>
      <c r="AC109" s="102"/>
      <c r="AD109" s="102"/>
      <c r="AE109" s="102"/>
      <c r="AF109" s="102"/>
      <c r="AG109" s="102"/>
      <c r="AH109" s="102"/>
      <c r="AI109" s="102"/>
    </row>
    <row r="110" customFormat="false" ht="18.75" hidden="false" customHeight="false" outlineLevel="0" collapsed="false">
      <c r="A110" s="29"/>
      <c r="B110" s="30"/>
      <c r="C110" s="30"/>
      <c r="D110" s="30"/>
      <c r="E110" s="79"/>
      <c r="F110" s="79"/>
      <c r="G110" s="79"/>
      <c r="H110" s="103"/>
      <c r="J110" s="29"/>
      <c r="K110" s="30"/>
      <c r="L110" s="30"/>
      <c r="M110" s="30"/>
      <c r="N110" s="79"/>
      <c r="O110" s="79"/>
      <c r="P110" s="79"/>
      <c r="Q110" s="103"/>
      <c r="S110" s="29"/>
      <c r="T110" s="30"/>
      <c r="U110" s="30"/>
      <c r="V110" s="30"/>
      <c r="W110" s="79"/>
      <c r="X110" s="79"/>
      <c r="Y110" s="79"/>
      <c r="Z110" s="103"/>
      <c r="AB110" s="29"/>
      <c r="AC110" s="30"/>
      <c r="AD110" s="30"/>
      <c r="AE110" s="30"/>
      <c r="AF110" s="79"/>
      <c r="AG110" s="79"/>
      <c r="AH110" s="79"/>
      <c r="AI110" s="103"/>
    </row>
    <row r="111" customFormat="false" ht="22.05" hidden="false" customHeight="false" outlineLevel="0" collapsed="false">
      <c r="A111" s="32" t="s">
        <v>31</v>
      </c>
      <c r="B111" s="32" t="n">
        <v>0</v>
      </c>
      <c r="C111" s="32"/>
      <c r="D111" s="32"/>
      <c r="E111" s="32" t="n">
        <v>0</v>
      </c>
      <c r="F111" s="32"/>
      <c r="G111" s="32"/>
      <c r="H111" s="32"/>
      <c r="J111" s="32" t="s">
        <v>137</v>
      </c>
      <c r="K111" s="32"/>
      <c r="L111" s="32"/>
      <c r="M111" s="32"/>
      <c r="N111" s="32"/>
      <c r="O111" s="32"/>
      <c r="P111" s="32"/>
      <c r="Q111" s="32"/>
      <c r="S111" s="32" t="s">
        <v>137</v>
      </c>
      <c r="T111" s="32"/>
      <c r="U111" s="32"/>
      <c r="V111" s="32"/>
      <c r="W111" s="32"/>
      <c r="X111" s="32"/>
      <c r="Y111" s="32"/>
      <c r="Z111" s="32"/>
      <c r="AB111" s="32" t="s">
        <v>137</v>
      </c>
      <c r="AC111" s="32"/>
      <c r="AD111" s="32"/>
      <c r="AE111" s="32"/>
      <c r="AF111" s="32"/>
      <c r="AG111" s="32"/>
      <c r="AH111" s="32"/>
      <c r="AI111" s="32"/>
    </row>
    <row r="112" customFormat="false" ht="18.75" hidden="false" customHeight="false" outlineLevel="0" collapsed="false">
      <c r="A112" s="35"/>
      <c r="B112" s="36"/>
      <c r="C112" s="36"/>
      <c r="D112" s="36"/>
      <c r="E112" s="27"/>
      <c r="F112" s="27"/>
      <c r="G112" s="27"/>
      <c r="H112" s="104"/>
      <c r="J112" s="35"/>
      <c r="K112" s="36"/>
      <c r="L112" s="36"/>
      <c r="M112" s="36"/>
      <c r="N112" s="27"/>
      <c r="O112" s="27"/>
      <c r="P112" s="27"/>
      <c r="Q112" s="104"/>
      <c r="S112" s="35"/>
      <c r="T112" s="36"/>
      <c r="U112" s="36"/>
      <c r="V112" s="36"/>
      <c r="W112" s="27"/>
      <c r="X112" s="27"/>
      <c r="Y112" s="27"/>
      <c r="Z112" s="104"/>
      <c r="AB112" s="35"/>
      <c r="AC112" s="36"/>
      <c r="AD112" s="36"/>
      <c r="AE112" s="36"/>
      <c r="AF112" s="27"/>
      <c r="AG112" s="27"/>
      <c r="AH112" s="27"/>
      <c r="AI112" s="104"/>
    </row>
    <row r="113" customFormat="false" ht="18.75" hidden="false" customHeight="false" outlineLevel="0" collapsed="false">
      <c r="A113" s="35" t="s">
        <v>138</v>
      </c>
      <c r="B113" s="36" t="s">
        <v>36</v>
      </c>
      <c r="C113" s="36"/>
      <c r="D113" s="36"/>
      <c r="E113" s="36" t="s">
        <v>139</v>
      </c>
      <c r="F113" s="36"/>
      <c r="G113" s="36"/>
      <c r="H113" s="37"/>
      <c r="J113" s="35" t="s">
        <v>138</v>
      </c>
      <c r="K113" s="36" t="s">
        <v>36</v>
      </c>
      <c r="L113" s="36"/>
      <c r="M113" s="36"/>
      <c r="N113" s="36" t="s">
        <v>139</v>
      </c>
      <c r="O113" s="36"/>
      <c r="P113" s="36"/>
      <c r="Q113" s="37"/>
      <c r="S113" s="35" t="s">
        <v>138</v>
      </c>
      <c r="T113" s="36" t="s">
        <v>36</v>
      </c>
      <c r="U113" s="36"/>
      <c r="V113" s="36"/>
      <c r="W113" s="36" t="s">
        <v>139</v>
      </c>
      <c r="X113" s="36"/>
      <c r="Y113" s="36"/>
      <c r="Z113" s="37"/>
      <c r="AB113" s="35" t="s">
        <v>138</v>
      </c>
      <c r="AC113" s="36" t="s">
        <v>36</v>
      </c>
      <c r="AD113" s="36"/>
      <c r="AE113" s="36"/>
      <c r="AF113" s="36" t="s">
        <v>139</v>
      </c>
      <c r="AG113" s="36"/>
      <c r="AH113" s="36"/>
      <c r="AI113" s="37"/>
    </row>
    <row r="114" customFormat="false" ht="18.75" hidden="false" customHeight="false" outlineLevel="0" collapsed="false">
      <c r="A114" s="40" t="s">
        <v>140</v>
      </c>
      <c r="B114" s="105" t="n">
        <v>239.99</v>
      </c>
      <c r="C114" s="105"/>
      <c r="D114" s="105"/>
      <c r="E114" s="106" t="s">
        <v>32</v>
      </c>
      <c r="F114" s="106"/>
      <c r="G114" s="106"/>
      <c r="H114" s="104"/>
      <c r="J114" s="40" t="s">
        <v>140</v>
      </c>
      <c r="K114" s="107" t="s">
        <v>141</v>
      </c>
      <c r="L114" s="107"/>
      <c r="M114" s="107"/>
      <c r="N114" s="106" t="s">
        <v>31</v>
      </c>
      <c r="O114" s="106"/>
      <c r="P114" s="106"/>
      <c r="Q114" s="104"/>
      <c r="S114" s="40" t="s">
        <v>140</v>
      </c>
      <c r="T114" s="105" t="s">
        <v>141</v>
      </c>
      <c r="U114" s="105"/>
      <c r="V114" s="105"/>
      <c r="W114" s="106" t="s">
        <v>31</v>
      </c>
      <c r="X114" s="106"/>
      <c r="Y114" s="106"/>
      <c r="Z114" s="104"/>
      <c r="AB114" s="40" t="s">
        <v>140</v>
      </c>
      <c r="AC114" s="105" t="s">
        <v>141</v>
      </c>
      <c r="AD114" s="105"/>
      <c r="AE114" s="105"/>
      <c r="AF114" s="106" t="s">
        <v>31</v>
      </c>
      <c r="AG114" s="106"/>
      <c r="AH114" s="106"/>
      <c r="AI114" s="104"/>
    </row>
    <row r="115" customFormat="false" ht="18.75" hidden="false" customHeight="false" outlineLevel="0" collapsed="false">
      <c r="A115" s="35"/>
      <c r="B115" s="36"/>
      <c r="C115" s="36"/>
      <c r="D115" s="27"/>
      <c r="E115" s="36"/>
      <c r="F115" s="36"/>
      <c r="G115" s="27"/>
      <c r="H115" s="37"/>
      <c r="J115" s="35"/>
      <c r="K115" s="36"/>
      <c r="L115" s="36"/>
      <c r="M115" s="27"/>
      <c r="N115" s="36"/>
      <c r="O115" s="36"/>
      <c r="P115" s="27"/>
      <c r="Q115" s="37"/>
      <c r="S115" s="35"/>
      <c r="T115" s="36"/>
      <c r="U115" s="36"/>
      <c r="V115" s="27"/>
      <c r="W115" s="36"/>
      <c r="X115" s="36"/>
      <c r="Y115" s="27"/>
      <c r="Z115" s="37"/>
      <c r="AB115" s="35"/>
      <c r="AC115" s="36"/>
      <c r="AD115" s="36"/>
      <c r="AE115" s="27"/>
      <c r="AF115" s="36"/>
      <c r="AG115" s="36"/>
      <c r="AH115" s="27"/>
      <c r="AI115" s="37"/>
    </row>
    <row r="116" customFormat="false" ht="18.75" hidden="false" customHeight="false" outlineLevel="0" collapsed="false">
      <c r="A116" s="35" t="s">
        <v>142</v>
      </c>
      <c r="B116" s="36" t="s">
        <v>143</v>
      </c>
      <c r="C116" s="36"/>
      <c r="D116" s="27"/>
      <c r="E116" s="36" t="s">
        <v>144</v>
      </c>
      <c r="F116" s="36"/>
      <c r="G116" s="27"/>
      <c r="H116" s="104"/>
      <c r="J116" s="35" t="s">
        <v>142</v>
      </c>
      <c r="K116" s="36" t="s">
        <v>143</v>
      </c>
      <c r="L116" s="36"/>
      <c r="M116" s="27"/>
      <c r="N116" s="36" t="s">
        <v>144</v>
      </c>
      <c r="O116" s="36"/>
      <c r="P116" s="27"/>
      <c r="Q116" s="104"/>
      <c r="S116" s="35" t="s">
        <v>142</v>
      </c>
      <c r="T116" s="36" t="s">
        <v>143</v>
      </c>
      <c r="U116" s="36"/>
      <c r="V116" s="27"/>
      <c r="W116" s="36" t="s">
        <v>144</v>
      </c>
      <c r="X116" s="36"/>
      <c r="Y116" s="27"/>
      <c r="Z116" s="104"/>
      <c r="AB116" s="35" t="s">
        <v>142</v>
      </c>
      <c r="AC116" s="36" t="s">
        <v>143</v>
      </c>
      <c r="AD116" s="36"/>
      <c r="AE116" s="27"/>
      <c r="AF116" s="36" t="s">
        <v>144</v>
      </c>
      <c r="AG116" s="36"/>
      <c r="AH116" s="27"/>
      <c r="AI116" s="104"/>
    </row>
    <row r="117" customFormat="false" ht="18.75" hidden="false" customHeight="false" outlineLevel="0" collapsed="false">
      <c r="A117" s="108" t="n">
        <v>0.2</v>
      </c>
      <c r="B117" s="109" t="s">
        <v>145</v>
      </c>
      <c r="C117" s="109"/>
      <c r="D117" s="109"/>
      <c r="E117" s="110" t="n">
        <f aca="false">B92</f>
        <v>0.1255</v>
      </c>
      <c r="F117" s="110"/>
      <c r="G117" s="110"/>
      <c r="H117" s="51"/>
      <c r="J117" s="108" t="n">
        <v>0.3</v>
      </c>
      <c r="K117" s="109" t="s">
        <v>145</v>
      </c>
      <c r="L117" s="109"/>
      <c r="M117" s="109"/>
      <c r="N117" s="110" t="n">
        <f aca="false">K92</f>
        <v>0.24</v>
      </c>
      <c r="O117" s="110"/>
      <c r="P117" s="110"/>
      <c r="Q117" s="51"/>
      <c r="S117" s="108" t="n">
        <v>0.2</v>
      </c>
      <c r="T117" s="109" t="s">
        <v>146</v>
      </c>
      <c r="U117" s="109"/>
      <c r="V117" s="109"/>
      <c r="W117" s="110" t="n">
        <f aca="false">T92</f>
        <v>0.1235</v>
      </c>
      <c r="X117" s="110"/>
      <c r="Y117" s="110"/>
      <c r="Z117" s="51"/>
      <c r="AB117" s="108" t="n">
        <v>0.2</v>
      </c>
      <c r="AC117" s="109" t="s">
        <v>146</v>
      </c>
      <c r="AD117" s="109"/>
      <c r="AE117" s="109"/>
      <c r="AF117" s="111" t="n">
        <f aca="false">AC92</f>
        <v>0.1235</v>
      </c>
      <c r="AG117" s="111"/>
      <c r="AH117" s="111"/>
      <c r="AI117" s="51"/>
      <c r="AP117" s="6" t="s">
        <v>147</v>
      </c>
    </row>
    <row r="118" customFormat="false" ht="18.75" hidden="false" customHeight="false" outlineLevel="0" collapsed="false">
      <c r="A118" s="35"/>
      <c r="B118" s="36"/>
      <c r="C118" s="36"/>
      <c r="D118" s="36"/>
      <c r="E118" s="36"/>
      <c r="F118" s="36"/>
      <c r="G118" s="36"/>
      <c r="H118" s="37"/>
      <c r="J118" s="35"/>
      <c r="K118" s="36"/>
      <c r="L118" s="36"/>
      <c r="M118" s="36"/>
      <c r="N118" s="36"/>
      <c r="O118" s="36"/>
      <c r="P118" s="36"/>
      <c r="Q118" s="37"/>
      <c r="S118" s="35"/>
      <c r="T118" s="36"/>
      <c r="U118" s="36"/>
      <c r="V118" s="36"/>
      <c r="W118" s="36"/>
      <c r="X118" s="36"/>
      <c r="Y118" s="36"/>
      <c r="Z118" s="37"/>
      <c r="AB118" s="35"/>
      <c r="AC118" s="36"/>
      <c r="AD118" s="36"/>
      <c r="AE118" s="36"/>
      <c r="AF118" s="36"/>
      <c r="AG118" s="36"/>
      <c r="AH118" s="36"/>
      <c r="AI118" s="37"/>
      <c r="AP118" s="6" t="s">
        <v>145</v>
      </c>
    </row>
    <row r="119" customFormat="false" ht="18.75" hidden="false" customHeight="false" outlineLevel="0" collapsed="false">
      <c r="A119" s="35" t="s">
        <v>148</v>
      </c>
      <c r="B119" s="36" t="s">
        <v>149</v>
      </c>
      <c r="C119" s="36"/>
      <c r="D119" s="36"/>
      <c r="E119" s="36" t="s">
        <v>150</v>
      </c>
      <c r="F119" s="36"/>
      <c r="G119" s="36"/>
      <c r="H119" s="37"/>
      <c r="J119" s="35" t="s">
        <v>148</v>
      </c>
      <c r="K119" s="36" t="s">
        <v>149</v>
      </c>
      <c r="L119" s="36"/>
      <c r="M119" s="36"/>
      <c r="N119" s="36" t="s">
        <v>150</v>
      </c>
      <c r="O119" s="36"/>
      <c r="P119" s="36"/>
      <c r="Q119" s="37"/>
      <c r="S119" s="35" t="s">
        <v>148</v>
      </c>
      <c r="T119" s="36" t="s">
        <v>149</v>
      </c>
      <c r="U119" s="36"/>
      <c r="V119" s="36"/>
      <c r="W119" s="36" t="s">
        <v>150</v>
      </c>
      <c r="X119" s="36"/>
      <c r="Y119" s="36"/>
      <c r="Z119" s="37"/>
      <c r="AB119" s="35" t="s">
        <v>148</v>
      </c>
      <c r="AC119" s="36" t="s">
        <v>149</v>
      </c>
      <c r="AD119" s="36"/>
      <c r="AE119" s="36"/>
      <c r="AF119" s="36" t="s">
        <v>150</v>
      </c>
      <c r="AG119" s="36"/>
      <c r="AH119" s="36"/>
      <c r="AI119" s="37"/>
    </row>
    <row r="120" customFormat="false" ht="18.75" hidden="false" customHeight="false" outlineLevel="0" collapsed="false">
      <c r="A120" s="44" t="s">
        <v>31</v>
      </c>
      <c r="B120" s="109" t="n">
        <v>0</v>
      </c>
      <c r="C120" s="109"/>
      <c r="D120" s="109"/>
      <c r="E120" s="109" t="n">
        <v>0</v>
      </c>
      <c r="F120" s="109"/>
      <c r="G120" s="109"/>
      <c r="H120" s="104"/>
      <c r="J120" s="44" t="s">
        <v>32</v>
      </c>
      <c r="K120" s="109" t="n">
        <v>1000</v>
      </c>
      <c r="L120" s="109"/>
      <c r="M120" s="109"/>
      <c r="N120" s="109" t="n">
        <v>0</v>
      </c>
      <c r="O120" s="109"/>
      <c r="P120" s="109"/>
      <c r="Q120" s="104"/>
      <c r="S120" s="44" t="s">
        <v>31</v>
      </c>
      <c r="T120" s="109" t="n">
        <v>1000</v>
      </c>
      <c r="U120" s="109"/>
      <c r="V120" s="109"/>
      <c r="W120" s="109" t="n">
        <v>0</v>
      </c>
      <c r="X120" s="109"/>
      <c r="Y120" s="109"/>
      <c r="Z120" s="104"/>
      <c r="AB120" s="44" t="s">
        <v>31</v>
      </c>
      <c r="AC120" s="109" t="n">
        <v>1000</v>
      </c>
      <c r="AD120" s="109"/>
      <c r="AE120" s="109"/>
      <c r="AF120" s="109" t="n">
        <v>0</v>
      </c>
      <c r="AG120" s="109"/>
      <c r="AH120" s="109"/>
      <c r="AI120" s="104"/>
    </row>
    <row r="121" customFormat="false" ht="18.75" hidden="false" customHeight="false" outlineLevel="0" collapsed="false">
      <c r="A121" s="35"/>
      <c r="B121" s="36"/>
      <c r="C121" s="36"/>
      <c r="D121" s="36"/>
      <c r="E121" s="36"/>
      <c r="F121" s="36"/>
      <c r="G121" s="27"/>
      <c r="H121" s="104"/>
      <c r="J121" s="35"/>
      <c r="K121" s="36"/>
      <c r="L121" s="36"/>
      <c r="M121" s="36"/>
      <c r="N121" s="36"/>
      <c r="O121" s="36"/>
      <c r="P121" s="27"/>
      <c r="Q121" s="104"/>
      <c r="S121" s="35"/>
      <c r="T121" s="36"/>
      <c r="U121" s="36"/>
      <c r="V121" s="36"/>
      <c r="W121" s="36"/>
      <c r="X121" s="36"/>
      <c r="Y121" s="27"/>
      <c r="Z121" s="104"/>
      <c r="AB121" s="35"/>
      <c r="AC121" s="36"/>
      <c r="AD121" s="36"/>
      <c r="AE121" s="36"/>
      <c r="AF121" s="36"/>
      <c r="AG121" s="36"/>
      <c r="AH121" s="27"/>
      <c r="AI121" s="104"/>
    </row>
    <row r="122" customFormat="false" ht="18.75" hidden="false" customHeight="false" outlineLevel="0" collapsed="false">
      <c r="A122" s="112" t="s">
        <v>151</v>
      </c>
      <c r="B122" s="36" t="s">
        <v>152</v>
      </c>
      <c r="C122" s="36"/>
      <c r="D122" s="36"/>
      <c r="E122" s="36" t="s">
        <v>153</v>
      </c>
      <c r="F122" s="36"/>
      <c r="G122" s="27"/>
      <c r="H122" s="104"/>
      <c r="J122" s="112" t="s">
        <v>151</v>
      </c>
      <c r="K122" s="36" t="s">
        <v>152</v>
      </c>
      <c r="L122" s="36"/>
      <c r="M122" s="36"/>
      <c r="N122" s="36" t="s">
        <v>153</v>
      </c>
      <c r="O122" s="36"/>
      <c r="P122" s="27"/>
      <c r="Q122" s="104"/>
      <c r="S122" s="112" t="s">
        <v>151</v>
      </c>
      <c r="T122" s="36" t="s">
        <v>152</v>
      </c>
      <c r="U122" s="36"/>
      <c r="V122" s="36"/>
      <c r="W122" s="36" t="s">
        <v>153</v>
      </c>
      <c r="X122" s="36"/>
      <c r="Y122" s="27"/>
      <c r="Z122" s="104"/>
      <c r="AB122" s="112" t="s">
        <v>151</v>
      </c>
      <c r="AC122" s="36" t="s">
        <v>152</v>
      </c>
      <c r="AD122" s="36"/>
      <c r="AE122" s="36"/>
      <c r="AF122" s="36" t="s">
        <v>153</v>
      </c>
      <c r="AG122" s="36"/>
      <c r="AH122" s="27"/>
      <c r="AI122" s="104"/>
    </row>
    <row r="123" customFormat="false" ht="18.75" hidden="false" customHeight="false" outlineLevel="0" collapsed="false">
      <c r="A123" s="113" t="n">
        <f aca="false">B120+E120</f>
        <v>0</v>
      </c>
      <c r="B123" s="109" t="n">
        <v>239.99</v>
      </c>
      <c r="C123" s="109"/>
      <c r="D123" s="109"/>
      <c r="E123" s="109" t="n">
        <v>0</v>
      </c>
      <c r="F123" s="109"/>
      <c r="G123" s="109"/>
      <c r="H123" s="104"/>
      <c r="J123" s="113" t="n">
        <f aca="false">K120+N120</f>
        <v>1000</v>
      </c>
      <c r="K123" s="109" t="n">
        <v>239.99</v>
      </c>
      <c r="L123" s="109"/>
      <c r="M123" s="109"/>
      <c r="N123" s="109" t="n">
        <v>0</v>
      </c>
      <c r="O123" s="109"/>
      <c r="P123" s="109"/>
      <c r="Q123" s="104"/>
      <c r="S123" s="113" t="n">
        <f aca="false">T120+W120</f>
        <v>1000</v>
      </c>
      <c r="T123" s="109" t="n">
        <v>199.99</v>
      </c>
      <c r="U123" s="109"/>
      <c r="V123" s="109"/>
      <c r="W123" s="109" t="n">
        <v>0</v>
      </c>
      <c r="X123" s="109"/>
      <c r="Y123" s="109"/>
      <c r="Z123" s="104"/>
      <c r="AB123" s="113" t="n">
        <f aca="false">AC120+AF120</f>
        <v>1000</v>
      </c>
      <c r="AC123" s="109" t="n">
        <v>239.99</v>
      </c>
      <c r="AD123" s="109"/>
      <c r="AE123" s="109"/>
      <c r="AF123" s="109" t="n">
        <v>0</v>
      </c>
      <c r="AG123" s="109"/>
      <c r="AH123" s="109"/>
      <c r="AI123" s="104"/>
    </row>
    <row r="124" customFormat="false" ht="18.75" hidden="false" customHeight="false" outlineLevel="0" collapsed="false">
      <c r="A124" s="114"/>
      <c r="B124" s="27"/>
      <c r="C124" s="27"/>
      <c r="D124" s="27"/>
      <c r="E124" s="27"/>
      <c r="F124" s="27"/>
      <c r="G124" s="27"/>
      <c r="H124" s="104"/>
      <c r="J124" s="114"/>
      <c r="K124" s="27"/>
      <c r="L124" s="27"/>
      <c r="M124" s="27"/>
      <c r="N124" s="27"/>
      <c r="O124" s="27"/>
      <c r="P124" s="27"/>
      <c r="Q124" s="104"/>
      <c r="S124" s="114"/>
      <c r="T124" s="27"/>
      <c r="U124" s="27"/>
      <c r="V124" s="27"/>
      <c r="W124" s="27"/>
      <c r="X124" s="27"/>
      <c r="Y124" s="27"/>
      <c r="Z124" s="104"/>
      <c r="AB124" s="114"/>
      <c r="AC124" s="27"/>
      <c r="AD124" s="27"/>
      <c r="AE124" s="27"/>
      <c r="AF124" s="27"/>
      <c r="AG124" s="27"/>
      <c r="AH124" s="27"/>
      <c r="AI124" s="104"/>
    </row>
    <row r="125" customFormat="false" ht="18.75" hidden="false" customHeight="false" outlineLevel="0" collapsed="false">
      <c r="A125" s="114"/>
      <c r="B125" s="27"/>
      <c r="C125" s="27"/>
      <c r="D125" s="27"/>
      <c r="E125" s="27"/>
      <c r="F125" s="27"/>
      <c r="G125" s="27"/>
      <c r="H125" s="104"/>
      <c r="J125" s="114"/>
      <c r="K125" s="27"/>
      <c r="L125" s="27"/>
      <c r="M125" s="27"/>
      <c r="N125" s="27"/>
      <c r="O125" s="27"/>
      <c r="P125" s="27"/>
      <c r="Q125" s="104"/>
      <c r="S125" s="114"/>
      <c r="T125" s="27"/>
      <c r="U125" s="27"/>
      <c r="V125" s="27"/>
      <c r="W125" s="27"/>
      <c r="X125" s="27"/>
      <c r="Y125" s="27"/>
      <c r="Z125" s="104"/>
      <c r="AB125" s="114"/>
      <c r="AC125" s="27"/>
      <c r="AD125" s="27"/>
      <c r="AE125" s="27"/>
      <c r="AF125" s="27"/>
      <c r="AG125" s="27"/>
      <c r="AH125" s="27"/>
      <c r="AI125" s="104"/>
    </row>
    <row r="126" customFormat="false" ht="22.05" hidden="false" customHeight="false" outlineLevel="0" collapsed="false">
      <c r="A126" s="32" t="s">
        <v>154</v>
      </c>
      <c r="B126" s="32"/>
      <c r="C126" s="32"/>
      <c r="D126" s="32"/>
      <c r="E126" s="32"/>
      <c r="F126" s="32"/>
      <c r="G126" s="32"/>
      <c r="H126" s="32"/>
      <c r="J126" s="32" t="s">
        <v>154</v>
      </c>
      <c r="K126" s="32"/>
      <c r="L126" s="32"/>
      <c r="M126" s="32"/>
      <c r="N126" s="32"/>
      <c r="O126" s="32"/>
      <c r="P126" s="32"/>
      <c r="Q126" s="32"/>
      <c r="S126" s="32" t="s">
        <v>154</v>
      </c>
      <c r="T126" s="32"/>
      <c r="U126" s="32"/>
      <c r="V126" s="32"/>
      <c r="W126" s="32"/>
      <c r="X126" s="32"/>
      <c r="Y126" s="32"/>
      <c r="Z126" s="32"/>
      <c r="AB126" s="32" t="s">
        <v>154</v>
      </c>
      <c r="AC126" s="32"/>
      <c r="AD126" s="32"/>
      <c r="AE126" s="32"/>
      <c r="AF126" s="32"/>
      <c r="AG126" s="32"/>
      <c r="AH126" s="32"/>
      <c r="AI126" s="32"/>
    </row>
    <row r="127" customFormat="false" ht="18.75" hidden="false" customHeight="false" outlineLevel="0" collapsed="false">
      <c r="A127" s="114"/>
      <c r="B127" s="27"/>
      <c r="C127" s="27"/>
      <c r="D127" s="27"/>
      <c r="E127" s="27"/>
      <c r="F127" s="27"/>
      <c r="G127" s="27"/>
      <c r="H127" s="104"/>
      <c r="J127" s="114"/>
      <c r="K127" s="27"/>
      <c r="L127" s="27"/>
      <c r="M127" s="27"/>
      <c r="N127" s="27"/>
      <c r="O127" s="27"/>
      <c r="P127" s="27"/>
      <c r="Q127" s="104"/>
      <c r="S127" s="114"/>
      <c r="T127" s="27"/>
      <c r="U127" s="27"/>
      <c r="V127" s="27"/>
      <c r="W127" s="27"/>
      <c r="X127" s="27"/>
      <c r="Y127" s="27"/>
      <c r="Z127" s="104"/>
      <c r="AB127" s="114"/>
      <c r="AC127" s="27"/>
      <c r="AD127" s="27"/>
      <c r="AE127" s="27"/>
      <c r="AF127" s="27"/>
      <c r="AG127" s="27"/>
      <c r="AH127" s="27"/>
      <c r="AI127" s="104"/>
    </row>
    <row r="128" customFormat="false" ht="19.7" hidden="false" customHeight="false" outlineLevel="0" collapsed="false">
      <c r="A128" s="82"/>
      <c r="B128" s="115" t="s">
        <v>155</v>
      </c>
      <c r="C128" s="115"/>
      <c r="D128" s="115" t="s">
        <v>156</v>
      </c>
      <c r="E128" s="115"/>
      <c r="F128" s="115" t="s">
        <v>157</v>
      </c>
      <c r="G128" s="115"/>
      <c r="H128" s="116" t="s">
        <v>158</v>
      </c>
      <c r="J128" s="82"/>
      <c r="K128" s="115" t="s">
        <v>155</v>
      </c>
      <c r="L128" s="115"/>
      <c r="M128" s="115" t="s">
        <v>156</v>
      </c>
      <c r="N128" s="115"/>
      <c r="O128" s="115" t="s">
        <v>157</v>
      </c>
      <c r="P128" s="115"/>
      <c r="Q128" s="116" t="s">
        <v>158</v>
      </c>
      <c r="S128" s="82"/>
      <c r="T128" s="115" t="s">
        <v>155</v>
      </c>
      <c r="U128" s="115"/>
      <c r="V128" s="115" t="s">
        <v>156</v>
      </c>
      <c r="W128" s="115"/>
      <c r="X128" s="115" t="s">
        <v>157</v>
      </c>
      <c r="Y128" s="115"/>
      <c r="Z128" s="116" t="s">
        <v>158</v>
      </c>
      <c r="AB128" s="82"/>
      <c r="AC128" s="115" t="s">
        <v>155</v>
      </c>
      <c r="AD128" s="115"/>
      <c r="AE128" s="115" t="s">
        <v>156</v>
      </c>
      <c r="AF128" s="115"/>
      <c r="AG128" s="115" t="s">
        <v>157</v>
      </c>
      <c r="AH128" s="115"/>
      <c r="AI128" s="116" t="s">
        <v>158</v>
      </c>
    </row>
    <row r="129" customFormat="false" ht="19.7" hidden="false" customHeight="false" outlineLevel="0" collapsed="false">
      <c r="A129" s="84"/>
      <c r="B129" s="117" t="s">
        <v>159</v>
      </c>
      <c r="C129" s="118" t="s">
        <v>160</v>
      </c>
      <c r="D129" s="117" t="s">
        <v>159</v>
      </c>
      <c r="E129" s="119" t="s">
        <v>160</v>
      </c>
      <c r="F129" s="117" t="s">
        <v>159</v>
      </c>
      <c r="G129" s="119" t="s">
        <v>160</v>
      </c>
      <c r="H129" s="120"/>
      <c r="J129" s="84"/>
      <c r="K129" s="117" t="s">
        <v>159</v>
      </c>
      <c r="L129" s="118" t="s">
        <v>160</v>
      </c>
      <c r="M129" s="117" t="s">
        <v>159</v>
      </c>
      <c r="N129" s="119" t="s">
        <v>160</v>
      </c>
      <c r="O129" s="117" t="s">
        <v>159</v>
      </c>
      <c r="P129" s="119" t="s">
        <v>160</v>
      </c>
      <c r="Q129" s="120"/>
      <c r="S129" s="84"/>
      <c r="T129" s="117" t="s">
        <v>159</v>
      </c>
      <c r="U129" s="118" t="s">
        <v>160</v>
      </c>
      <c r="V129" s="117" t="s">
        <v>159</v>
      </c>
      <c r="W129" s="119" t="s">
        <v>160</v>
      </c>
      <c r="X129" s="117" t="s">
        <v>159</v>
      </c>
      <c r="Y129" s="119" t="s">
        <v>160</v>
      </c>
      <c r="Z129" s="120"/>
      <c r="AB129" s="84"/>
      <c r="AC129" s="117" t="s">
        <v>159</v>
      </c>
      <c r="AD129" s="118" t="s">
        <v>160</v>
      </c>
      <c r="AE129" s="117" t="s">
        <v>159</v>
      </c>
      <c r="AF129" s="119" t="s">
        <v>160</v>
      </c>
      <c r="AG129" s="117" t="s">
        <v>159</v>
      </c>
      <c r="AH129" s="119" t="s">
        <v>160</v>
      </c>
      <c r="AI129" s="120"/>
    </row>
    <row r="130" customFormat="false" ht="18.75" hidden="false" customHeight="false" outlineLevel="0" collapsed="false">
      <c r="A130" s="29" t="s">
        <v>161</v>
      </c>
      <c r="B130" s="29" t="n">
        <f aca="false">E19</f>
        <v>16700.004</v>
      </c>
      <c r="C130" s="44" t="n">
        <v>15162.5</v>
      </c>
      <c r="D130" s="29" t="n">
        <f aca="false">D12</f>
        <v>0</v>
      </c>
      <c r="E130" s="44" t="n">
        <f aca="false">D130</f>
        <v>0</v>
      </c>
      <c r="F130" s="29" t="n">
        <v>0</v>
      </c>
      <c r="G130" s="44" t="n">
        <f aca="false">F130</f>
        <v>0</v>
      </c>
      <c r="H130" s="121" t="n">
        <f aca="false">H12</f>
        <v>0</v>
      </c>
      <c r="J130" s="29" t="s">
        <v>161</v>
      </c>
      <c r="K130" s="29" t="n">
        <f aca="false">B3</f>
        <v>0</v>
      </c>
      <c r="L130" s="44" t="n">
        <v>28629.17</v>
      </c>
      <c r="M130" s="29" t="n">
        <f aca="false">D3</f>
        <v>0</v>
      </c>
      <c r="N130" s="44" t="n">
        <f aca="false">M130</f>
        <v>0</v>
      </c>
      <c r="O130" s="29" t="str">
        <f aca="false">F3</f>
        <v> </v>
      </c>
      <c r="P130" s="44" t="str">
        <f aca="false">O130</f>
        <v> </v>
      </c>
      <c r="Q130" s="121" t="n">
        <f aca="false">H3</f>
        <v>0</v>
      </c>
      <c r="S130" s="29" t="s">
        <v>161</v>
      </c>
      <c r="T130" s="29" t="n">
        <f aca="false">B3</f>
        <v>0</v>
      </c>
      <c r="U130" s="44" t="n">
        <f aca="false">T130</f>
        <v>0</v>
      </c>
      <c r="V130" s="29" t="n">
        <f aca="false">D3</f>
        <v>0</v>
      </c>
      <c r="W130" s="44" t="n">
        <f aca="false">V130</f>
        <v>0</v>
      </c>
      <c r="X130" s="29" t="str">
        <f aca="false">F3</f>
        <v> </v>
      </c>
      <c r="Y130" s="44" t="str">
        <f aca="false">X130</f>
        <v> </v>
      </c>
      <c r="Z130" s="121" t="n">
        <f aca="false">H3</f>
        <v>0</v>
      </c>
      <c r="AB130" s="29" t="s">
        <v>161</v>
      </c>
      <c r="AC130" s="29" t="n">
        <f aca="false">B3</f>
        <v>0</v>
      </c>
      <c r="AD130" s="44" t="n">
        <f aca="false">AC130</f>
        <v>0</v>
      </c>
      <c r="AE130" s="29" t="n">
        <f aca="false">D3</f>
        <v>0</v>
      </c>
      <c r="AF130" s="44" t="n">
        <f aca="false">AE130</f>
        <v>0</v>
      </c>
      <c r="AG130" s="29" t="str">
        <f aca="false">F3</f>
        <v> </v>
      </c>
      <c r="AH130" s="44" t="str">
        <f aca="false">AG130</f>
        <v> </v>
      </c>
      <c r="AI130" s="121" t="n">
        <f aca="false">H3</f>
        <v>0</v>
      </c>
    </row>
    <row r="131" customFormat="false" ht="18.75" hidden="false" customHeight="false" outlineLevel="0" collapsed="false">
      <c r="A131" s="35" t="s">
        <v>162</v>
      </c>
      <c r="B131" s="122" t="n">
        <v>0</v>
      </c>
      <c r="C131" s="123" t="n">
        <f aca="false">B131</f>
        <v>0</v>
      </c>
      <c r="D131" s="122" t="n">
        <v>0</v>
      </c>
      <c r="E131" s="123" t="n">
        <f aca="false">D131</f>
        <v>0</v>
      </c>
      <c r="F131" s="122" t="n">
        <v>0</v>
      </c>
      <c r="G131" s="124" t="n">
        <f aca="false">F131</f>
        <v>0</v>
      </c>
      <c r="H131" s="125"/>
      <c r="J131" s="35" t="s">
        <v>162</v>
      </c>
      <c r="K131" s="122" t="n">
        <f aca="false">B4</f>
        <v>16700.004</v>
      </c>
      <c r="L131" s="126" t="n">
        <v>0</v>
      </c>
      <c r="M131" s="122" t="n">
        <f aca="false">D4</f>
        <v>0</v>
      </c>
      <c r="N131" s="126" t="n">
        <f aca="false">M131</f>
        <v>0</v>
      </c>
      <c r="O131" s="122" t="str">
        <f aca="false">F4</f>
        <v> </v>
      </c>
      <c r="P131" s="126" t="str">
        <f aca="false">O131</f>
        <v> </v>
      </c>
      <c r="Q131" s="125"/>
      <c r="S131" s="35" t="s">
        <v>162</v>
      </c>
      <c r="T131" s="122" t="n">
        <f aca="false">B4</f>
        <v>16700.004</v>
      </c>
      <c r="U131" s="126" t="n">
        <v>0.25</v>
      </c>
      <c r="V131" s="122" t="n">
        <f aca="false">D4</f>
        <v>0</v>
      </c>
      <c r="W131" s="126" t="n">
        <f aca="false">V131</f>
        <v>0</v>
      </c>
      <c r="X131" s="122" t="str">
        <f aca="false">F4</f>
        <v> </v>
      </c>
      <c r="Y131" s="126" t="str">
        <f aca="false">X131</f>
        <v> </v>
      </c>
      <c r="Z131" s="125"/>
      <c r="AB131" s="35" t="s">
        <v>162</v>
      </c>
      <c r="AC131" s="122" t="n">
        <f aca="false">B4</f>
        <v>16700.004</v>
      </c>
      <c r="AD131" s="126" t="n">
        <v>0.25</v>
      </c>
      <c r="AE131" s="122" t="n">
        <f aca="false">D4</f>
        <v>0</v>
      </c>
      <c r="AF131" s="126" t="n">
        <f aca="false">AE131</f>
        <v>0</v>
      </c>
      <c r="AG131" s="122" t="str">
        <f aca="false">F4</f>
        <v> </v>
      </c>
      <c r="AH131" s="126" t="str">
        <f aca="false">AG131</f>
        <v> </v>
      </c>
      <c r="AI131" s="125"/>
    </row>
    <row r="132" customFormat="false" ht="18.75" hidden="false" customHeight="false" outlineLevel="0" collapsed="false">
      <c r="A132" s="35" t="s">
        <v>163</v>
      </c>
      <c r="B132" s="35" t="n">
        <v>0</v>
      </c>
      <c r="C132" s="44" t="n">
        <f aca="false">B132</f>
        <v>0</v>
      </c>
      <c r="D132" s="35" t="n">
        <v>0</v>
      </c>
      <c r="E132" s="44" t="n">
        <f aca="false">D132</f>
        <v>0</v>
      </c>
      <c r="F132" s="35" t="n">
        <v>0</v>
      </c>
      <c r="G132" s="44" t="n">
        <f aca="false">F132</f>
        <v>0</v>
      </c>
      <c r="H132" s="37"/>
      <c r="J132" s="35" t="s">
        <v>163</v>
      </c>
      <c r="K132" s="35" t="n">
        <f aca="false">B5</f>
        <v>0</v>
      </c>
      <c r="L132" s="44" t="n">
        <v>0</v>
      </c>
      <c r="M132" s="35" t="n">
        <f aca="false">D5</f>
        <v>0</v>
      </c>
      <c r="N132" s="44" t="n">
        <f aca="false">M132</f>
        <v>0</v>
      </c>
      <c r="O132" s="35" t="str">
        <f aca="false">F5</f>
        <v> </v>
      </c>
      <c r="P132" s="44" t="str">
        <f aca="false">O132</f>
        <v> </v>
      </c>
      <c r="Q132" s="37"/>
      <c r="S132" s="35" t="s">
        <v>163</v>
      </c>
      <c r="T132" s="35" t="n">
        <f aca="false">B5</f>
        <v>0</v>
      </c>
      <c r="U132" s="44" t="n">
        <v>0</v>
      </c>
      <c r="V132" s="35" t="n">
        <f aca="false">D5</f>
        <v>0</v>
      </c>
      <c r="W132" s="44" t="n">
        <f aca="false">V132</f>
        <v>0</v>
      </c>
      <c r="X132" s="35" t="str">
        <f aca="false">F5</f>
        <v> </v>
      </c>
      <c r="Y132" s="44" t="str">
        <f aca="false">X132</f>
        <v> </v>
      </c>
      <c r="Z132" s="37"/>
      <c r="AB132" s="35" t="s">
        <v>163</v>
      </c>
      <c r="AC132" s="35" t="n">
        <f aca="false">B5</f>
        <v>0</v>
      </c>
      <c r="AD132" s="44" t="n">
        <v>0</v>
      </c>
      <c r="AE132" s="35" t="n">
        <f aca="false">D5</f>
        <v>0</v>
      </c>
      <c r="AF132" s="44" t="n">
        <f aca="false">AE132</f>
        <v>0</v>
      </c>
      <c r="AG132" s="35" t="str">
        <f aca="false">F5</f>
        <v> </v>
      </c>
      <c r="AH132" s="44" t="str">
        <f aca="false">AG132</f>
        <v> </v>
      </c>
      <c r="AI132" s="37"/>
    </row>
    <row r="133" customFormat="false" ht="18.75" hidden="false" customHeight="false" outlineLevel="0" collapsed="false">
      <c r="A133" s="35" t="s">
        <v>164</v>
      </c>
      <c r="B133" s="35" t="n">
        <f aca="false">(B130*B131)+B132</f>
        <v>0</v>
      </c>
      <c r="C133" s="31" t="n">
        <f aca="false">(C130*C131/100)+C132</f>
        <v>0</v>
      </c>
      <c r="D133" s="35" t="n">
        <f aca="false">(D130*D131)+D132</f>
        <v>0</v>
      </c>
      <c r="E133" s="31" t="n">
        <f aca="false">(E130*E131/100)+E132</f>
        <v>0</v>
      </c>
      <c r="F133" s="35" t="n">
        <f aca="false">(F130*F131)+F132</f>
        <v>0</v>
      </c>
      <c r="G133" s="31" t="n">
        <f aca="false">(G130*G131/100)+G132</f>
        <v>0</v>
      </c>
      <c r="H133" s="37"/>
      <c r="J133" s="35" t="s">
        <v>164</v>
      </c>
      <c r="K133" s="35" t="n">
        <f aca="false">(K130*K131)+K132</f>
        <v>0</v>
      </c>
      <c r="L133" s="31" t="n">
        <f aca="false">(L130*L131)+L132</f>
        <v>0</v>
      </c>
      <c r="M133" s="35" t="n">
        <f aca="false">(M130*M131)+M132</f>
        <v>0</v>
      </c>
      <c r="N133" s="31" t="n">
        <f aca="false">(N130*N131)+N132</f>
        <v>0</v>
      </c>
      <c r="O133" s="35" t="e">
        <f aca="false">(O130*O131)+O132</f>
        <v>#VALUE!</v>
      </c>
      <c r="P133" s="31" t="e">
        <f aca="false">(P130*P131)+P132</f>
        <v>#VALUE!</v>
      </c>
      <c r="Q133" s="37"/>
      <c r="S133" s="35" t="s">
        <v>164</v>
      </c>
      <c r="T133" s="35" t="n">
        <f aca="false">(T130*T131)+T132</f>
        <v>0</v>
      </c>
      <c r="U133" s="31" t="n">
        <f aca="false">(U130*U131)+U132</f>
        <v>0</v>
      </c>
      <c r="V133" s="35" t="n">
        <f aca="false">(V130*V131)+V132</f>
        <v>0</v>
      </c>
      <c r="W133" s="31" t="n">
        <f aca="false">(W130*W131)+W132</f>
        <v>0</v>
      </c>
      <c r="X133" s="35" t="e">
        <f aca="false">(X130*X131)+X132</f>
        <v>#VALUE!</v>
      </c>
      <c r="Y133" s="31" t="e">
        <f aca="false">(Y130*Y131)+Y132</f>
        <v>#VALUE!</v>
      </c>
      <c r="Z133" s="37"/>
      <c r="AB133" s="35" t="s">
        <v>164</v>
      </c>
      <c r="AC133" s="35" t="n">
        <f aca="false">(AC130*AC131)+AC132</f>
        <v>0</v>
      </c>
      <c r="AD133" s="31" t="n">
        <f aca="false">(AD130*AD131)+AD132</f>
        <v>0</v>
      </c>
      <c r="AE133" s="35" t="n">
        <f aca="false">(AE130*AE131)+AE132</f>
        <v>0</v>
      </c>
      <c r="AF133" s="31" t="n">
        <f aca="false">(AF130*AF131)+AF132</f>
        <v>0</v>
      </c>
      <c r="AG133" s="35" t="e">
        <f aca="false">(AG130*AG131)+AG132</f>
        <v>#VALUE!</v>
      </c>
      <c r="AH133" s="31" t="e">
        <f aca="false">(AH130*AH131)+AH132</f>
        <v>#VALUE!</v>
      </c>
      <c r="AI133" s="37"/>
    </row>
    <row r="134" customFormat="false" ht="18.75" hidden="false" customHeight="false" outlineLevel="0" collapsed="false">
      <c r="A134" s="60" t="s">
        <v>165</v>
      </c>
      <c r="B134" s="60" t="n">
        <f aca="false">B130-B133</f>
        <v>16700.004</v>
      </c>
      <c r="C134" s="69" t="n">
        <f aca="false">C130-C133</f>
        <v>15912.5</v>
      </c>
      <c r="D134" s="60" t="n">
        <f aca="false">D130-D133</f>
        <v>0</v>
      </c>
      <c r="E134" s="69" t="n">
        <f aca="false">E130-E133</f>
        <v>0</v>
      </c>
      <c r="F134" s="60" t="n">
        <f aca="false">F130-F133</f>
        <v>0</v>
      </c>
      <c r="G134" s="69" t="n">
        <f aca="false">G130-G133</f>
        <v>0</v>
      </c>
      <c r="H134" s="69"/>
      <c r="J134" s="60" t="s">
        <v>165</v>
      </c>
      <c r="K134" s="60" t="n">
        <f aca="false">K130-K133</f>
        <v>0</v>
      </c>
      <c r="L134" s="69" t="n">
        <f aca="false">L130-L133</f>
        <v>28629.17</v>
      </c>
      <c r="M134" s="60" t="n">
        <f aca="false">M130-M133</f>
        <v>0</v>
      </c>
      <c r="N134" s="69" t="n">
        <f aca="false">N130-N133</f>
        <v>0</v>
      </c>
      <c r="O134" s="60" t="e">
        <f aca="false">O130-O133</f>
        <v>#VALUE!</v>
      </c>
      <c r="P134" s="69" t="e">
        <f aca="false">P130-P133</f>
        <v>#VALUE!</v>
      </c>
      <c r="Q134" s="69"/>
      <c r="S134" s="60" t="s">
        <v>165</v>
      </c>
      <c r="T134" s="60" t="n">
        <f aca="false">T130-T133</f>
        <v>0</v>
      </c>
      <c r="U134" s="69" t="n">
        <f aca="false">U130-U133</f>
        <v>0</v>
      </c>
      <c r="V134" s="60" t="n">
        <f aca="false">V130-V133</f>
        <v>0</v>
      </c>
      <c r="W134" s="69" t="n">
        <f aca="false">W130-W133</f>
        <v>0</v>
      </c>
      <c r="X134" s="60" t="e">
        <f aca="false">X130-X133</f>
        <v>#VALUE!</v>
      </c>
      <c r="Y134" s="69" t="e">
        <f aca="false">Y130-Y133</f>
        <v>#VALUE!</v>
      </c>
      <c r="Z134" s="69"/>
      <c r="AB134" s="60" t="s">
        <v>165</v>
      </c>
      <c r="AC134" s="60" t="n">
        <f aca="false">AC130-AC133</f>
        <v>0</v>
      </c>
      <c r="AD134" s="69" t="n">
        <f aca="false">AD130-AD133</f>
        <v>0</v>
      </c>
      <c r="AE134" s="60" t="n">
        <f aca="false">AE130-AE133</f>
        <v>0</v>
      </c>
      <c r="AF134" s="69" t="n">
        <f aca="false">AF130-AF133</f>
        <v>0</v>
      </c>
      <c r="AG134" s="60" t="e">
        <f aca="false">AG130-AG133</f>
        <v>#VALUE!</v>
      </c>
      <c r="AH134" s="69" t="e">
        <f aca="false">AH130-AH133</f>
        <v>#VALUE!</v>
      </c>
      <c r="AI134" s="69"/>
    </row>
    <row r="135" customFormat="false" ht="18.75" hidden="false" customHeight="false" outlineLevel="0" collapsed="false">
      <c r="A135" s="35"/>
      <c r="B135" s="36"/>
      <c r="C135" s="36"/>
      <c r="D135" s="36"/>
      <c r="E135" s="36"/>
      <c r="F135" s="36"/>
      <c r="G135" s="36"/>
      <c r="H135" s="37"/>
      <c r="J135" s="35"/>
      <c r="K135" s="36"/>
      <c r="L135" s="36"/>
      <c r="M135" s="36"/>
      <c r="N135" s="36"/>
      <c r="O135" s="36"/>
      <c r="P135" s="36"/>
      <c r="Q135" s="37"/>
      <c r="S135" s="35"/>
      <c r="T135" s="36"/>
      <c r="U135" s="36"/>
      <c r="V135" s="36"/>
      <c r="W135" s="36"/>
      <c r="X135" s="36"/>
      <c r="Y135" s="36"/>
      <c r="Z135" s="37"/>
      <c r="AB135" s="35"/>
      <c r="AC135" s="36"/>
      <c r="AD135" s="36"/>
      <c r="AE135" s="36"/>
      <c r="AF135" s="36"/>
      <c r="AG135" s="36"/>
      <c r="AH135" s="36"/>
      <c r="AI135" s="37"/>
    </row>
    <row r="136" customFormat="false" ht="19.7" hidden="false" customHeight="false" outlineLevel="0" collapsed="false">
      <c r="A136" s="127"/>
      <c r="B136" s="128"/>
      <c r="C136" s="128"/>
      <c r="D136" s="128"/>
      <c r="E136" s="128"/>
      <c r="F136" s="128"/>
      <c r="G136" s="129" t="s">
        <v>159</v>
      </c>
      <c r="H136" s="130" t="s">
        <v>160</v>
      </c>
      <c r="J136" s="127"/>
      <c r="K136" s="128"/>
      <c r="L136" s="128"/>
      <c r="M136" s="128"/>
      <c r="N136" s="128"/>
      <c r="O136" s="128"/>
      <c r="P136" s="129" t="s">
        <v>159</v>
      </c>
      <c r="Q136" s="130" t="s">
        <v>160</v>
      </c>
      <c r="S136" s="127"/>
      <c r="T136" s="128"/>
      <c r="U136" s="128"/>
      <c r="V136" s="128"/>
      <c r="W136" s="128"/>
      <c r="X136" s="128"/>
      <c r="Y136" s="129" t="s">
        <v>159</v>
      </c>
      <c r="Z136" s="130" t="s">
        <v>160</v>
      </c>
      <c r="AB136" s="127"/>
      <c r="AC136" s="128"/>
      <c r="AD136" s="128"/>
      <c r="AE136" s="128"/>
      <c r="AF136" s="128"/>
      <c r="AG136" s="128"/>
      <c r="AH136" s="129" t="s">
        <v>159</v>
      </c>
      <c r="AI136" s="130" t="s">
        <v>160</v>
      </c>
    </row>
    <row r="137" customFormat="false" ht="18.75" hidden="false" customHeight="false" outlineLevel="0" collapsed="false">
      <c r="A137" s="131" t="s">
        <v>166</v>
      </c>
      <c r="B137" s="132"/>
      <c r="C137" s="132"/>
      <c r="D137" s="132"/>
      <c r="E137" s="132"/>
      <c r="F137" s="132"/>
      <c r="G137" s="133" t="n">
        <f aca="false">H130</f>
        <v>0</v>
      </c>
      <c r="H137" s="134" t="n">
        <f aca="false">SUM(H140:H142)</f>
        <v>0</v>
      </c>
      <c r="J137" s="131" t="s">
        <v>166</v>
      </c>
      <c r="K137" s="132"/>
      <c r="L137" s="132"/>
      <c r="M137" s="132"/>
      <c r="N137" s="132"/>
      <c r="O137" s="132"/>
      <c r="P137" s="133" t="n">
        <f aca="false">Q130</f>
        <v>0</v>
      </c>
      <c r="Q137" s="134" t="n">
        <f aca="false">SUM(Q140:Q142)</f>
        <v>0</v>
      </c>
      <c r="S137" s="131" t="s">
        <v>166</v>
      </c>
      <c r="T137" s="132"/>
      <c r="U137" s="132"/>
      <c r="V137" s="132"/>
      <c r="W137" s="132"/>
      <c r="X137" s="132"/>
      <c r="Y137" s="133" t="n">
        <f aca="false">Z130</f>
        <v>0</v>
      </c>
      <c r="Z137" s="134" t="n">
        <f aca="false">SUM(Z140:Z142)</f>
        <v>0</v>
      </c>
      <c r="AB137" s="131" t="s">
        <v>166</v>
      </c>
      <c r="AC137" s="132"/>
      <c r="AD137" s="132"/>
      <c r="AE137" s="132"/>
      <c r="AF137" s="132"/>
      <c r="AG137" s="132"/>
      <c r="AH137" s="133" t="n">
        <f aca="false">AI130</f>
        <v>0</v>
      </c>
      <c r="AI137" s="134" t="n">
        <f aca="false">SUM(AI140:AI142)</f>
        <v>0</v>
      </c>
    </row>
    <row r="138" customFormat="false" ht="18.75" hidden="false" customHeight="false" outlineLevel="0" collapsed="false">
      <c r="A138" s="35"/>
      <c r="B138" s="36"/>
      <c r="C138" s="36"/>
      <c r="D138" s="36"/>
      <c r="E138" s="36"/>
      <c r="F138" s="36"/>
      <c r="G138" s="135"/>
      <c r="H138" s="136"/>
      <c r="J138" s="35"/>
      <c r="K138" s="36"/>
      <c r="L138" s="36"/>
      <c r="M138" s="36"/>
      <c r="N138" s="36"/>
      <c r="O138" s="36"/>
      <c r="P138" s="135"/>
      <c r="Q138" s="136"/>
      <c r="S138" s="35"/>
      <c r="T138" s="36"/>
      <c r="U138" s="36"/>
      <c r="V138" s="36"/>
      <c r="W138" s="36"/>
      <c r="X138" s="36"/>
      <c r="Y138" s="135"/>
      <c r="Z138" s="136"/>
      <c r="AB138" s="35"/>
      <c r="AC138" s="36"/>
      <c r="AD138" s="36"/>
      <c r="AE138" s="36"/>
      <c r="AF138" s="36"/>
      <c r="AG138" s="36"/>
      <c r="AH138" s="135"/>
      <c r="AI138" s="136"/>
    </row>
    <row r="139" customFormat="false" ht="18.75" hidden="false" customHeight="false" outlineLevel="0" collapsed="false">
      <c r="A139" s="137" t="s">
        <v>167</v>
      </c>
      <c r="B139" s="138" t="s">
        <v>168</v>
      </c>
      <c r="C139" s="138"/>
      <c r="D139" s="138" t="s">
        <v>169</v>
      </c>
      <c r="E139" s="138"/>
      <c r="F139" s="138" t="s">
        <v>163</v>
      </c>
      <c r="G139" s="138"/>
      <c r="H139" s="136" t="s">
        <v>160</v>
      </c>
      <c r="J139" s="137" t="s">
        <v>167</v>
      </c>
      <c r="K139" s="139" t="s">
        <v>168</v>
      </c>
      <c r="L139" s="139"/>
      <c r="M139" s="138" t="s">
        <v>169</v>
      </c>
      <c r="N139" s="138"/>
      <c r="O139" s="138" t="s">
        <v>163</v>
      </c>
      <c r="P139" s="138"/>
      <c r="Q139" s="136" t="s">
        <v>160</v>
      </c>
      <c r="S139" s="137" t="s">
        <v>167</v>
      </c>
      <c r="T139" s="138" t="s">
        <v>168</v>
      </c>
      <c r="U139" s="138"/>
      <c r="V139" s="138" t="s">
        <v>169</v>
      </c>
      <c r="W139" s="138"/>
      <c r="X139" s="138" t="s">
        <v>163</v>
      </c>
      <c r="Y139" s="138"/>
      <c r="Z139" s="136" t="s">
        <v>160</v>
      </c>
      <c r="AB139" s="137" t="s">
        <v>167</v>
      </c>
      <c r="AC139" s="138" t="s">
        <v>168</v>
      </c>
      <c r="AD139" s="138"/>
      <c r="AE139" s="138" t="s">
        <v>169</v>
      </c>
      <c r="AF139" s="138"/>
      <c r="AG139" s="138" t="s">
        <v>163</v>
      </c>
      <c r="AH139" s="138"/>
      <c r="AI139" s="136" t="s">
        <v>160</v>
      </c>
    </row>
    <row r="140" customFormat="false" ht="18.75" hidden="false" customHeight="false" outlineLevel="0" collapsed="false">
      <c r="A140" s="35" t="s">
        <v>170</v>
      </c>
      <c r="B140" s="140" t="n">
        <f aca="false">G137</f>
        <v>0</v>
      </c>
      <c r="C140" s="140"/>
      <c r="D140" s="141" t="n">
        <v>0</v>
      </c>
      <c r="E140" s="141"/>
      <c r="F140" s="140" t="n">
        <v>0</v>
      </c>
      <c r="G140" s="140"/>
      <c r="H140" s="142" t="n">
        <f aca="false">(B140-(B140*D140))-F140</f>
        <v>0</v>
      </c>
      <c r="J140" s="35" t="s">
        <v>170</v>
      </c>
      <c r="K140" s="140" t="n">
        <f aca="false">P137</f>
        <v>0</v>
      </c>
      <c r="L140" s="140"/>
      <c r="M140" s="141" t="n">
        <v>0</v>
      </c>
      <c r="N140" s="141"/>
      <c r="O140" s="140" t="n">
        <v>0</v>
      </c>
      <c r="P140" s="140"/>
      <c r="Q140" s="142" t="n">
        <f aca="false">(K140-(K140*M140))-O140</f>
        <v>0</v>
      </c>
      <c r="S140" s="35" t="s">
        <v>170</v>
      </c>
      <c r="T140" s="140" t="n">
        <f aca="false">Y137</f>
        <v>0</v>
      </c>
      <c r="U140" s="140"/>
      <c r="V140" s="141" t="n">
        <v>0</v>
      </c>
      <c r="W140" s="141"/>
      <c r="X140" s="140" t="n">
        <v>0</v>
      </c>
      <c r="Y140" s="140"/>
      <c r="Z140" s="142" t="n">
        <f aca="false">(T140-(T140*V140))-X140</f>
        <v>0</v>
      </c>
      <c r="AB140" s="35" t="s">
        <v>170</v>
      </c>
      <c r="AC140" s="140" t="n">
        <f aca="false">AH137</f>
        <v>0</v>
      </c>
      <c r="AD140" s="140"/>
      <c r="AE140" s="141" t="n">
        <v>0</v>
      </c>
      <c r="AF140" s="141"/>
      <c r="AG140" s="140" t="n">
        <v>0</v>
      </c>
      <c r="AH140" s="140"/>
      <c r="AI140" s="142" t="n">
        <f aca="false">(AC140-(AC140*AE140))-AG140</f>
        <v>0</v>
      </c>
    </row>
    <row r="141" customFormat="false" ht="18.75" hidden="false" customHeight="false" outlineLevel="0" collapsed="false">
      <c r="A141" s="35" t="s">
        <v>171</v>
      </c>
      <c r="B141" s="140" t="n">
        <v>0</v>
      </c>
      <c r="C141" s="140"/>
      <c r="D141" s="141" t="n">
        <v>0</v>
      </c>
      <c r="E141" s="141"/>
      <c r="F141" s="140" t="n">
        <v>0</v>
      </c>
      <c r="G141" s="140"/>
      <c r="H141" s="142" t="n">
        <f aca="false">(B141-(B141*D141))-F141</f>
        <v>0</v>
      </c>
      <c r="J141" s="35" t="s">
        <v>171</v>
      </c>
      <c r="K141" s="140" t="n">
        <v>0</v>
      </c>
      <c r="L141" s="140"/>
      <c r="M141" s="141" t="n">
        <v>0</v>
      </c>
      <c r="N141" s="141"/>
      <c r="O141" s="140" t="n">
        <v>0</v>
      </c>
      <c r="P141" s="140"/>
      <c r="Q141" s="142" t="n">
        <f aca="false">(K141-(K141*M141))-O141</f>
        <v>0</v>
      </c>
      <c r="S141" s="35" t="s">
        <v>171</v>
      </c>
      <c r="T141" s="140" t="n">
        <v>0</v>
      </c>
      <c r="U141" s="140"/>
      <c r="V141" s="141" t="n">
        <v>0</v>
      </c>
      <c r="W141" s="141"/>
      <c r="X141" s="140" t="n">
        <v>0</v>
      </c>
      <c r="Y141" s="140"/>
      <c r="Z141" s="142" t="n">
        <f aca="false">(T141-(T141*V141))-X141</f>
        <v>0</v>
      </c>
      <c r="AB141" s="35" t="s">
        <v>171</v>
      </c>
      <c r="AC141" s="140" t="n">
        <v>0</v>
      </c>
      <c r="AD141" s="140"/>
      <c r="AE141" s="141" t="n">
        <v>0</v>
      </c>
      <c r="AF141" s="141"/>
      <c r="AG141" s="140" t="n">
        <v>0</v>
      </c>
      <c r="AH141" s="140"/>
      <c r="AI141" s="142" t="n">
        <f aca="false">(AC141-(AC141*AE141))-AG141</f>
        <v>0</v>
      </c>
    </row>
    <row r="142" customFormat="false" ht="18.75" hidden="false" customHeight="false" outlineLevel="0" collapsed="false">
      <c r="A142" s="35" t="s">
        <v>172</v>
      </c>
      <c r="B142" s="140" t="n">
        <v>0</v>
      </c>
      <c r="C142" s="140"/>
      <c r="D142" s="141" t="n">
        <v>0</v>
      </c>
      <c r="E142" s="141"/>
      <c r="F142" s="140" t="n">
        <v>0</v>
      </c>
      <c r="G142" s="140"/>
      <c r="H142" s="142" t="n">
        <f aca="false">(B142-(B142*D142))-F142</f>
        <v>0</v>
      </c>
      <c r="J142" s="35" t="s">
        <v>172</v>
      </c>
      <c r="K142" s="140" t="n">
        <v>0</v>
      </c>
      <c r="L142" s="140"/>
      <c r="M142" s="141" t="n">
        <v>0</v>
      </c>
      <c r="N142" s="141"/>
      <c r="O142" s="140" t="n">
        <v>0</v>
      </c>
      <c r="P142" s="140"/>
      <c r="Q142" s="142" t="n">
        <f aca="false">(K142-(K142*M142))-O142</f>
        <v>0</v>
      </c>
      <c r="S142" s="35" t="s">
        <v>172</v>
      </c>
      <c r="T142" s="140" t="n">
        <v>0</v>
      </c>
      <c r="U142" s="140"/>
      <c r="V142" s="141" t="n">
        <v>0</v>
      </c>
      <c r="W142" s="141"/>
      <c r="X142" s="140" t="n">
        <v>0</v>
      </c>
      <c r="Y142" s="140"/>
      <c r="Z142" s="142" t="n">
        <f aca="false">(T142-(T142*V142))-X142</f>
        <v>0</v>
      </c>
      <c r="AB142" s="35" t="s">
        <v>172</v>
      </c>
      <c r="AC142" s="140" t="n">
        <v>0</v>
      </c>
      <c r="AD142" s="140"/>
      <c r="AE142" s="141" t="n">
        <v>0</v>
      </c>
      <c r="AF142" s="141"/>
      <c r="AG142" s="140" t="n">
        <v>0</v>
      </c>
      <c r="AH142" s="140"/>
      <c r="AI142" s="142" t="n">
        <f aca="false">(AC142-(AC142*AE142))-AG142</f>
        <v>0</v>
      </c>
    </row>
    <row r="143" customFormat="false" ht="18.75" hidden="false" customHeight="false" outlineLevel="0" collapsed="false">
      <c r="A143" s="35"/>
      <c r="B143" s="36"/>
      <c r="C143" s="36"/>
      <c r="D143" s="36"/>
      <c r="E143" s="36"/>
      <c r="F143" s="36"/>
      <c r="G143" s="135"/>
      <c r="H143" s="136"/>
      <c r="J143" s="35"/>
      <c r="K143" s="36"/>
      <c r="L143" s="36"/>
      <c r="M143" s="36"/>
      <c r="N143" s="36"/>
      <c r="O143" s="36"/>
      <c r="P143" s="135"/>
      <c r="Q143" s="136"/>
      <c r="S143" s="35"/>
      <c r="T143" s="36"/>
      <c r="U143" s="36"/>
      <c r="V143" s="36"/>
      <c r="W143" s="36"/>
      <c r="X143" s="36"/>
      <c r="Y143" s="135"/>
      <c r="Z143" s="136"/>
      <c r="AB143" s="35"/>
      <c r="AC143" s="36"/>
      <c r="AD143" s="36"/>
      <c r="AE143" s="36"/>
      <c r="AF143" s="36"/>
      <c r="AG143" s="36"/>
      <c r="AH143" s="135"/>
      <c r="AI143" s="136"/>
    </row>
    <row r="144" customFormat="false" ht="19.7" hidden="false" customHeight="false" outlineLevel="0" collapsed="false">
      <c r="A144" s="143" t="s">
        <v>173</v>
      </c>
      <c r="B144" s="143"/>
      <c r="C144" s="143"/>
      <c r="D144" s="143"/>
      <c r="E144" s="143"/>
      <c r="F144" s="143"/>
      <c r="G144" s="129" t="n">
        <f aca="false">E21</f>
        <v>13916.67</v>
      </c>
      <c r="H144" s="144" t="n">
        <f aca="false">C134+E134+G134+H137</f>
        <v>15912.5</v>
      </c>
      <c r="J144" s="143" t="s">
        <v>173</v>
      </c>
      <c r="K144" s="143"/>
      <c r="L144" s="143"/>
      <c r="M144" s="143"/>
      <c r="N144" s="143"/>
      <c r="O144" s="143"/>
      <c r="P144" s="129" t="n">
        <f aca="false">H9</f>
        <v>0</v>
      </c>
      <c r="Q144" s="144" t="e">
        <f aca="false">L134+N134+P134+Q137</f>
        <v>#VALUE!</v>
      </c>
      <c r="S144" s="143" t="s">
        <v>173</v>
      </c>
      <c r="T144" s="143"/>
      <c r="U144" s="143"/>
      <c r="V144" s="143"/>
      <c r="W144" s="143"/>
      <c r="X144" s="143"/>
      <c r="Y144" s="129" t="n">
        <f aca="false">H9</f>
        <v>0</v>
      </c>
      <c r="Z144" s="144" t="e">
        <f aca="false">U134+W134+Y134+Z137</f>
        <v>#VALUE!</v>
      </c>
      <c r="AB144" s="143" t="s">
        <v>173</v>
      </c>
      <c r="AC144" s="143"/>
      <c r="AD144" s="143"/>
      <c r="AE144" s="143"/>
      <c r="AF144" s="143"/>
      <c r="AG144" s="143"/>
      <c r="AH144" s="129" t="n">
        <f aca="false">H9</f>
        <v>0</v>
      </c>
      <c r="AI144" s="144" t="e">
        <f aca="false">AD134+AF134+AH134+AI137</f>
        <v>#VALUE!</v>
      </c>
    </row>
    <row r="145" customFormat="false" ht="18.75" hidden="false" customHeight="false" outlineLevel="0" collapsed="false">
      <c r="A145" s="145" t="s">
        <v>174</v>
      </c>
      <c r="B145" s="145"/>
      <c r="C145" s="145"/>
      <c r="D145" s="145"/>
      <c r="E145" s="145"/>
      <c r="F145" s="145"/>
      <c r="G145" s="146" t="n">
        <f aca="false">H19</f>
        <v>0</v>
      </c>
      <c r="H145" s="37" t="n">
        <f aca="false">G145</f>
        <v>0</v>
      </c>
      <c r="J145" s="145" t="s">
        <v>174</v>
      </c>
      <c r="K145" s="145"/>
      <c r="L145" s="145"/>
      <c r="M145" s="145"/>
      <c r="N145" s="145"/>
      <c r="O145" s="145"/>
      <c r="P145" s="146" t="n">
        <f aca="false">H10</f>
        <v>0</v>
      </c>
      <c r="Q145" s="37" t="n">
        <f aca="false">P145</f>
        <v>0</v>
      </c>
      <c r="S145" s="145" t="s">
        <v>174</v>
      </c>
      <c r="T145" s="145"/>
      <c r="U145" s="145"/>
      <c r="V145" s="145"/>
      <c r="W145" s="145"/>
      <c r="X145" s="145"/>
      <c r="Y145" s="146" t="n">
        <f aca="false">H10</f>
        <v>0</v>
      </c>
      <c r="Z145" s="37" t="n">
        <f aca="false">Y145</f>
        <v>0</v>
      </c>
      <c r="AB145" s="145" t="s">
        <v>174</v>
      </c>
      <c r="AC145" s="145"/>
      <c r="AD145" s="145"/>
      <c r="AE145" s="145"/>
      <c r="AF145" s="145"/>
      <c r="AG145" s="145"/>
      <c r="AH145" s="146" t="n">
        <f aca="false">H10</f>
        <v>0</v>
      </c>
      <c r="AI145" s="37" t="n">
        <f aca="false">AH145</f>
        <v>0</v>
      </c>
    </row>
    <row r="146" customFormat="false" ht="18.75" hidden="false" customHeight="false" outlineLevel="0" collapsed="false">
      <c r="A146" s="145" t="s">
        <v>175</v>
      </c>
      <c r="B146" s="145"/>
      <c r="C146" s="145"/>
      <c r="D146" s="145"/>
      <c r="E146" s="145"/>
      <c r="F146" s="145"/>
      <c r="G146" s="37" t="n">
        <f aca="false">(G144+G145)*20%</f>
        <v>2783.334</v>
      </c>
      <c r="H146" s="37" t="n">
        <f aca="false">(H144+H145)*20%</f>
        <v>3182.5</v>
      </c>
      <c r="J146" s="145" t="s">
        <v>175</v>
      </c>
      <c r="K146" s="145"/>
      <c r="L146" s="145"/>
      <c r="M146" s="145"/>
      <c r="N146" s="145"/>
      <c r="O146" s="145"/>
      <c r="P146" s="146" t="n">
        <f aca="false">H11</f>
        <v>0</v>
      </c>
      <c r="Q146" s="37" t="e">
        <f aca="false">(Q144+Q145)*20%</f>
        <v>#VALUE!</v>
      </c>
      <c r="S146" s="145" t="s">
        <v>175</v>
      </c>
      <c r="T146" s="145"/>
      <c r="U146" s="145"/>
      <c r="V146" s="145"/>
      <c r="W146" s="145"/>
      <c r="X146" s="145"/>
      <c r="Y146" s="146" t="n">
        <f aca="false">H11</f>
        <v>0</v>
      </c>
      <c r="Z146" s="37" t="e">
        <f aca="false">(Z144+Z145)*20%</f>
        <v>#VALUE!</v>
      </c>
      <c r="AB146" s="145" t="s">
        <v>175</v>
      </c>
      <c r="AC146" s="145"/>
      <c r="AD146" s="145"/>
      <c r="AE146" s="145"/>
      <c r="AF146" s="145"/>
      <c r="AG146" s="145"/>
      <c r="AH146" s="146" t="n">
        <f aca="false">H11</f>
        <v>0</v>
      </c>
      <c r="AI146" s="37" t="e">
        <f aca="false">(AI144+AI145)*20%</f>
        <v>#VALUE!</v>
      </c>
    </row>
    <row r="147" customFormat="false" ht="18.75" hidden="false" customHeight="false" outlineLevel="0" collapsed="false">
      <c r="A147" s="145" t="s">
        <v>176</v>
      </c>
      <c r="B147" s="145"/>
      <c r="C147" s="145"/>
      <c r="D147" s="145"/>
      <c r="E147" s="145"/>
      <c r="F147" s="145"/>
      <c r="G147" s="146" t="n">
        <f aca="false">H21</f>
        <v>0</v>
      </c>
      <c r="H147" s="37" t="n">
        <v>0</v>
      </c>
      <c r="J147" s="145" t="s">
        <v>176</v>
      </c>
      <c r="K147" s="145"/>
      <c r="L147" s="145"/>
      <c r="M147" s="145"/>
      <c r="N147" s="145"/>
      <c r="O147" s="145"/>
      <c r="P147" s="146" t="n">
        <f aca="false">H12</f>
        <v>0</v>
      </c>
      <c r="Q147" s="37" t="n">
        <f aca="false">P147</f>
        <v>0</v>
      </c>
      <c r="S147" s="145" t="s">
        <v>176</v>
      </c>
      <c r="T147" s="145"/>
      <c r="U147" s="145"/>
      <c r="V147" s="145"/>
      <c r="W147" s="145"/>
      <c r="X147" s="145"/>
      <c r="Y147" s="146" t="n">
        <f aca="false">H12</f>
        <v>0</v>
      </c>
      <c r="Z147" s="37" t="n">
        <f aca="false">Y147</f>
        <v>0</v>
      </c>
      <c r="AB147" s="145" t="s">
        <v>176</v>
      </c>
      <c r="AC147" s="145"/>
      <c r="AD147" s="145"/>
      <c r="AE147" s="145"/>
      <c r="AF147" s="145"/>
      <c r="AG147" s="145"/>
      <c r="AH147" s="146" t="n">
        <f aca="false">H12</f>
        <v>0</v>
      </c>
      <c r="AI147" s="37" t="n">
        <f aca="false">AH147</f>
        <v>0</v>
      </c>
    </row>
    <row r="148" customFormat="false" ht="18.75" hidden="false" customHeight="false" outlineLevel="0" collapsed="false">
      <c r="A148" s="145" t="s">
        <v>177</v>
      </c>
      <c r="B148" s="145"/>
      <c r="C148" s="145"/>
      <c r="D148" s="145"/>
      <c r="E148" s="145"/>
      <c r="F148" s="145"/>
      <c r="G148" s="146" t="n">
        <f aca="false">H22</f>
        <v>0</v>
      </c>
      <c r="H148" s="37" t="n">
        <f aca="false">G148</f>
        <v>0</v>
      </c>
      <c r="J148" s="145" t="s">
        <v>177</v>
      </c>
      <c r="K148" s="145"/>
      <c r="L148" s="145"/>
      <c r="M148" s="145"/>
      <c r="N148" s="145"/>
      <c r="O148" s="145"/>
      <c r="P148" s="146" t="n">
        <f aca="false">H13</f>
        <v>0</v>
      </c>
      <c r="Q148" s="37" t="n">
        <f aca="false">P148</f>
        <v>0</v>
      </c>
      <c r="S148" s="145" t="s">
        <v>177</v>
      </c>
      <c r="T148" s="145"/>
      <c r="U148" s="145"/>
      <c r="V148" s="145"/>
      <c r="W148" s="145"/>
      <c r="X148" s="145"/>
      <c r="Y148" s="146" t="n">
        <f aca="false">H13</f>
        <v>0</v>
      </c>
      <c r="Z148" s="37" t="n">
        <f aca="false">Y148</f>
        <v>0</v>
      </c>
      <c r="AB148" s="145" t="s">
        <v>177</v>
      </c>
      <c r="AC148" s="145"/>
      <c r="AD148" s="145"/>
      <c r="AE148" s="145"/>
      <c r="AF148" s="145"/>
      <c r="AG148" s="145"/>
      <c r="AH148" s="146" t="n">
        <f aca="false">H13</f>
        <v>0</v>
      </c>
      <c r="AI148" s="37" t="n">
        <f aca="false">AH148</f>
        <v>0</v>
      </c>
    </row>
    <row r="149" customFormat="false" ht="18.75" hidden="false" customHeight="false" outlineLevel="0" collapsed="false">
      <c r="A149" s="145" t="s">
        <v>178</v>
      </c>
      <c r="B149" s="145"/>
      <c r="C149" s="145"/>
      <c r="D149" s="145"/>
      <c r="E149" s="145"/>
      <c r="F149" s="145"/>
      <c r="G149" s="146" t="n">
        <f aca="false">H23</f>
        <v>0</v>
      </c>
      <c r="H149" s="37" t="n">
        <f aca="false">G149</f>
        <v>0</v>
      </c>
      <c r="J149" s="145" t="s">
        <v>178</v>
      </c>
      <c r="K149" s="145"/>
      <c r="L149" s="145"/>
      <c r="M149" s="145"/>
      <c r="N149" s="145"/>
      <c r="O149" s="145"/>
      <c r="P149" s="146" t="n">
        <f aca="false">H14</f>
        <v>0</v>
      </c>
      <c r="Q149" s="37" t="n">
        <v>55</v>
      </c>
      <c r="S149" s="145" t="s">
        <v>178</v>
      </c>
      <c r="T149" s="145"/>
      <c r="U149" s="145"/>
      <c r="V149" s="145"/>
      <c r="W149" s="145"/>
      <c r="X149" s="145"/>
      <c r="Y149" s="146" t="n">
        <f aca="false">H14</f>
        <v>0</v>
      </c>
      <c r="Z149" s="37" t="n">
        <v>55</v>
      </c>
      <c r="AB149" s="145" t="s">
        <v>178</v>
      </c>
      <c r="AC149" s="145"/>
      <c r="AD149" s="145"/>
      <c r="AE149" s="145"/>
      <c r="AF149" s="145"/>
      <c r="AG149" s="145"/>
      <c r="AH149" s="146" t="n">
        <f aca="false">H14</f>
        <v>0</v>
      </c>
      <c r="AI149" s="37" t="n">
        <v>55</v>
      </c>
    </row>
    <row r="150" customFormat="false" ht="19.7" hidden="false" customHeight="false" outlineLevel="0" collapsed="false">
      <c r="A150" s="145" t="s">
        <v>179</v>
      </c>
      <c r="B150" s="145"/>
      <c r="C150" s="145"/>
      <c r="D150" s="145"/>
      <c r="E150" s="145"/>
      <c r="F150" s="145"/>
      <c r="G150" s="147" t="n">
        <f aca="false">(G144+G145+G148+G149+G146)-G147</f>
        <v>16700.004</v>
      </c>
      <c r="H150" s="147" t="n">
        <f aca="false">(H144+H145+H148+H149+H146)-H147</f>
        <v>19095</v>
      </c>
      <c r="J150" s="145" t="s">
        <v>179</v>
      </c>
      <c r="K150" s="145"/>
      <c r="L150" s="145"/>
      <c r="M150" s="145"/>
      <c r="N150" s="145"/>
      <c r="O150" s="145"/>
      <c r="P150" s="148" t="n">
        <f aca="false">H15</f>
        <v>0</v>
      </c>
      <c r="Q150" s="147" t="e">
        <f aca="false">(Q144+Q145+Q148+Q149+Q146)-Q147</f>
        <v>#VALUE!</v>
      </c>
      <c r="S150" s="145" t="s">
        <v>179</v>
      </c>
      <c r="T150" s="145"/>
      <c r="U150" s="145"/>
      <c r="V150" s="145"/>
      <c r="W150" s="145"/>
      <c r="X150" s="145"/>
      <c r="Y150" s="148" t="n">
        <f aca="false">H15</f>
        <v>0</v>
      </c>
      <c r="Z150" s="147" t="e">
        <f aca="false">(Z144+Z145+Z148+Z149+Z146)-Z147</f>
        <v>#VALUE!</v>
      </c>
      <c r="AB150" s="145" t="s">
        <v>179</v>
      </c>
      <c r="AC150" s="145"/>
      <c r="AD150" s="145"/>
      <c r="AE150" s="145"/>
      <c r="AF150" s="145"/>
      <c r="AG150" s="145"/>
      <c r="AH150" s="148" t="n">
        <f aca="false">H15</f>
        <v>0</v>
      </c>
      <c r="AI150" s="147" t="e">
        <f aca="false">(AI144+AI145+AI148+AI149+AI146)-AI147</f>
        <v>#VALUE!</v>
      </c>
    </row>
    <row r="151" customFormat="false" ht="18.75" hidden="false" customHeight="false" outlineLevel="0" collapsed="false">
      <c r="A151" s="145" t="s">
        <v>180</v>
      </c>
      <c r="B151" s="145"/>
      <c r="C151" s="145"/>
      <c r="D151" s="145"/>
      <c r="E151" s="145"/>
      <c r="F151" s="145"/>
      <c r="G151" s="44" t="n">
        <f aca="false">F151</f>
        <v>0</v>
      </c>
      <c r="H151" s="44" t="n">
        <f aca="false">G151</f>
        <v>0</v>
      </c>
      <c r="J151" s="145" t="s">
        <v>180</v>
      </c>
      <c r="K151" s="145"/>
      <c r="L151" s="145"/>
      <c r="M151" s="145"/>
      <c r="N151" s="145"/>
      <c r="O151" s="145"/>
      <c r="P151" s="146" t="n">
        <f aca="false">H16</f>
        <v>0</v>
      </c>
      <c r="Q151" s="44" t="n">
        <f aca="false">P151</f>
        <v>0</v>
      </c>
      <c r="S151" s="145" t="s">
        <v>180</v>
      </c>
      <c r="T151" s="145"/>
      <c r="U151" s="145"/>
      <c r="V151" s="145"/>
      <c r="W151" s="145"/>
      <c r="X151" s="145"/>
      <c r="Y151" s="146" t="n">
        <f aca="false">H16</f>
        <v>0</v>
      </c>
      <c r="Z151" s="44" t="n">
        <f aca="false">Y151</f>
        <v>0</v>
      </c>
      <c r="AB151" s="145" t="s">
        <v>180</v>
      </c>
      <c r="AC151" s="145"/>
      <c r="AD151" s="145"/>
      <c r="AE151" s="145"/>
      <c r="AF151" s="145"/>
      <c r="AG151" s="145"/>
      <c r="AH151" s="146" t="n">
        <f aca="false">H16</f>
        <v>0</v>
      </c>
      <c r="AI151" s="44" t="n">
        <f aca="false">AH151</f>
        <v>0</v>
      </c>
    </row>
    <row r="152" customFormat="false" ht="18.75" hidden="false" customHeight="false" outlineLevel="0" collapsed="false">
      <c r="A152" s="113" t="s">
        <v>181</v>
      </c>
      <c r="B152" s="113"/>
      <c r="C152" s="113"/>
      <c r="D152" s="113"/>
      <c r="E152" s="113" t="n">
        <v>0</v>
      </c>
      <c r="F152" s="113"/>
      <c r="G152" s="37" t="n">
        <v>0</v>
      </c>
      <c r="H152" s="37"/>
      <c r="J152" s="149" t="s">
        <v>181</v>
      </c>
      <c r="K152" s="149"/>
      <c r="L152" s="149"/>
      <c r="M152" s="149"/>
      <c r="N152" s="149"/>
      <c r="O152" s="149"/>
      <c r="P152" s="42"/>
      <c r="Q152" s="37"/>
      <c r="S152" s="113" t="s">
        <v>181</v>
      </c>
      <c r="T152" s="113"/>
      <c r="U152" s="113"/>
      <c r="V152" s="113"/>
      <c r="W152" s="113"/>
      <c r="X152" s="113"/>
      <c r="Y152" s="42"/>
      <c r="Z152" s="37"/>
      <c r="AB152" s="113" t="s">
        <v>181</v>
      </c>
      <c r="AC152" s="113"/>
      <c r="AD152" s="113"/>
      <c r="AE152" s="113"/>
      <c r="AF152" s="113"/>
      <c r="AG152" s="113"/>
      <c r="AH152" s="42"/>
      <c r="AI152" s="37"/>
    </row>
    <row r="153" customFormat="false" ht="18.75" hidden="false" customHeight="false" outlineLevel="0" collapsed="false">
      <c r="A153" s="150" t="s">
        <v>26</v>
      </c>
      <c r="B153" s="151" t="n">
        <v>0</v>
      </c>
      <c r="C153" s="151"/>
      <c r="D153" s="151"/>
      <c r="E153" s="151"/>
      <c r="F153" s="151"/>
      <c r="G153" s="44" t="n">
        <v>0</v>
      </c>
      <c r="H153" s="44" t="n">
        <v>0</v>
      </c>
      <c r="J153" s="150" t="s">
        <v>26</v>
      </c>
      <c r="K153" s="151" t="s">
        <v>182</v>
      </c>
      <c r="L153" s="151"/>
      <c r="M153" s="151"/>
      <c r="N153" s="151"/>
      <c r="O153" s="151"/>
      <c r="P153" s="146" t="n">
        <f aca="false">H18</f>
        <v>0</v>
      </c>
      <c r="Q153" s="44" t="n">
        <f aca="false">P153</f>
        <v>0</v>
      </c>
      <c r="S153" s="150" t="s">
        <v>26</v>
      </c>
      <c r="T153" s="151" t="s">
        <v>182</v>
      </c>
      <c r="U153" s="151"/>
      <c r="V153" s="151"/>
      <c r="W153" s="151"/>
      <c r="X153" s="151"/>
      <c r="Y153" s="146" t="n">
        <f aca="false">H18</f>
        <v>0</v>
      </c>
      <c r="Z153" s="44" t="n">
        <f aca="false">Y153</f>
        <v>0</v>
      </c>
      <c r="AB153" s="150" t="s">
        <v>26</v>
      </c>
      <c r="AC153" s="151" t="s">
        <v>182</v>
      </c>
      <c r="AD153" s="151"/>
      <c r="AE153" s="151"/>
      <c r="AF153" s="151"/>
      <c r="AG153" s="151"/>
      <c r="AH153" s="146" t="n">
        <f aca="false">H18</f>
        <v>0</v>
      </c>
      <c r="AI153" s="44" t="n">
        <f aca="false">AH153</f>
        <v>0</v>
      </c>
    </row>
    <row r="154" customFormat="false" ht="18.75" hidden="false" customHeight="false" outlineLevel="0" collapsed="false">
      <c r="A154" s="150" t="s">
        <v>28</v>
      </c>
      <c r="B154" s="151" t="s">
        <v>182</v>
      </c>
      <c r="C154" s="151"/>
      <c r="D154" s="151"/>
      <c r="E154" s="151"/>
      <c r="F154" s="151"/>
      <c r="G154" s="44" t="n">
        <v>0</v>
      </c>
      <c r="H154" s="44" t="n">
        <v>0</v>
      </c>
      <c r="I154" s="6" t="n">
        <f aca="false">(G151+G154+G155+G153)</f>
        <v>0</v>
      </c>
      <c r="J154" s="150" t="s">
        <v>28</v>
      </c>
      <c r="K154" s="151" t="s">
        <v>182</v>
      </c>
      <c r="L154" s="151"/>
      <c r="M154" s="151"/>
      <c r="N154" s="151"/>
      <c r="O154" s="151"/>
      <c r="P154" s="146" t="n">
        <f aca="false">H19</f>
        <v>0</v>
      </c>
      <c r="Q154" s="44" t="n">
        <f aca="false">P154</f>
        <v>0</v>
      </c>
      <c r="S154" s="150" t="s">
        <v>28</v>
      </c>
      <c r="T154" s="151" t="s">
        <v>182</v>
      </c>
      <c r="U154" s="151"/>
      <c r="V154" s="151"/>
      <c r="W154" s="151"/>
      <c r="X154" s="151"/>
      <c r="Y154" s="146" t="n">
        <f aca="false">H19</f>
        <v>0</v>
      </c>
      <c r="Z154" s="44" t="n">
        <f aca="false">Y154</f>
        <v>0</v>
      </c>
      <c r="AB154" s="150" t="s">
        <v>28</v>
      </c>
      <c r="AC154" s="151" t="s">
        <v>182</v>
      </c>
      <c r="AD154" s="151"/>
      <c r="AE154" s="151"/>
      <c r="AF154" s="151"/>
      <c r="AG154" s="151"/>
      <c r="AH154" s="146" t="n">
        <f aca="false">H19</f>
        <v>0</v>
      </c>
      <c r="AI154" s="44" t="n">
        <f aca="false">AH154</f>
        <v>0</v>
      </c>
    </row>
    <row r="155" customFormat="false" ht="18.75" hidden="false" customHeight="false" outlineLevel="0" collapsed="false">
      <c r="A155" s="152" t="s">
        <v>29</v>
      </c>
      <c r="B155" s="153" t="s">
        <v>182</v>
      </c>
      <c r="C155" s="153"/>
      <c r="D155" s="153"/>
      <c r="E155" s="153"/>
      <c r="F155" s="153"/>
      <c r="G155" s="44" t="n">
        <v>0</v>
      </c>
      <c r="H155" s="44" t="n">
        <v>0</v>
      </c>
      <c r="I155" s="6" t="n">
        <f aca="false">(H151+H153+H154+H155)</f>
        <v>0</v>
      </c>
      <c r="J155" s="152" t="s">
        <v>29</v>
      </c>
      <c r="K155" s="153" t="s">
        <v>182</v>
      </c>
      <c r="L155" s="153"/>
      <c r="M155" s="153"/>
      <c r="N155" s="153"/>
      <c r="O155" s="153"/>
      <c r="P155" s="146" t="n">
        <f aca="false">H20</f>
        <v>0</v>
      </c>
      <c r="Q155" s="44" t="n">
        <f aca="false">P155</f>
        <v>0</v>
      </c>
      <c r="S155" s="152" t="s">
        <v>29</v>
      </c>
      <c r="T155" s="153" t="s">
        <v>182</v>
      </c>
      <c r="U155" s="153"/>
      <c r="V155" s="153"/>
      <c r="W155" s="153"/>
      <c r="X155" s="153"/>
      <c r="Y155" s="146" t="n">
        <f aca="false">H20</f>
        <v>0</v>
      </c>
      <c r="Z155" s="44" t="n">
        <f aca="false">Y155</f>
        <v>0</v>
      </c>
      <c r="AB155" s="152" t="s">
        <v>29</v>
      </c>
      <c r="AC155" s="153" t="s">
        <v>182</v>
      </c>
      <c r="AD155" s="153"/>
      <c r="AE155" s="153"/>
      <c r="AF155" s="153"/>
      <c r="AG155" s="153"/>
      <c r="AH155" s="146" t="n">
        <f aca="false">H20</f>
        <v>0</v>
      </c>
      <c r="AI155" s="44" t="n">
        <f aca="false">AH155</f>
        <v>0</v>
      </c>
    </row>
    <row r="156" customFormat="false" ht="19.7" hidden="false" customHeight="false" outlineLevel="0" collapsed="false">
      <c r="A156" s="145" t="s">
        <v>183</v>
      </c>
      <c r="B156" s="145"/>
      <c r="C156" s="145"/>
      <c r="D156" s="145"/>
      <c r="E156" s="145"/>
      <c r="F156" s="145"/>
      <c r="G156" s="154" t="n">
        <f aca="false">G150-((G153*1.2)+(G154*1.2)+(G155*1.2)+(G151*1.2))</f>
        <v>16700.004</v>
      </c>
      <c r="H156" s="154" t="n">
        <f aca="false">H150-((H153*1.2)+(H154*1.2)+(H155*1.2)+(H151*1.2))</f>
        <v>19095</v>
      </c>
      <c r="J156" s="155" t="s">
        <v>183</v>
      </c>
      <c r="K156" s="155"/>
      <c r="L156" s="155"/>
      <c r="M156" s="155"/>
      <c r="N156" s="155"/>
      <c r="O156" s="155"/>
      <c r="P156" s="148" t="n">
        <f aca="false">P150-((P153*1.2)+(P154*1.2)+(P155*1.2)+(P151*1.2))</f>
        <v>0</v>
      </c>
      <c r="Q156" s="154" t="e">
        <f aca="false">Q150-((Q153*1.2)+(Q154*1.2)+(Q155*1.2)+(Q151*1.2))</f>
        <v>#VALUE!</v>
      </c>
      <c r="S156" s="145" t="s">
        <v>183</v>
      </c>
      <c r="T156" s="145"/>
      <c r="U156" s="145"/>
      <c r="V156" s="145"/>
      <c r="W156" s="145"/>
      <c r="X156" s="145"/>
      <c r="Y156" s="148" t="n">
        <f aca="false">Y150-((Y153*1.2)+(Y154*1.2)+(Y155*1.2)+(Y151*1.2))</f>
        <v>0</v>
      </c>
      <c r="Z156" s="154" t="e">
        <f aca="false">Z150-((Z153*1.2)+(Z154*1.2)+(Z155*1.2)+(Z151*1.2))</f>
        <v>#VALUE!</v>
      </c>
      <c r="AB156" s="145" t="s">
        <v>183</v>
      </c>
      <c r="AC156" s="145"/>
      <c r="AD156" s="145"/>
      <c r="AE156" s="145"/>
      <c r="AF156" s="145"/>
      <c r="AG156" s="145"/>
      <c r="AH156" s="148" t="n">
        <f aca="false">AH150-((AH153*1.2)+(AH154*1.2)+(AH155*1.2)+(AH151*1.2))</f>
        <v>0</v>
      </c>
      <c r="AI156" s="154" t="e">
        <f aca="false">AI150-((AI153*1.2)+(AI154*1.2)+(AI155*1.2)+(AI151*1.2))</f>
        <v>#VALUE!</v>
      </c>
    </row>
    <row r="157" customFormat="false" ht="18.75" hidden="false" customHeight="false" outlineLevel="0" collapsed="false">
      <c r="A157" s="145" t="s">
        <v>184</v>
      </c>
      <c r="B157" s="145"/>
      <c r="C157" s="145"/>
      <c r="D157" s="145"/>
      <c r="E157" s="145"/>
      <c r="F157" s="145"/>
      <c r="G157" s="146"/>
      <c r="H157" s="44" t="n">
        <f aca="false">((H156-G156)-(H146-G146))+((I155-I154)*0.2)</f>
        <v>1995.83</v>
      </c>
      <c r="I157" s="6" t="n">
        <f aca="false">(H157-G90)/1.2</f>
        <v>-11420.145</v>
      </c>
      <c r="J157" s="145" t="s">
        <v>184</v>
      </c>
      <c r="K157" s="145"/>
      <c r="L157" s="145"/>
      <c r="M157" s="145"/>
      <c r="N157" s="145"/>
      <c r="O157" s="145"/>
      <c r="P157" s="146"/>
      <c r="Q157" s="44" t="e">
        <f aca="false">Q156-P156</f>
        <v>#VALUE!</v>
      </c>
      <c r="S157" s="145" t="s">
        <v>184</v>
      </c>
      <c r="T157" s="145"/>
      <c r="U157" s="145"/>
      <c r="V157" s="145"/>
      <c r="W157" s="145"/>
      <c r="X157" s="145"/>
      <c r="Y157" s="146"/>
      <c r="Z157" s="44" t="e">
        <f aca="false">Z156-Y156</f>
        <v>#VALUE!</v>
      </c>
      <c r="AB157" s="145" t="s">
        <v>184</v>
      </c>
      <c r="AC157" s="145"/>
      <c r="AD157" s="145"/>
      <c r="AE157" s="145"/>
      <c r="AF157" s="145"/>
      <c r="AG157" s="145"/>
      <c r="AH157" s="146"/>
      <c r="AI157" s="44" t="e">
        <f aca="false">AI156-AH156</f>
        <v>#VALUE!</v>
      </c>
    </row>
    <row r="158" customFormat="false" ht="18.75" hidden="false" customHeight="false" outlineLevel="0" collapsed="false">
      <c r="A158" s="35"/>
      <c r="B158" s="36"/>
      <c r="C158" s="36"/>
      <c r="D158" s="36"/>
      <c r="E158" s="27"/>
      <c r="F158" s="27"/>
      <c r="G158" s="27"/>
      <c r="H158" s="37"/>
      <c r="J158" s="35"/>
      <c r="K158" s="36"/>
      <c r="L158" s="36"/>
      <c r="M158" s="36"/>
      <c r="N158" s="27"/>
      <c r="O158" s="27"/>
      <c r="P158" s="27"/>
      <c r="Q158" s="37"/>
      <c r="S158" s="35"/>
      <c r="T158" s="36"/>
      <c r="U158" s="36"/>
      <c r="V158" s="36"/>
      <c r="W158" s="27"/>
      <c r="X158" s="27"/>
      <c r="Y158" s="27"/>
      <c r="Z158" s="37"/>
      <c r="AB158" s="35"/>
      <c r="AC158" s="36"/>
      <c r="AD158" s="36"/>
      <c r="AE158" s="36"/>
      <c r="AF158" s="27"/>
      <c r="AG158" s="27"/>
      <c r="AH158" s="27"/>
      <c r="AI158" s="37"/>
    </row>
    <row r="159" customFormat="false" ht="22.05" hidden="false" customHeight="false" outlineLevel="0" collapsed="false">
      <c r="A159" s="32" t="s">
        <v>185</v>
      </c>
      <c r="B159" s="32"/>
      <c r="C159" s="32"/>
      <c r="D159" s="32"/>
      <c r="E159" s="32"/>
      <c r="F159" s="32"/>
      <c r="G159" s="32"/>
      <c r="H159" s="32"/>
      <c r="J159" s="32" t="s">
        <v>185</v>
      </c>
      <c r="K159" s="32"/>
      <c r="L159" s="32"/>
      <c r="M159" s="32"/>
      <c r="N159" s="32"/>
      <c r="O159" s="32"/>
      <c r="P159" s="32"/>
      <c r="Q159" s="32"/>
      <c r="S159" s="32" t="s">
        <v>185</v>
      </c>
      <c r="T159" s="32"/>
      <c r="U159" s="32"/>
      <c r="V159" s="32"/>
      <c r="W159" s="32"/>
      <c r="X159" s="32"/>
      <c r="Y159" s="32"/>
      <c r="Z159" s="32"/>
      <c r="AB159" s="32" t="s">
        <v>185</v>
      </c>
      <c r="AC159" s="32"/>
      <c r="AD159" s="32"/>
      <c r="AE159" s="32"/>
      <c r="AF159" s="32"/>
      <c r="AG159" s="32"/>
      <c r="AH159" s="32"/>
      <c r="AI159" s="32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 t="s">
        <v>186</v>
      </c>
      <c r="B161" s="36"/>
      <c r="C161" s="36"/>
      <c r="D161" s="27"/>
      <c r="E161" s="109" t="n">
        <v>0</v>
      </c>
      <c r="F161" s="109"/>
      <c r="G161" s="109" t="n">
        <v>0</v>
      </c>
      <c r="H161" s="109"/>
      <c r="J161" s="35" t="s">
        <v>186</v>
      </c>
      <c r="K161" s="36"/>
      <c r="L161" s="36"/>
      <c r="M161" s="27"/>
      <c r="N161" s="109" t="n">
        <v>10000</v>
      </c>
      <c r="O161" s="109"/>
      <c r="P161" s="109" t="n">
        <v>5000</v>
      </c>
      <c r="Q161" s="109"/>
      <c r="S161" s="35" t="s">
        <v>186</v>
      </c>
      <c r="T161" s="36"/>
      <c r="U161" s="36"/>
      <c r="V161" s="27"/>
      <c r="W161" s="109" t="n">
        <v>10000</v>
      </c>
      <c r="X161" s="109"/>
      <c r="Y161" s="109" t="n">
        <v>5000</v>
      </c>
      <c r="Z161" s="109"/>
      <c r="AB161" s="35" t="s">
        <v>186</v>
      </c>
      <c r="AC161" s="36"/>
      <c r="AD161" s="36"/>
      <c r="AE161" s="27"/>
      <c r="AF161" s="109" t="n">
        <v>10000</v>
      </c>
      <c r="AG161" s="109"/>
      <c r="AH161" s="109" t="n">
        <v>5000</v>
      </c>
      <c r="AI161" s="109"/>
    </row>
    <row r="162" customFormat="false" ht="18.75" hidden="false" customHeight="false" outlineLevel="0" collapsed="false">
      <c r="A162" s="35" t="s">
        <v>187</v>
      </c>
      <c r="B162" s="36"/>
      <c r="C162" s="36"/>
      <c r="D162" s="27"/>
      <c r="E162" s="156" t="n">
        <f aca="false">G162</f>
        <v>0</v>
      </c>
      <c r="F162" s="156"/>
      <c r="G162" s="109" t="n">
        <v>0</v>
      </c>
      <c r="H162" s="109"/>
      <c r="J162" s="35" t="s">
        <v>187</v>
      </c>
      <c r="K162" s="36"/>
      <c r="L162" s="36"/>
      <c r="M162" s="27"/>
      <c r="N162" s="156" t="n">
        <f aca="false">P162</f>
        <v>7000</v>
      </c>
      <c r="O162" s="156"/>
      <c r="P162" s="109" t="n">
        <v>7000</v>
      </c>
      <c r="Q162" s="109"/>
      <c r="S162" s="35" t="s">
        <v>187</v>
      </c>
      <c r="T162" s="36"/>
      <c r="U162" s="36"/>
      <c r="V162" s="27"/>
      <c r="W162" s="156" t="n">
        <f aca="false">Y162</f>
        <v>7000</v>
      </c>
      <c r="X162" s="156"/>
      <c r="Y162" s="109" t="n">
        <v>7000</v>
      </c>
      <c r="Z162" s="109"/>
      <c r="AB162" s="35" t="s">
        <v>187</v>
      </c>
      <c r="AC162" s="36"/>
      <c r="AD162" s="36"/>
      <c r="AE162" s="27"/>
      <c r="AF162" s="156" t="n">
        <f aca="false">AH162</f>
        <v>7000</v>
      </c>
      <c r="AG162" s="156"/>
      <c r="AH162" s="109" t="n">
        <v>7000</v>
      </c>
      <c r="AI162" s="109"/>
    </row>
    <row r="163" customFormat="false" ht="18.75" hidden="false" customHeight="false" outlineLevel="0" collapsed="false">
      <c r="A163" s="35" t="s">
        <v>188</v>
      </c>
      <c r="B163" s="36"/>
      <c r="C163" s="36"/>
      <c r="D163" s="27"/>
      <c r="E163" s="156" t="n">
        <f aca="false">E161-E162</f>
        <v>0</v>
      </c>
      <c r="F163" s="156"/>
      <c r="G163" s="157" t="n">
        <f aca="false">G161-G162</f>
        <v>0</v>
      </c>
      <c r="H163" s="157"/>
      <c r="J163" s="35" t="s">
        <v>188</v>
      </c>
      <c r="K163" s="36"/>
      <c r="L163" s="36"/>
      <c r="M163" s="27"/>
      <c r="N163" s="156" t="n">
        <f aca="false">N161-N162</f>
        <v>3000</v>
      </c>
      <c r="O163" s="156"/>
      <c r="P163" s="157" t="n">
        <f aca="false">P161-P162</f>
        <v>-2000</v>
      </c>
      <c r="Q163" s="157"/>
      <c r="S163" s="35" t="s">
        <v>188</v>
      </c>
      <c r="T163" s="36"/>
      <c r="U163" s="36"/>
      <c r="V163" s="27"/>
      <c r="W163" s="156" t="n">
        <f aca="false">W161-W162</f>
        <v>3000</v>
      </c>
      <c r="X163" s="156"/>
      <c r="Y163" s="157" t="n">
        <f aca="false">Y161-Y162</f>
        <v>-2000</v>
      </c>
      <c r="Z163" s="157"/>
      <c r="AB163" s="35" t="s">
        <v>188</v>
      </c>
      <c r="AC163" s="36"/>
      <c r="AD163" s="36"/>
      <c r="AE163" s="27"/>
      <c r="AF163" s="156" t="n">
        <f aca="false">AF161-AF162</f>
        <v>3000</v>
      </c>
      <c r="AG163" s="156"/>
      <c r="AH163" s="157" t="n">
        <f aca="false">AH161-AH162</f>
        <v>-2000</v>
      </c>
      <c r="AI163" s="157"/>
    </row>
    <row r="164" customFormat="false" ht="18.75" hidden="false" customHeight="false" outlineLevel="0" collapsed="false">
      <c r="A164" s="35" t="s">
        <v>189</v>
      </c>
      <c r="B164" s="36"/>
      <c r="C164" s="36"/>
      <c r="D164" s="27"/>
      <c r="E164" s="156" t="n">
        <f aca="false">E163-G163</f>
        <v>0</v>
      </c>
      <c r="F164" s="156"/>
      <c r="G164" s="27"/>
      <c r="H164" s="37"/>
      <c r="J164" s="35" t="s">
        <v>189</v>
      </c>
      <c r="K164" s="36"/>
      <c r="L164" s="36"/>
      <c r="M164" s="27"/>
      <c r="N164" s="156" t="n">
        <f aca="false">N163-P163</f>
        <v>5000</v>
      </c>
      <c r="O164" s="156"/>
      <c r="P164" s="27"/>
      <c r="Q164" s="37"/>
      <c r="S164" s="35" t="s">
        <v>189</v>
      </c>
      <c r="T164" s="36"/>
      <c r="U164" s="36"/>
      <c r="V164" s="27"/>
      <c r="W164" s="156" t="n">
        <f aca="false">W163-Y163</f>
        <v>5000</v>
      </c>
      <c r="X164" s="156"/>
      <c r="Y164" s="27"/>
      <c r="Z164" s="37"/>
      <c r="AB164" s="35" t="s">
        <v>189</v>
      </c>
      <c r="AC164" s="36"/>
      <c r="AD164" s="36"/>
      <c r="AE164" s="27"/>
      <c r="AF164" s="156" t="n">
        <f aca="false">AF163-AH163</f>
        <v>5000</v>
      </c>
      <c r="AG164" s="156"/>
      <c r="AH164" s="27"/>
      <c r="AI164" s="37"/>
    </row>
    <row r="165" customFormat="false" ht="18.75" hidden="false" customHeight="false" outlineLevel="0" collapsed="false">
      <c r="A165" s="35" t="s">
        <v>190</v>
      </c>
      <c r="B165" s="36"/>
      <c r="C165" s="36"/>
      <c r="D165" s="27"/>
      <c r="E165" s="36"/>
      <c r="F165" s="27"/>
      <c r="G165" s="27"/>
      <c r="H165" s="44" t="n">
        <v>1150</v>
      </c>
      <c r="J165" s="35"/>
      <c r="K165" s="36"/>
      <c r="L165" s="36"/>
      <c r="M165" s="27"/>
      <c r="N165" s="36"/>
      <c r="O165" s="27"/>
      <c r="P165" s="27"/>
      <c r="Q165" s="37"/>
      <c r="S165" s="35"/>
      <c r="T165" s="36"/>
      <c r="U165" s="36"/>
      <c r="V165" s="27"/>
      <c r="W165" s="36"/>
      <c r="X165" s="27"/>
      <c r="Y165" s="27"/>
      <c r="Z165" s="37"/>
      <c r="AB165" s="35"/>
      <c r="AC165" s="36"/>
      <c r="AD165" s="36"/>
      <c r="AE165" s="27"/>
      <c r="AF165" s="36"/>
      <c r="AG165" s="27"/>
      <c r="AH165" s="27"/>
      <c r="AI165" s="37"/>
    </row>
    <row r="166" customFormat="false" ht="18.75" hidden="false" customHeight="false" outlineLevel="0" collapsed="false">
      <c r="A166" s="29" t="s">
        <v>191</v>
      </c>
      <c r="B166" s="30"/>
      <c r="C166" s="30"/>
      <c r="D166" s="79"/>
      <c r="E166" s="30"/>
      <c r="F166" s="79"/>
      <c r="G166" s="158" t="n">
        <f aca="false">B120</f>
        <v>0</v>
      </c>
      <c r="H166" s="158"/>
      <c r="J166" s="29" t="s">
        <v>191</v>
      </c>
      <c r="K166" s="30"/>
      <c r="L166" s="30"/>
      <c r="M166" s="79"/>
      <c r="N166" s="30"/>
      <c r="O166" s="79"/>
      <c r="P166" s="158" t="n">
        <f aca="false">K120</f>
        <v>1000</v>
      </c>
      <c r="Q166" s="158"/>
      <c r="S166" s="29" t="s">
        <v>191</v>
      </c>
      <c r="T166" s="30"/>
      <c r="U166" s="30"/>
      <c r="V166" s="79"/>
      <c r="W166" s="30"/>
      <c r="X166" s="79"/>
      <c r="Y166" s="158" t="n">
        <f aca="false">T120</f>
        <v>1000</v>
      </c>
      <c r="Z166" s="158"/>
      <c r="AB166" s="29" t="s">
        <v>191</v>
      </c>
      <c r="AC166" s="30"/>
      <c r="AD166" s="30"/>
      <c r="AE166" s="79"/>
      <c r="AF166" s="30"/>
      <c r="AG166" s="79"/>
      <c r="AH166" s="158" t="n">
        <f aca="false">AC120</f>
        <v>1000</v>
      </c>
      <c r="AI166" s="158"/>
    </row>
    <row r="167" customFormat="false" ht="19.7" hidden="false" customHeight="false" outlineLevel="0" collapsed="false">
      <c r="A167" s="159" t="s">
        <v>192</v>
      </c>
      <c r="B167" s="36"/>
      <c r="C167" s="36"/>
      <c r="D167" s="27"/>
      <c r="E167" s="36"/>
      <c r="F167" s="27"/>
      <c r="G167" s="160" t="n">
        <f aca="false">H156-G163-G166+H165</f>
        <v>20245</v>
      </c>
      <c r="H167" s="160"/>
      <c r="J167" s="159" t="s">
        <v>192</v>
      </c>
      <c r="K167" s="36"/>
      <c r="L167" s="36"/>
      <c r="M167" s="27"/>
      <c r="N167" s="36"/>
      <c r="O167" s="27"/>
      <c r="P167" s="160" t="e">
        <f aca="false">Q156-P163-P166</f>
        <v>#VALUE!</v>
      </c>
      <c r="Q167" s="160"/>
      <c r="S167" s="159" t="s">
        <v>192</v>
      </c>
      <c r="T167" s="36"/>
      <c r="U167" s="36"/>
      <c r="V167" s="27"/>
      <c r="W167" s="36"/>
      <c r="X167" s="27"/>
      <c r="Y167" s="160" t="e">
        <f aca="false">Z156-Y163-Y166</f>
        <v>#VALUE!</v>
      </c>
      <c r="Z167" s="160"/>
      <c r="AB167" s="159" t="s">
        <v>192</v>
      </c>
      <c r="AC167" s="36"/>
      <c r="AD167" s="36"/>
      <c r="AE167" s="27"/>
      <c r="AF167" s="36"/>
      <c r="AG167" s="27"/>
      <c r="AH167" s="160" t="e">
        <f aca="false">AI156-AH163-AH166</f>
        <v>#VALUE!</v>
      </c>
      <c r="AI167" s="160"/>
    </row>
    <row r="168" customFormat="false" ht="18.75" hidden="false" customHeight="false" outlineLevel="0" collapsed="false">
      <c r="A168" s="60" t="s">
        <v>66</v>
      </c>
      <c r="B168" s="61"/>
      <c r="C168" s="61"/>
      <c r="D168" s="101"/>
      <c r="E168" s="61"/>
      <c r="F168" s="101"/>
      <c r="G168" s="161" t="n">
        <f aca="false">B123</f>
        <v>239.99</v>
      </c>
      <c r="H168" s="161"/>
      <c r="J168" s="60" t="s">
        <v>66</v>
      </c>
      <c r="K168" s="61"/>
      <c r="L168" s="61"/>
      <c r="M168" s="101"/>
      <c r="N168" s="61"/>
      <c r="O168" s="101"/>
      <c r="P168" s="161" t="n">
        <f aca="false">K123</f>
        <v>239.99</v>
      </c>
      <c r="Q168" s="161"/>
      <c r="S168" s="60" t="s">
        <v>66</v>
      </c>
      <c r="T168" s="61"/>
      <c r="U168" s="61"/>
      <c r="V168" s="101"/>
      <c r="W168" s="61"/>
      <c r="X168" s="101"/>
      <c r="Y168" s="161" t="n">
        <f aca="false">T123</f>
        <v>199.99</v>
      </c>
      <c r="Z168" s="161"/>
      <c r="AB168" s="60" t="s">
        <v>66</v>
      </c>
      <c r="AC168" s="61"/>
      <c r="AD168" s="61"/>
      <c r="AE168" s="101"/>
      <c r="AF168" s="61"/>
      <c r="AG168" s="101"/>
      <c r="AH168" s="161" t="n">
        <f aca="false">AC123</f>
        <v>239.99</v>
      </c>
      <c r="AI168" s="161"/>
    </row>
    <row r="169" customFormat="false" ht="18.75" hidden="false" customHeight="false" outlineLevel="0" collapsed="false">
      <c r="A169" s="35"/>
      <c r="B169" s="36"/>
      <c r="C169" s="36"/>
      <c r="D169" s="36"/>
      <c r="E169" s="27"/>
      <c r="F169" s="27"/>
      <c r="G169" s="27"/>
      <c r="H169" s="37"/>
      <c r="J169" s="35"/>
      <c r="K169" s="36"/>
      <c r="L169" s="36"/>
      <c r="M169" s="36"/>
      <c r="N169" s="27"/>
      <c r="O169" s="27"/>
      <c r="P169" s="27"/>
      <c r="Q169" s="37"/>
      <c r="S169" s="35"/>
      <c r="T169" s="36"/>
      <c r="U169" s="36"/>
      <c r="V169" s="36"/>
      <c r="W169" s="27"/>
      <c r="X169" s="27"/>
      <c r="Y169" s="27"/>
      <c r="Z169" s="37"/>
      <c r="AB169" s="35"/>
      <c r="AC169" s="36"/>
      <c r="AD169" s="36"/>
      <c r="AE169" s="36"/>
      <c r="AF169" s="27"/>
      <c r="AG169" s="27"/>
      <c r="AH169" s="27"/>
      <c r="AI169" s="37"/>
    </row>
    <row r="170" customFormat="false" ht="18.75" hidden="false" customHeight="false" outlineLevel="0" collapsed="false">
      <c r="A170" s="35"/>
      <c r="B170" s="36"/>
      <c r="C170" s="36"/>
      <c r="D170" s="36"/>
      <c r="E170" s="27" t="n">
        <v>7200</v>
      </c>
      <c r="F170" s="27"/>
      <c r="G170" s="27"/>
      <c r="H170" s="37"/>
      <c r="J170" s="35"/>
      <c r="K170" s="36"/>
      <c r="L170" s="36"/>
      <c r="M170" s="36"/>
      <c r="N170" s="27"/>
      <c r="O170" s="27"/>
      <c r="P170" s="27"/>
      <c r="Q170" s="37"/>
      <c r="S170" s="35"/>
      <c r="T170" s="36"/>
      <c r="U170" s="36"/>
      <c r="V170" s="36"/>
      <c r="W170" s="27"/>
      <c r="X170" s="27"/>
      <c r="Y170" s="27"/>
      <c r="Z170" s="37"/>
      <c r="AB170" s="35"/>
      <c r="AC170" s="36"/>
      <c r="AD170" s="36"/>
      <c r="AE170" s="36"/>
      <c r="AF170" s="27"/>
      <c r="AG170" s="27"/>
      <c r="AH170" s="27"/>
      <c r="AI170" s="37"/>
    </row>
    <row r="171" customFormat="false" ht="22.05" hidden="false" customHeight="false" outlineLevel="0" collapsed="false">
      <c r="A171" s="32" t="s">
        <v>193</v>
      </c>
      <c r="B171" s="32"/>
      <c r="C171" s="32"/>
      <c r="D171" s="32"/>
      <c r="E171" s="32"/>
      <c r="F171" s="32"/>
      <c r="G171" s="32"/>
      <c r="H171" s="32"/>
      <c r="J171" s="32" t="s">
        <v>193</v>
      </c>
      <c r="K171" s="32"/>
      <c r="L171" s="32"/>
      <c r="M171" s="32"/>
      <c r="N171" s="32"/>
      <c r="O171" s="32"/>
      <c r="P171" s="32"/>
      <c r="Q171" s="32"/>
      <c r="S171" s="32" t="s">
        <v>193</v>
      </c>
      <c r="T171" s="32"/>
      <c r="U171" s="32"/>
      <c r="V171" s="32"/>
      <c r="W171" s="32"/>
      <c r="X171" s="32"/>
      <c r="Y171" s="32"/>
      <c r="Z171" s="32"/>
      <c r="AB171" s="32" t="s">
        <v>193</v>
      </c>
      <c r="AC171" s="32"/>
      <c r="AD171" s="32"/>
      <c r="AE171" s="32"/>
      <c r="AF171" s="32"/>
      <c r="AG171" s="32"/>
      <c r="AH171" s="32"/>
      <c r="AI171" s="32"/>
    </row>
    <row r="172" customFormat="false" ht="18.75" hidden="false" customHeight="false" outlineLevel="0" collapsed="false">
      <c r="A172" s="35"/>
      <c r="B172" s="36"/>
      <c r="C172" s="36"/>
      <c r="D172" s="36"/>
      <c r="E172" s="27"/>
      <c r="F172" s="27"/>
      <c r="G172" s="27"/>
      <c r="H172" s="37"/>
      <c r="J172" s="35"/>
      <c r="K172" s="36"/>
      <c r="L172" s="36"/>
      <c r="M172" s="36"/>
      <c r="N172" s="27"/>
      <c r="O172" s="27"/>
      <c r="P172" s="27"/>
      <c r="Q172" s="37"/>
      <c r="S172" s="35"/>
      <c r="T172" s="36"/>
      <c r="U172" s="36"/>
      <c r="V172" s="36"/>
      <c r="W172" s="27"/>
      <c r="X172" s="27"/>
      <c r="Y172" s="27"/>
      <c r="Z172" s="37"/>
      <c r="AB172" s="35"/>
      <c r="AC172" s="36"/>
      <c r="AD172" s="36"/>
      <c r="AE172" s="36"/>
      <c r="AF172" s="27"/>
      <c r="AG172" s="27"/>
      <c r="AH172" s="27"/>
      <c r="AI172" s="37"/>
    </row>
    <row r="173" customFormat="false" ht="18.75" hidden="false" customHeight="false" outlineLevel="0" collapsed="false">
      <c r="A173" s="35" t="s">
        <v>194</v>
      </c>
      <c r="B173" s="162" t="n">
        <v>0</v>
      </c>
      <c r="C173" s="162"/>
      <c r="D173" s="36"/>
      <c r="E173" s="27"/>
      <c r="F173" s="27"/>
      <c r="G173" s="27"/>
      <c r="H173" s="37"/>
      <c r="J173" s="35" t="s">
        <v>194</v>
      </c>
      <c r="K173" s="162" t="n">
        <v>0</v>
      </c>
      <c r="L173" s="162"/>
      <c r="M173" s="36"/>
      <c r="N173" s="27"/>
      <c r="O173" s="27"/>
      <c r="P173" s="27"/>
      <c r="Q173" s="37"/>
      <c r="S173" s="35" t="s">
        <v>194</v>
      </c>
      <c r="T173" s="162" t="n">
        <v>0</v>
      </c>
      <c r="U173" s="162"/>
      <c r="V173" s="36"/>
      <c r="W173" s="27"/>
      <c r="X173" s="27"/>
      <c r="Y173" s="27"/>
      <c r="Z173" s="37"/>
      <c r="AB173" s="35" t="s">
        <v>194</v>
      </c>
      <c r="AC173" s="162" t="n">
        <v>0</v>
      </c>
      <c r="AD173" s="162"/>
      <c r="AE173" s="36"/>
      <c r="AF173" s="27"/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36"/>
      <c r="E174" s="27"/>
      <c r="F174" s="27"/>
      <c r="G174" s="27"/>
      <c r="H174" s="37"/>
      <c r="J174" s="35"/>
      <c r="K174" s="36"/>
      <c r="L174" s="36"/>
      <c r="M174" s="36"/>
      <c r="N174" s="27"/>
      <c r="O174" s="27"/>
      <c r="P174" s="27"/>
      <c r="Q174" s="37"/>
      <c r="S174" s="35"/>
      <c r="T174" s="36"/>
      <c r="U174" s="36"/>
      <c r="V174" s="36"/>
      <c r="W174" s="27"/>
      <c r="X174" s="27"/>
      <c r="Y174" s="27"/>
      <c r="Z174" s="37"/>
      <c r="AB174" s="35"/>
      <c r="AC174" s="36"/>
      <c r="AD174" s="36"/>
      <c r="AE174" s="36"/>
      <c r="AF174" s="27"/>
      <c r="AG174" s="27"/>
      <c r="AH174" s="27"/>
      <c r="AI174" s="37"/>
    </row>
    <row r="175" customFormat="false" ht="18.75" hidden="false" customHeight="false" outlineLevel="0" collapsed="false">
      <c r="A175" s="163" t="s">
        <v>195</v>
      </c>
      <c r="B175" s="164" t="s">
        <v>196</v>
      </c>
      <c r="C175" s="164"/>
      <c r="D175" s="164"/>
      <c r="E175" s="164" t="s">
        <v>197</v>
      </c>
      <c r="F175" s="27"/>
      <c r="G175" s="27" t="s">
        <v>198</v>
      </c>
      <c r="H175" s="37"/>
      <c r="J175" s="163" t="s">
        <v>195</v>
      </c>
      <c r="K175" s="164" t="s">
        <v>196</v>
      </c>
      <c r="L175" s="164"/>
      <c r="M175" s="164"/>
      <c r="N175" s="164" t="s">
        <v>197</v>
      </c>
      <c r="O175" s="27"/>
      <c r="P175" s="27"/>
      <c r="Q175" s="37"/>
      <c r="S175" s="163" t="s">
        <v>195</v>
      </c>
      <c r="T175" s="164" t="s">
        <v>196</v>
      </c>
      <c r="U175" s="164"/>
      <c r="V175" s="164"/>
      <c r="W175" s="164" t="s">
        <v>197</v>
      </c>
      <c r="X175" s="27"/>
      <c r="Y175" s="27"/>
      <c r="Z175" s="37"/>
      <c r="AB175" s="163" t="s">
        <v>195</v>
      </c>
      <c r="AC175" s="164" t="s">
        <v>196</v>
      </c>
      <c r="AD175" s="164"/>
      <c r="AE175" s="164"/>
      <c r="AF175" s="164" t="s">
        <v>197</v>
      </c>
      <c r="AG175" s="27"/>
      <c r="AH175" s="27"/>
      <c r="AI175" s="37"/>
    </row>
    <row r="176" customFormat="false" ht="18.75" hidden="false" customHeight="false" outlineLevel="0" collapsed="false">
      <c r="A176" s="165" t="n">
        <f aca="false">B104</f>
        <v>903.784623696847</v>
      </c>
      <c r="B176" s="166" t="n">
        <f aca="false">B103</f>
        <v>85.0909090909091</v>
      </c>
      <c r="C176" s="164"/>
      <c r="D176" s="164"/>
      <c r="E176" s="166" t="n">
        <f aca="false">B105</f>
        <v>988.875532787756</v>
      </c>
      <c r="F176" s="27"/>
      <c r="G176" s="27" t="n">
        <f aca="false">ROUND(G104,2)</f>
        <v>840.5</v>
      </c>
      <c r="H176" s="37"/>
      <c r="J176" s="165" t="e">
        <f aca="false">K104</f>
        <v>#VALUE!</v>
      </c>
      <c r="K176" s="166" t="n">
        <f aca="false">K103</f>
        <v>0</v>
      </c>
      <c r="L176" s="164"/>
      <c r="M176" s="164"/>
      <c r="N176" s="166" t="e">
        <f aca="false">K105</f>
        <v>#VALUE!</v>
      </c>
      <c r="O176" s="27"/>
      <c r="P176" s="27"/>
      <c r="Q176" s="37"/>
      <c r="S176" s="165" t="e">
        <f aca="false">T104</f>
        <v>#VALUE!</v>
      </c>
      <c r="T176" s="166" t="n">
        <f aca="false">T103</f>
        <v>0</v>
      </c>
      <c r="U176" s="164"/>
      <c r="V176" s="164"/>
      <c r="W176" s="166" t="e">
        <f aca="false">T105</f>
        <v>#VALUE!</v>
      </c>
      <c r="X176" s="27"/>
      <c r="Y176" s="27"/>
      <c r="Z176" s="37"/>
      <c r="AB176" s="165" t="e">
        <f aca="false">AC104</f>
        <v>#VALUE!</v>
      </c>
      <c r="AC176" s="166" t="n">
        <f aca="false">AC103</f>
        <v>0</v>
      </c>
      <c r="AD176" s="164"/>
      <c r="AE176" s="164"/>
      <c r="AF176" s="166" t="e">
        <f aca="false">AC105</f>
        <v>#VALUE!</v>
      </c>
      <c r="AG176" s="27"/>
      <c r="AH176" s="27"/>
      <c r="AI176" s="37"/>
    </row>
    <row r="177" customFormat="false" ht="18.75" hidden="false" customHeight="false" outlineLevel="0" collapsed="false">
      <c r="A177" s="35"/>
      <c r="B177" s="36"/>
      <c r="C177" s="36"/>
      <c r="D177" s="36"/>
      <c r="E177" s="27"/>
      <c r="F177" s="27"/>
      <c r="G177" s="27"/>
      <c r="H177" s="37"/>
      <c r="J177" s="35"/>
      <c r="K177" s="36"/>
      <c r="L177" s="36"/>
      <c r="M177" s="36"/>
      <c r="N177" s="27"/>
      <c r="O177" s="27"/>
      <c r="P177" s="27"/>
      <c r="Q177" s="37"/>
      <c r="S177" s="35"/>
      <c r="T177" s="36"/>
      <c r="U177" s="36"/>
      <c r="V177" s="36"/>
      <c r="W177" s="27"/>
      <c r="X177" s="27"/>
      <c r="Y177" s="27"/>
      <c r="Z177" s="37"/>
      <c r="AB177" s="35"/>
      <c r="AC177" s="36"/>
      <c r="AD177" s="36"/>
      <c r="AE177" s="36"/>
      <c r="AF177" s="27"/>
      <c r="AG177" s="27"/>
      <c r="AH177" s="27"/>
      <c r="AI177" s="37"/>
    </row>
    <row r="178" customFormat="false" ht="18.75" hidden="false" customHeight="false" outlineLevel="0" collapsed="false">
      <c r="A178" s="35" t="s">
        <v>95</v>
      </c>
      <c r="B178" s="36" t="s">
        <v>96</v>
      </c>
      <c r="C178" s="36"/>
      <c r="D178" s="27"/>
      <c r="E178" s="36" t="s">
        <v>199</v>
      </c>
      <c r="F178" s="27"/>
      <c r="G178" s="27"/>
      <c r="H178" s="37"/>
      <c r="J178" s="35" t="s">
        <v>95</v>
      </c>
      <c r="K178" s="36" t="s">
        <v>96</v>
      </c>
      <c r="L178" s="36"/>
      <c r="M178" s="27"/>
      <c r="N178" s="36" t="s">
        <v>199</v>
      </c>
      <c r="O178" s="27"/>
      <c r="P178" s="27"/>
      <c r="Q178" s="37"/>
      <c r="S178" s="35" t="s">
        <v>95</v>
      </c>
      <c r="T178" s="36" t="s">
        <v>96</v>
      </c>
      <c r="U178" s="36"/>
      <c r="V178" s="27"/>
      <c r="W178" s="36" t="s">
        <v>199</v>
      </c>
      <c r="X178" s="27"/>
      <c r="Y178" s="27"/>
      <c r="Z178" s="37"/>
      <c r="AB178" s="35" t="s">
        <v>95</v>
      </c>
      <c r="AC178" s="36" t="s">
        <v>96</v>
      </c>
      <c r="AD178" s="36"/>
      <c r="AE178" s="27"/>
      <c r="AF178" s="36" t="s">
        <v>199</v>
      </c>
      <c r="AG178" s="27"/>
      <c r="AH178" s="27"/>
      <c r="AI178" s="37"/>
    </row>
    <row r="179" customFormat="false" ht="18.75" hidden="false" customHeight="false" outlineLevel="0" collapsed="false">
      <c r="A179" s="167" t="n">
        <f aca="false">B38</f>
        <v>0</v>
      </c>
      <c r="B179" s="168" t="n">
        <f aca="false">B39</f>
        <v>0</v>
      </c>
      <c r="C179" s="169"/>
      <c r="D179" s="27"/>
      <c r="E179" s="170" t="n">
        <f aca="false">B91</f>
        <v>7200</v>
      </c>
      <c r="F179" s="27"/>
      <c r="G179" s="27"/>
      <c r="H179" s="37"/>
      <c r="J179" s="167" t="str">
        <f aca="false">K29</f>
        <v>12</v>
      </c>
      <c r="K179" s="168" t="str">
        <f aca="false">K30</f>
        <v>5000</v>
      </c>
      <c r="L179" s="169"/>
      <c r="M179" s="27"/>
      <c r="N179" s="170" t="str">
        <f aca="false">IF(A120="YES",A40,0)</f>
        <v>12</v>
      </c>
      <c r="O179" s="27"/>
      <c r="P179" s="27"/>
      <c r="Q179" s="37"/>
      <c r="S179" s="167" t="str">
        <f aca="false">K29</f>
        <v>12</v>
      </c>
      <c r="T179" s="168" t="str">
        <f aca="false">K30</f>
        <v>5000</v>
      </c>
      <c r="U179" s="169"/>
      <c r="V179" s="27"/>
      <c r="W179" s="170" t="str">
        <f aca="false">IF(A120="YES",A40,0)</f>
        <v>12</v>
      </c>
      <c r="X179" s="27"/>
      <c r="Y179" s="27"/>
      <c r="Z179" s="37"/>
      <c r="AB179" s="167" t="str">
        <f aca="false">K29</f>
        <v>12</v>
      </c>
      <c r="AC179" s="168" t="str">
        <f aca="false">K30</f>
        <v>5000</v>
      </c>
      <c r="AD179" s="169"/>
      <c r="AE179" s="27"/>
      <c r="AF179" s="170" t="str">
        <f aca="false">IF(A120="YES",A40,0)</f>
        <v>12</v>
      </c>
      <c r="AG179" s="27"/>
      <c r="AH179" s="27"/>
      <c r="AI179" s="3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200</v>
      </c>
      <c r="B181" s="36" t="s">
        <v>201</v>
      </c>
      <c r="C181" s="36"/>
      <c r="D181" s="27"/>
      <c r="E181" s="36" t="s">
        <v>202</v>
      </c>
      <c r="F181" s="27"/>
      <c r="G181" s="27"/>
      <c r="H181" s="37"/>
      <c r="J181" s="35" t="s">
        <v>200</v>
      </c>
      <c r="K181" s="36" t="s">
        <v>201</v>
      </c>
      <c r="L181" s="36"/>
      <c r="M181" s="27"/>
      <c r="N181" s="36" t="s">
        <v>202</v>
      </c>
      <c r="O181" s="27"/>
      <c r="P181" s="27"/>
      <c r="Q181" s="37"/>
      <c r="S181" s="35" t="s">
        <v>200</v>
      </c>
      <c r="T181" s="36" t="s">
        <v>201</v>
      </c>
      <c r="U181" s="36"/>
      <c r="V181" s="27"/>
      <c r="W181" s="36" t="s">
        <v>202</v>
      </c>
      <c r="X181" s="27"/>
      <c r="Y181" s="27"/>
      <c r="Z181" s="37"/>
      <c r="AB181" s="35" t="s">
        <v>200</v>
      </c>
      <c r="AC181" s="36" t="s">
        <v>201</v>
      </c>
      <c r="AD181" s="36"/>
      <c r="AE181" s="27"/>
      <c r="AF181" s="36" t="s">
        <v>202</v>
      </c>
      <c r="AG181" s="27"/>
      <c r="AH181" s="27"/>
      <c r="AI181" s="37"/>
    </row>
    <row r="182" customFormat="false" ht="18.75" hidden="false" customHeight="false" outlineLevel="0" collapsed="false">
      <c r="A182" s="171" t="n">
        <f aca="false">H150-H146-H148-H149</f>
        <v>15912.5</v>
      </c>
      <c r="B182" s="42" t="n">
        <f aca="false">H146</f>
        <v>3182.5</v>
      </c>
      <c r="C182" s="47"/>
      <c r="D182" s="27"/>
      <c r="E182" s="170" t="n">
        <f aca="false">H148+H149</f>
        <v>0</v>
      </c>
      <c r="F182" s="27"/>
      <c r="G182" s="27"/>
      <c r="H182" s="37"/>
      <c r="J182" s="171" t="e">
        <f aca="false">Q150-Q146-Q148-Q149</f>
        <v>#VALUE!</v>
      </c>
      <c r="K182" s="42" t="e">
        <f aca="false">Q146</f>
        <v>#VALUE!</v>
      </c>
      <c r="L182" s="47"/>
      <c r="M182" s="27"/>
      <c r="N182" s="170" t="n">
        <f aca="false">Q148+Q149</f>
        <v>55</v>
      </c>
      <c r="O182" s="27"/>
      <c r="P182" s="27"/>
      <c r="Q182" s="37"/>
      <c r="S182" s="171" t="e">
        <f aca="false">Z150-Z146-Z148-Z149</f>
        <v>#VALUE!</v>
      </c>
      <c r="T182" s="42" t="e">
        <f aca="false">Z146</f>
        <v>#VALUE!</v>
      </c>
      <c r="U182" s="47"/>
      <c r="V182" s="27"/>
      <c r="W182" s="170" t="n">
        <f aca="false">Z148+Z149</f>
        <v>55</v>
      </c>
      <c r="X182" s="27"/>
      <c r="Y182" s="27"/>
      <c r="Z182" s="37"/>
      <c r="AB182" s="171" t="e">
        <f aca="false">AI150-AI146-AI148-AI149</f>
        <v>#VALUE!</v>
      </c>
      <c r="AC182" s="42" t="e">
        <f aca="false">AI146</f>
        <v>#VALUE!</v>
      </c>
      <c r="AD182" s="47"/>
      <c r="AE182" s="27"/>
      <c r="AF182" s="170" t="n">
        <f aca="false">AI148+AI149</f>
        <v>55</v>
      </c>
      <c r="AG182" s="27"/>
      <c r="AH182" s="27"/>
      <c r="AI182" s="3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203</v>
      </c>
      <c r="B184" s="36" t="s">
        <v>149</v>
      </c>
      <c r="C184" s="36"/>
      <c r="D184" s="27"/>
      <c r="E184" s="36" t="s">
        <v>150</v>
      </c>
      <c r="F184" s="27"/>
      <c r="G184" s="27"/>
      <c r="H184" s="37"/>
      <c r="J184" s="35" t="s">
        <v>203</v>
      </c>
      <c r="K184" s="36" t="s">
        <v>149</v>
      </c>
      <c r="L184" s="36"/>
      <c r="M184" s="27"/>
      <c r="N184" s="36" t="s">
        <v>150</v>
      </c>
      <c r="O184" s="27"/>
      <c r="P184" s="27"/>
      <c r="Q184" s="37"/>
      <c r="S184" s="35" t="s">
        <v>203</v>
      </c>
      <c r="T184" s="36" t="s">
        <v>149</v>
      </c>
      <c r="U184" s="36"/>
      <c r="V184" s="27"/>
      <c r="W184" s="36" t="s">
        <v>150</v>
      </c>
      <c r="X184" s="27"/>
      <c r="Y184" s="27"/>
      <c r="Z184" s="37"/>
      <c r="AB184" s="35" t="s">
        <v>203</v>
      </c>
      <c r="AC184" s="36" t="s">
        <v>149</v>
      </c>
      <c r="AD184" s="36"/>
      <c r="AE184" s="27"/>
      <c r="AF184" s="36" t="s">
        <v>150</v>
      </c>
      <c r="AG184" s="27"/>
      <c r="AH184" s="27"/>
      <c r="AI184" s="37"/>
    </row>
    <row r="185" customFormat="false" ht="18.75" hidden="false" customHeight="false" outlineLevel="0" collapsed="false">
      <c r="A185" s="171" t="n">
        <f aca="false">H150</f>
        <v>19095</v>
      </c>
      <c r="B185" s="42" t="n">
        <f aca="false">B120</f>
        <v>0</v>
      </c>
      <c r="C185" s="42"/>
      <c r="D185" s="27"/>
      <c r="E185" s="42" t="n">
        <f aca="false">E120</f>
        <v>0</v>
      </c>
      <c r="F185" s="27"/>
      <c r="G185" s="27"/>
      <c r="H185" s="107"/>
      <c r="J185" s="171" t="e">
        <f aca="false">Q150</f>
        <v>#VALUE!</v>
      </c>
      <c r="K185" s="42" t="n">
        <f aca="false">K120</f>
        <v>1000</v>
      </c>
      <c r="L185" s="42"/>
      <c r="M185" s="27"/>
      <c r="N185" s="42" t="n">
        <f aca="false">N120</f>
        <v>0</v>
      </c>
      <c r="O185" s="27"/>
      <c r="P185" s="27"/>
      <c r="Q185" s="107"/>
      <c r="S185" s="171" t="e">
        <f aca="false">Z150</f>
        <v>#VALUE!</v>
      </c>
      <c r="T185" s="42" t="n">
        <f aca="false">T120</f>
        <v>1000</v>
      </c>
      <c r="U185" s="42"/>
      <c r="V185" s="27"/>
      <c r="W185" s="42" t="n">
        <f aca="false">W120</f>
        <v>0</v>
      </c>
      <c r="X185" s="27"/>
      <c r="Y185" s="27"/>
      <c r="Z185" s="107"/>
      <c r="AB185" s="171" t="e">
        <f aca="false">AI150</f>
        <v>#VALUE!</v>
      </c>
      <c r="AC185" s="42" t="n">
        <f aca="false">AC120</f>
        <v>1000</v>
      </c>
      <c r="AD185" s="42"/>
      <c r="AE185" s="27"/>
      <c r="AF185" s="42" t="n">
        <f aca="false">AF120</f>
        <v>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27"/>
      <c r="E186" s="36"/>
      <c r="F186" s="27"/>
      <c r="G186" s="27"/>
      <c r="H186" s="37"/>
      <c r="J186" s="35"/>
      <c r="K186" s="36"/>
      <c r="L186" s="36"/>
      <c r="M186" s="27"/>
      <c r="N186" s="36"/>
      <c r="O186" s="27"/>
      <c r="P186" s="27"/>
      <c r="Q186" s="37"/>
      <c r="S186" s="35"/>
      <c r="T186" s="36"/>
      <c r="U186" s="36"/>
      <c r="V186" s="27"/>
      <c r="W186" s="36"/>
      <c r="X186" s="27"/>
      <c r="Y186" s="27"/>
      <c r="Z186" s="37"/>
      <c r="AB186" s="35"/>
      <c r="AC186" s="36"/>
      <c r="AD186" s="36"/>
      <c r="AE186" s="27"/>
      <c r="AF186" s="36"/>
      <c r="AG186" s="27"/>
      <c r="AH186" s="27"/>
      <c r="AI186" s="37"/>
    </row>
    <row r="187" customFormat="false" ht="18.75" hidden="false" customHeight="false" outlineLevel="0" collapsed="false">
      <c r="A187" s="35" t="s">
        <v>151</v>
      </c>
      <c r="B187" s="36" t="s">
        <v>186</v>
      </c>
      <c r="C187" s="36"/>
      <c r="D187" s="27"/>
      <c r="E187" s="36" t="s">
        <v>192</v>
      </c>
      <c r="F187" s="27"/>
      <c r="G187" s="27"/>
      <c r="H187" s="37"/>
      <c r="J187" s="35" t="s">
        <v>151</v>
      </c>
      <c r="K187" s="36" t="s">
        <v>186</v>
      </c>
      <c r="L187" s="36"/>
      <c r="M187" s="27"/>
      <c r="N187" s="36" t="s">
        <v>192</v>
      </c>
      <c r="O187" s="27"/>
      <c r="P187" s="27"/>
      <c r="Q187" s="37"/>
      <c r="S187" s="35" t="s">
        <v>151</v>
      </c>
      <c r="T187" s="36" t="s">
        <v>186</v>
      </c>
      <c r="U187" s="36"/>
      <c r="V187" s="27"/>
      <c r="W187" s="36" t="s">
        <v>192</v>
      </c>
      <c r="X187" s="27"/>
      <c r="Y187" s="27"/>
      <c r="Z187" s="37"/>
      <c r="AB187" s="35" t="s">
        <v>151</v>
      </c>
      <c r="AC187" s="36" t="s">
        <v>186</v>
      </c>
      <c r="AD187" s="36"/>
      <c r="AE187" s="27"/>
      <c r="AF187" s="36" t="s">
        <v>192</v>
      </c>
      <c r="AG187" s="27"/>
      <c r="AH187" s="27"/>
      <c r="AI187" s="37"/>
    </row>
    <row r="188" customFormat="false" ht="18.75" hidden="false" customHeight="false" outlineLevel="0" collapsed="false">
      <c r="A188" s="113" t="n">
        <f aca="false">B185+E185</f>
        <v>0</v>
      </c>
      <c r="B188" s="42" t="n">
        <f aca="false">G163</f>
        <v>0</v>
      </c>
      <c r="C188" s="42"/>
      <c r="D188" s="27"/>
      <c r="E188" s="42" t="n">
        <f aca="false">G167</f>
        <v>20245</v>
      </c>
      <c r="F188" s="27"/>
      <c r="G188" s="27"/>
      <c r="H188" s="107"/>
      <c r="J188" s="113" t="n">
        <f aca="false">K185+N185</f>
        <v>1000</v>
      </c>
      <c r="K188" s="42" t="n">
        <f aca="false">P163</f>
        <v>-2000</v>
      </c>
      <c r="L188" s="42"/>
      <c r="M188" s="27"/>
      <c r="N188" s="42" t="e">
        <f aca="false">J185-J188-K188</f>
        <v>#VALUE!</v>
      </c>
      <c r="O188" s="27"/>
      <c r="P188" s="27"/>
      <c r="Q188" s="107"/>
      <c r="S188" s="113" t="n">
        <f aca="false">T185+W185</f>
        <v>1000</v>
      </c>
      <c r="T188" s="42" t="n">
        <f aca="false">Y163</f>
        <v>-2000</v>
      </c>
      <c r="U188" s="42"/>
      <c r="V188" s="27"/>
      <c r="W188" s="42" t="e">
        <f aca="false">S185-S188-T188</f>
        <v>#VALUE!</v>
      </c>
      <c r="X188" s="27"/>
      <c r="Y188" s="27"/>
      <c r="Z188" s="107"/>
      <c r="AB188" s="113" t="n">
        <f aca="false">AC185+AF185</f>
        <v>1000</v>
      </c>
      <c r="AC188" s="42" t="n">
        <f aca="false">AH163</f>
        <v>-2000</v>
      </c>
      <c r="AD188" s="42"/>
      <c r="AE188" s="27"/>
      <c r="AF188" s="42" t="e">
        <f aca="false">AB185-AB188-AC188</f>
        <v>#VALUE!</v>
      </c>
      <c r="AG188" s="27"/>
      <c r="AH188" s="27"/>
      <c r="AI188" s="107"/>
    </row>
    <row r="189" customFormat="false" ht="18.75" hidden="false" customHeight="false" outlineLevel="0" collapsed="false">
      <c r="A189" s="35"/>
      <c r="B189" s="36"/>
      <c r="C189" s="36"/>
      <c r="D189" s="27"/>
      <c r="E189" s="36"/>
      <c r="F189" s="27"/>
      <c r="G189" s="27"/>
      <c r="H189" s="37"/>
      <c r="J189" s="35"/>
      <c r="K189" s="36"/>
      <c r="L189" s="36"/>
      <c r="M189" s="27"/>
      <c r="N189" s="36"/>
      <c r="O189" s="27"/>
      <c r="P189" s="27"/>
      <c r="Q189" s="37"/>
      <c r="S189" s="35"/>
      <c r="T189" s="36"/>
      <c r="U189" s="36"/>
      <c r="V189" s="27"/>
      <c r="W189" s="36"/>
      <c r="X189" s="27"/>
      <c r="Y189" s="27"/>
      <c r="Z189" s="37"/>
      <c r="AB189" s="35"/>
      <c r="AC189" s="36"/>
      <c r="AD189" s="36"/>
      <c r="AE189" s="27"/>
      <c r="AF189" s="36"/>
      <c r="AG189" s="27"/>
      <c r="AH189" s="27"/>
      <c r="AI189" s="37"/>
    </row>
    <row r="190" customFormat="false" ht="18.75" hidden="false" customHeight="false" outlineLevel="0" collapsed="false">
      <c r="A190" s="35" t="s">
        <v>204</v>
      </c>
      <c r="B190" s="36" t="s">
        <v>66</v>
      </c>
      <c r="C190" s="36"/>
      <c r="D190" s="27"/>
      <c r="E190" s="36" t="s">
        <v>205</v>
      </c>
      <c r="F190" s="27"/>
      <c r="G190" s="27"/>
      <c r="H190" s="37"/>
      <c r="J190" s="35" t="s">
        <v>204</v>
      </c>
      <c r="K190" s="36" t="s">
        <v>66</v>
      </c>
      <c r="L190" s="36"/>
      <c r="M190" s="27"/>
      <c r="N190" s="36" t="s">
        <v>205</v>
      </c>
      <c r="O190" s="27"/>
      <c r="P190" s="27"/>
      <c r="Q190" s="37"/>
      <c r="S190" s="35" t="s">
        <v>204</v>
      </c>
      <c r="T190" s="36" t="s">
        <v>66</v>
      </c>
      <c r="U190" s="36"/>
      <c r="V190" s="27"/>
      <c r="W190" s="36" t="s">
        <v>205</v>
      </c>
      <c r="X190" s="27"/>
      <c r="Y190" s="27"/>
      <c r="Z190" s="37"/>
      <c r="AB190" s="35" t="s">
        <v>204</v>
      </c>
      <c r="AC190" s="36" t="s">
        <v>66</v>
      </c>
      <c r="AD190" s="36"/>
      <c r="AE190" s="27"/>
      <c r="AF190" s="36" t="s">
        <v>205</v>
      </c>
      <c r="AG190" s="27"/>
      <c r="AH190" s="27"/>
      <c r="AI190" s="37"/>
    </row>
    <row r="191" customFormat="false" ht="18.75" hidden="false" customHeight="false" outlineLevel="0" collapsed="false">
      <c r="A191" s="113" t="n">
        <f aca="false">(A176*B68)+E194-E188-A194</f>
        <v>20</v>
      </c>
      <c r="B191" s="42" t="n">
        <f aca="false">B123</f>
        <v>239.99</v>
      </c>
      <c r="C191" s="42"/>
      <c r="D191" s="27"/>
      <c r="E191" s="42" t="n">
        <f aca="false">E188+A191+B191+A194</f>
        <v>17391.6208606653</v>
      </c>
      <c r="F191" s="27"/>
      <c r="G191" s="27"/>
      <c r="H191" s="107"/>
      <c r="J191" s="113" t="e">
        <f aca="false">(J176*K68)+N194-N188-J194</f>
        <v>#VALUE!</v>
      </c>
      <c r="K191" s="42" t="n">
        <f aca="false">K123</f>
        <v>239.99</v>
      </c>
      <c r="L191" s="42"/>
      <c r="M191" s="27"/>
      <c r="N191" s="42" t="e">
        <f aca="false">N188+J191+K191+J194</f>
        <v>#VALUE!</v>
      </c>
      <c r="O191" s="27"/>
      <c r="P191" s="27"/>
      <c r="Q191" s="107"/>
      <c r="S191" s="113" t="e">
        <f aca="false">(S176*T68)+W194-W188-S194</f>
        <v>#VALUE!</v>
      </c>
      <c r="T191" s="42" t="n">
        <f aca="false">T123</f>
        <v>199.99</v>
      </c>
      <c r="U191" s="42"/>
      <c r="V191" s="27"/>
      <c r="W191" s="42" t="e">
        <f aca="false">W188+S191+T191+S194</f>
        <v>#VALUE!</v>
      </c>
      <c r="X191" s="27"/>
      <c r="Y191" s="27"/>
      <c r="Z191" s="107"/>
      <c r="AB191" s="113" t="e">
        <f aca="false">(AB176*AC68)+AF194-AF188-AB194</f>
        <v>#VALUE!</v>
      </c>
      <c r="AC191" s="42" t="n">
        <f aca="false">AC123</f>
        <v>239.99</v>
      </c>
      <c r="AD191" s="42"/>
      <c r="AE191" s="27"/>
      <c r="AF191" s="42" t="e">
        <f aca="false">AF188+AB191+AC191+AB194</f>
        <v>#VALUE!</v>
      </c>
      <c r="AG191" s="27"/>
      <c r="AH191" s="27"/>
      <c r="AI191" s="107"/>
    </row>
    <row r="192" customFormat="false" ht="18.75" hidden="false" customHeight="false" outlineLevel="0" collapsed="false">
      <c r="A192" s="35"/>
      <c r="B192" s="36"/>
      <c r="C192" s="36"/>
      <c r="D192" s="27"/>
      <c r="E192" s="36"/>
      <c r="F192" s="27"/>
      <c r="G192" s="27"/>
      <c r="H192" s="37"/>
      <c r="J192" s="35"/>
      <c r="K192" s="36"/>
      <c r="L192" s="36"/>
      <c r="M192" s="27"/>
      <c r="N192" s="36"/>
      <c r="O192" s="27"/>
      <c r="P192" s="27"/>
      <c r="Q192" s="37"/>
      <c r="S192" s="35"/>
      <c r="T192" s="36"/>
      <c r="U192" s="36"/>
      <c r="V192" s="27"/>
      <c r="W192" s="36"/>
      <c r="X192" s="27"/>
      <c r="Y192" s="27"/>
      <c r="Z192" s="37"/>
      <c r="AB192" s="35"/>
      <c r="AC192" s="36"/>
      <c r="AD192" s="36"/>
      <c r="AE192" s="27"/>
      <c r="AF192" s="36"/>
      <c r="AG192" s="27"/>
      <c r="AH192" s="27"/>
      <c r="AI192" s="37"/>
    </row>
    <row r="193" customFormat="false" ht="18.75" hidden="false" customHeight="false" outlineLevel="0" collapsed="false">
      <c r="A193" s="35" t="s">
        <v>206</v>
      </c>
      <c r="B193" s="36" t="s">
        <v>207</v>
      </c>
      <c r="C193" s="36"/>
      <c r="D193" s="27"/>
      <c r="E193" s="36" t="s">
        <v>208</v>
      </c>
      <c r="F193" s="27"/>
      <c r="G193" s="27"/>
      <c r="H193" s="37"/>
      <c r="J193" s="35" t="s">
        <v>206</v>
      </c>
      <c r="K193" s="36" t="s">
        <v>207</v>
      </c>
      <c r="L193" s="36"/>
      <c r="M193" s="27"/>
      <c r="N193" s="36" t="s">
        <v>208</v>
      </c>
      <c r="O193" s="27"/>
      <c r="P193" s="27"/>
      <c r="Q193" s="37"/>
      <c r="S193" s="35" t="s">
        <v>206</v>
      </c>
      <c r="T193" s="36" t="s">
        <v>207</v>
      </c>
      <c r="U193" s="36"/>
      <c r="V193" s="27"/>
      <c r="W193" s="36" t="s">
        <v>208</v>
      </c>
      <c r="X193" s="27"/>
      <c r="Y193" s="27"/>
      <c r="Z193" s="37"/>
      <c r="AB193" s="35" t="s">
        <v>206</v>
      </c>
      <c r="AC193" s="36" t="s">
        <v>207</v>
      </c>
      <c r="AD193" s="36"/>
      <c r="AE193" s="27"/>
      <c r="AF193" s="36" t="s">
        <v>208</v>
      </c>
      <c r="AG193" s="27"/>
      <c r="AH193" s="27"/>
      <c r="AI193" s="37"/>
    </row>
    <row r="194" customFormat="false" ht="18.75" hidden="false" customHeight="false" outlineLevel="0" collapsed="false">
      <c r="A194" s="113" t="n">
        <f aca="false">B69</f>
        <v>10</v>
      </c>
      <c r="B194" s="42" t="n">
        <f aca="false">A188+B191</f>
        <v>239.99</v>
      </c>
      <c r="C194" s="42"/>
      <c r="D194" s="27"/>
      <c r="E194" s="42" t="n">
        <f aca="false">IF( E179=0, A194+E176, E179+A194)</f>
        <v>7210</v>
      </c>
      <c r="F194" s="27"/>
      <c r="G194" s="27"/>
      <c r="H194" s="107"/>
      <c r="J194" s="113" t="n">
        <f aca="false">K69</f>
        <v>20</v>
      </c>
      <c r="K194" s="42" t="n">
        <f aca="false">J188+K191</f>
        <v>1239.99</v>
      </c>
      <c r="L194" s="42"/>
      <c r="M194" s="27"/>
      <c r="N194" s="42" t="n">
        <f aca="false">N179+J194</f>
        <v>32</v>
      </c>
      <c r="O194" s="27"/>
      <c r="P194" s="27"/>
      <c r="Q194" s="107"/>
      <c r="S194" s="113" t="n">
        <f aca="false">T69</f>
        <v>10</v>
      </c>
      <c r="T194" s="42" t="n">
        <f aca="false">S188+T191</f>
        <v>1199.99</v>
      </c>
      <c r="U194" s="42"/>
      <c r="V194" s="27"/>
      <c r="W194" s="42" t="n">
        <f aca="false">W179+S194</f>
        <v>22</v>
      </c>
      <c r="X194" s="27"/>
      <c r="Y194" s="27"/>
      <c r="Z194" s="107"/>
      <c r="AB194" s="113" t="n">
        <f aca="false">AC69</f>
        <v>10</v>
      </c>
      <c r="AC194" s="42" t="n">
        <f aca="false">AB188+AC191</f>
        <v>1239.99</v>
      </c>
      <c r="AD194" s="42"/>
      <c r="AE194" s="27"/>
      <c r="AF194" s="42" t="n">
        <f aca="false">AF179+AB194</f>
        <v>22</v>
      </c>
      <c r="AG194" s="27"/>
      <c r="AH194" s="27"/>
      <c r="AI194" s="107"/>
    </row>
    <row r="195" customFormat="false" ht="18.75" hidden="false" customHeight="false" outlineLevel="0" collapsed="false">
      <c r="A195" s="35"/>
      <c r="B195" s="36"/>
      <c r="C195" s="36"/>
      <c r="D195" s="36"/>
      <c r="E195" s="27"/>
      <c r="F195" s="27"/>
      <c r="G195" s="27"/>
      <c r="H195" s="37"/>
      <c r="J195" s="35"/>
      <c r="K195" s="36"/>
      <c r="L195" s="36"/>
      <c r="M195" s="36"/>
      <c r="N195" s="27"/>
      <c r="O195" s="27"/>
      <c r="P195" s="27"/>
      <c r="Q195" s="37"/>
      <c r="S195" s="35"/>
      <c r="T195" s="36"/>
      <c r="U195" s="36"/>
      <c r="V195" s="36"/>
      <c r="W195" s="27"/>
      <c r="X195" s="36"/>
      <c r="Y195" s="36"/>
      <c r="Z195" s="37"/>
      <c r="AB195" s="35"/>
      <c r="AC195" s="36"/>
      <c r="AD195" s="36"/>
      <c r="AE195" s="36"/>
      <c r="AF195" s="27"/>
      <c r="AG195" s="27"/>
      <c r="AH195" s="27"/>
      <c r="AI195" s="37"/>
    </row>
    <row r="196" customFormat="false" ht="18.75" hidden="false" customHeight="false" outlineLevel="0" collapsed="false">
      <c r="A196" s="35" t="s">
        <v>209</v>
      </c>
      <c r="B196" s="36" t="s">
        <v>210</v>
      </c>
      <c r="C196" s="36"/>
      <c r="D196" s="36"/>
      <c r="E196" s="43" t="s">
        <v>211</v>
      </c>
      <c r="F196" s="27"/>
      <c r="G196" s="27"/>
      <c r="H196" s="37"/>
      <c r="J196" s="35" t="s">
        <v>209</v>
      </c>
      <c r="K196" s="36" t="s">
        <v>210</v>
      </c>
      <c r="L196" s="36"/>
      <c r="M196" s="36"/>
      <c r="N196" s="43" t="s">
        <v>211</v>
      </c>
      <c r="O196" s="27"/>
      <c r="P196" s="27"/>
      <c r="Q196" s="37"/>
      <c r="S196" s="35" t="s">
        <v>209</v>
      </c>
      <c r="T196" s="36" t="s">
        <v>210</v>
      </c>
      <c r="U196" s="36"/>
      <c r="V196" s="36"/>
      <c r="W196" s="43" t="s">
        <v>211</v>
      </c>
      <c r="X196" s="36"/>
      <c r="Y196" s="36"/>
      <c r="Z196" s="37"/>
      <c r="AB196" s="35" t="s">
        <v>209</v>
      </c>
      <c r="AC196" s="36" t="s">
        <v>210</v>
      </c>
      <c r="AD196" s="36"/>
      <c r="AE196" s="36"/>
      <c r="AF196" s="43" t="s">
        <v>211</v>
      </c>
      <c r="AG196" s="36"/>
      <c r="AH196" s="36"/>
      <c r="AI196" s="37"/>
    </row>
    <row r="197" customFormat="false" ht="18.75" hidden="false" customHeight="false" outlineLevel="0" collapsed="false">
      <c r="A197" s="113" t="n">
        <f aca="false">J18*0.000002*100*1.2</f>
        <v>9.72624</v>
      </c>
      <c r="B197" s="42" t="n">
        <f aca="false">(G167*B76)</f>
        <v>151.8375</v>
      </c>
      <c r="C197" s="36"/>
      <c r="D197" s="36"/>
      <c r="E197" s="42" t="n">
        <f aca="false">IF(E114="YES",(K55*A117*0.1),0)</f>
        <v>18</v>
      </c>
      <c r="F197" s="27"/>
      <c r="G197" s="27"/>
      <c r="H197" s="37"/>
      <c r="J197" s="113" t="n">
        <f aca="false">IF(N114="YES",H15*0.000002,0)</f>
        <v>0</v>
      </c>
      <c r="K197" s="42" t="e">
        <f aca="false">(P167*K76)/1.2</f>
        <v>#VALUE!</v>
      </c>
      <c r="L197" s="36"/>
      <c r="M197" s="36"/>
      <c r="N197" s="42" t="n">
        <f aca="false">(E40*J117)*0.1</f>
        <v>0</v>
      </c>
      <c r="O197" s="27"/>
      <c r="P197" s="27"/>
      <c r="Q197" s="37"/>
      <c r="S197" s="113" t="n">
        <f aca="false">IF(W114="YES",Z15*0.000002,0)</f>
        <v>0</v>
      </c>
      <c r="T197" s="42" t="e">
        <f aca="false">(Y167*T76)/1.2</f>
        <v>#VALUE!</v>
      </c>
      <c r="U197" s="36"/>
      <c r="V197" s="36"/>
      <c r="W197" s="42" t="n">
        <f aca="false">(E40*S117)*0.1</f>
        <v>0</v>
      </c>
      <c r="X197" s="36"/>
      <c r="Y197" s="36"/>
      <c r="Z197" s="37"/>
      <c r="AB197" s="113" t="n">
        <f aca="false">IF(AF114="YES",AI15*0.000002,0)</f>
        <v>0</v>
      </c>
      <c r="AC197" s="42" t="e">
        <f aca="false">(AH167*AC76)/1.2</f>
        <v>#VALUE!</v>
      </c>
      <c r="AD197" s="36"/>
      <c r="AE197" s="36"/>
      <c r="AF197" s="42" t="n">
        <f aca="false">(E40*AB117)*0.1</f>
        <v>0</v>
      </c>
      <c r="AG197" s="36"/>
      <c r="AH197" s="36"/>
      <c r="AI197" s="37"/>
    </row>
    <row r="198" customFormat="false" ht="18.75" hidden="false" customHeight="false" outlineLevel="0" collapsed="false">
      <c r="A198" s="113"/>
      <c r="B198" s="42"/>
      <c r="C198" s="36"/>
      <c r="D198" s="36"/>
      <c r="E198" s="27"/>
      <c r="F198" s="27"/>
      <c r="G198" s="27"/>
      <c r="H198" s="37"/>
      <c r="J198" s="113"/>
      <c r="K198" s="42"/>
      <c r="L198" s="36"/>
      <c r="M198" s="36"/>
      <c r="N198" s="27"/>
      <c r="O198" s="27"/>
      <c r="P198" s="27"/>
      <c r="Q198" s="37"/>
      <c r="S198" s="113"/>
      <c r="T198" s="42"/>
      <c r="U198" s="36"/>
      <c r="V198" s="36"/>
      <c r="W198" s="27"/>
      <c r="X198" s="36"/>
      <c r="Y198" s="36"/>
      <c r="Z198" s="37"/>
      <c r="AB198" s="113"/>
      <c r="AC198" s="42"/>
      <c r="AD198" s="36"/>
      <c r="AE198" s="36"/>
      <c r="AF198" s="27"/>
      <c r="AG198" s="36"/>
      <c r="AH198" s="36"/>
      <c r="AI198" s="37"/>
    </row>
    <row r="199" customFormat="false" ht="18.75" hidden="false" customHeight="false" outlineLevel="0" collapsed="false">
      <c r="A199" s="64" t="s">
        <v>212</v>
      </c>
      <c r="B199" s="43" t="s">
        <v>213</v>
      </c>
      <c r="C199" s="36"/>
      <c r="D199" s="36"/>
      <c r="E199" s="43" t="s">
        <v>214</v>
      </c>
      <c r="F199" s="27"/>
      <c r="G199" s="27"/>
      <c r="H199" s="37"/>
      <c r="J199" s="64" t="s">
        <v>212</v>
      </c>
      <c r="K199" s="43" t="s">
        <v>213</v>
      </c>
      <c r="L199" s="36"/>
      <c r="M199" s="36"/>
      <c r="N199" s="43" t="s">
        <v>214</v>
      </c>
      <c r="O199" s="27"/>
      <c r="P199" s="27"/>
      <c r="Q199" s="37"/>
      <c r="S199" s="64" t="s">
        <v>212</v>
      </c>
      <c r="T199" s="43" t="s">
        <v>213</v>
      </c>
      <c r="U199" s="36"/>
      <c r="V199" s="36"/>
      <c r="W199" s="43" t="s">
        <v>214</v>
      </c>
      <c r="X199" s="36"/>
      <c r="Y199" s="36"/>
      <c r="Z199" s="37"/>
      <c r="AB199" s="64" t="s">
        <v>212</v>
      </c>
      <c r="AC199" s="43" t="s">
        <v>213</v>
      </c>
      <c r="AD199" s="36"/>
      <c r="AE199" s="36"/>
      <c r="AF199" s="43" t="s">
        <v>214</v>
      </c>
      <c r="AG199" s="36"/>
      <c r="AH199" s="36"/>
      <c r="AI199" s="37"/>
    </row>
    <row r="200" customFormat="false" ht="18.75" hidden="false" customHeight="false" outlineLevel="0" collapsed="false">
      <c r="A200" s="113" t="n">
        <v>20</v>
      </c>
      <c r="B200" s="42" t="n">
        <f aca="false">B197+E197+A200</f>
        <v>189.8375</v>
      </c>
      <c r="C200" s="36"/>
      <c r="D200" s="36"/>
      <c r="E200" s="42" t="n">
        <f aca="false">H157</f>
        <v>1995.83</v>
      </c>
      <c r="F200" s="27"/>
      <c r="G200" s="27"/>
      <c r="H200" s="37"/>
      <c r="J200" s="113" t="n">
        <f aca="false">K194-100</f>
        <v>1139.99</v>
      </c>
      <c r="K200" s="42" t="e">
        <f aca="false">K197+N197+J200</f>
        <v>#VALUE!</v>
      </c>
      <c r="L200" s="36"/>
      <c r="M200" s="36"/>
      <c r="N200" s="42" t="e">
        <f aca="false">Q157</f>
        <v>#VALUE!</v>
      </c>
      <c r="O200" s="27"/>
      <c r="P200" s="27"/>
      <c r="Q200" s="37"/>
      <c r="S200" s="113" t="n">
        <f aca="false">T194-100</f>
        <v>1099.99</v>
      </c>
      <c r="T200" s="42" t="e">
        <f aca="false">T197+W197+S200</f>
        <v>#VALUE!</v>
      </c>
      <c r="U200" s="36"/>
      <c r="V200" s="36"/>
      <c r="W200" s="42" t="e">
        <f aca="false">Z157</f>
        <v>#VALUE!</v>
      </c>
      <c r="X200" s="36"/>
      <c r="Y200" s="36"/>
      <c r="Z200" s="37"/>
      <c r="AB200" s="113" t="n">
        <f aca="false">AC194-100</f>
        <v>1139.99</v>
      </c>
      <c r="AC200" s="42" t="e">
        <f aca="false">AC197+AF197+AB200</f>
        <v>#VALUE!</v>
      </c>
      <c r="AD200" s="36"/>
      <c r="AE200" s="36"/>
      <c r="AF200" s="42" t="e">
        <f aca="false">AI157</f>
        <v>#VALUE!</v>
      </c>
      <c r="AG200" s="36"/>
      <c r="AH200" s="36"/>
      <c r="AI200" s="37"/>
    </row>
    <row r="201" customFormat="false" ht="18.75" hidden="false" customHeight="false" outlineLevel="0" collapsed="false">
      <c r="A201" s="35"/>
      <c r="B201" s="36"/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70" t="s">
        <v>215</v>
      </c>
      <c r="B202" s="36"/>
      <c r="C202" s="36"/>
      <c r="D202" s="71"/>
      <c r="E202" s="71"/>
      <c r="F202" s="71"/>
      <c r="G202" s="71"/>
      <c r="H202" s="72"/>
      <c r="J202" s="70" t="s">
        <v>215</v>
      </c>
      <c r="K202" s="36"/>
      <c r="L202" s="36"/>
      <c r="M202" s="71"/>
      <c r="N202" s="71"/>
      <c r="O202" s="71"/>
      <c r="P202" s="71"/>
      <c r="Q202" s="72"/>
      <c r="S202" s="70" t="s">
        <v>215</v>
      </c>
      <c r="T202" s="36"/>
      <c r="U202" s="36"/>
      <c r="V202" s="71"/>
      <c r="W202" s="71"/>
      <c r="X202" s="71"/>
      <c r="Y202" s="71"/>
      <c r="Z202" s="72"/>
      <c r="AB202" s="70" t="s">
        <v>215</v>
      </c>
      <c r="AC202" s="36"/>
      <c r="AD202" s="36"/>
      <c r="AE202" s="71"/>
      <c r="AF202" s="71"/>
      <c r="AG202" s="71"/>
      <c r="AH202" s="71"/>
      <c r="AI202" s="72"/>
    </row>
    <row r="203" customFormat="false" ht="18.75" hidden="false" customHeight="false" outlineLevel="0" collapsed="false">
      <c r="A203" s="35"/>
      <c r="B203" s="73"/>
      <c r="C203" s="73"/>
      <c r="D203" s="36"/>
      <c r="E203" s="27"/>
      <c r="F203" s="27"/>
      <c r="G203" s="27"/>
      <c r="H203" s="37"/>
      <c r="J203" s="35"/>
      <c r="K203" s="73"/>
      <c r="L203" s="73"/>
      <c r="M203" s="36"/>
      <c r="N203" s="27"/>
      <c r="O203" s="27"/>
      <c r="P203" s="27"/>
      <c r="Q203" s="37"/>
      <c r="S203" s="35"/>
      <c r="T203" s="73"/>
      <c r="U203" s="73"/>
      <c r="V203" s="36"/>
      <c r="W203" s="27"/>
      <c r="X203" s="27"/>
      <c r="Y203" s="27"/>
      <c r="Z203" s="37"/>
      <c r="AB203" s="35"/>
      <c r="AC203" s="73"/>
      <c r="AD203" s="73"/>
      <c r="AE203" s="36"/>
      <c r="AF203" s="27"/>
      <c r="AG203" s="27"/>
      <c r="AH203" s="27"/>
      <c r="AI203" s="37"/>
    </row>
    <row r="204" customFormat="false" ht="19.7" hidden="false" customHeight="false" outlineLevel="0" collapsed="false">
      <c r="A204" s="172" t="s">
        <v>95</v>
      </c>
      <c r="B204" s="75" t="s">
        <v>96</v>
      </c>
      <c r="C204" s="75"/>
      <c r="D204" s="75"/>
      <c r="E204" s="27"/>
      <c r="F204" s="27"/>
      <c r="G204" s="27"/>
      <c r="H204" s="37"/>
      <c r="J204" s="172" t="s">
        <v>95</v>
      </c>
      <c r="K204" s="173" t="s">
        <v>96</v>
      </c>
      <c r="L204" s="173"/>
      <c r="M204" s="173"/>
      <c r="N204" s="27"/>
      <c r="O204" s="27"/>
      <c r="P204" s="27"/>
      <c r="Q204" s="37"/>
      <c r="S204" s="172" t="s">
        <v>95</v>
      </c>
      <c r="T204" s="75" t="s">
        <v>96</v>
      </c>
      <c r="U204" s="75"/>
      <c r="V204" s="75"/>
      <c r="W204" s="27"/>
      <c r="X204" s="27"/>
      <c r="Y204" s="27"/>
      <c r="Z204" s="37"/>
      <c r="AB204" s="172" t="s">
        <v>95</v>
      </c>
      <c r="AC204" s="75" t="s">
        <v>96</v>
      </c>
      <c r="AD204" s="75"/>
      <c r="AE204" s="75"/>
      <c r="AF204" s="27"/>
      <c r="AG204" s="27"/>
      <c r="AH204" s="27"/>
      <c r="AI204" s="37"/>
    </row>
    <row r="205" customFormat="false" ht="19.5" hidden="false" customHeight="true" outlineLevel="0" collapsed="false">
      <c r="A205" s="172"/>
      <c r="B205" s="76" t="str">
        <f aca="false">K30</f>
        <v>5000</v>
      </c>
      <c r="C205" s="76"/>
      <c r="D205" s="76"/>
      <c r="E205" s="27"/>
      <c r="F205" s="27"/>
      <c r="G205" s="27"/>
      <c r="H205" s="37"/>
      <c r="J205" s="172"/>
      <c r="K205" s="174" t="str">
        <f aca="false">K30</f>
        <v>5000</v>
      </c>
      <c r="L205" s="174"/>
      <c r="M205" s="174"/>
      <c r="N205" s="27"/>
      <c r="O205" s="27"/>
      <c r="P205" s="27"/>
      <c r="Q205" s="37"/>
      <c r="S205" s="172"/>
      <c r="T205" s="76" t="str">
        <f aca="false">K30</f>
        <v>5000</v>
      </c>
      <c r="U205" s="76"/>
      <c r="V205" s="76"/>
      <c r="W205" s="27"/>
      <c r="X205" s="27"/>
      <c r="Y205" s="27"/>
      <c r="Z205" s="37"/>
      <c r="AB205" s="172"/>
      <c r="AC205" s="76" t="str">
        <f aca="false">K30</f>
        <v>5000</v>
      </c>
      <c r="AD205" s="76"/>
      <c r="AE205" s="76"/>
      <c r="AF205" s="27"/>
      <c r="AG205" s="27"/>
      <c r="AH205" s="27"/>
      <c r="AI205" s="37"/>
    </row>
    <row r="206" customFormat="false" ht="18.75" hidden="false" customHeight="false" outlineLevel="0" collapsed="false">
      <c r="A206" s="77" t="str">
        <f aca="false">K29</f>
        <v>12</v>
      </c>
      <c r="B206" s="78" t="n">
        <f aca="false">B105</f>
        <v>988.875532787756</v>
      </c>
      <c r="C206" s="78"/>
      <c r="D206" s="78"/>
      <c r="E206" s="27"/>
      <c r="F206" s="27"/>
      <c r="G206" s="27"/>
      <c r="H206" s="37"/>
      <c r="J206" s="77" t="str">
        <f aca="false">K29</f>
        <v>12</v>
      </c>
      <c r="K206" s="78" t="e">
        <f aca="false">K105</f>
        <v>#VALUE!</v>
      </c>
      <c r="L206" s="78"/>
      <c r="M206" s="78"/>
      <c r="N206" s="27"/>
      <c r="O206" s="27"/>
      <c r="P206" s="27"/>
      <c r="Q206" s="37"/>
      <c r="S206" s="77" t="str">
        <f aca="false">K29</f>
        <v>12</v>
      </c>
      <c r="T206" s="78" t="e">
        <f aca="false">T105</f>
        <v>#VALUE!</v>
      </c>
      <c r="U206" s="78"/>
      <c r="V206" s="78"/>
      <c r="W206" s="27"/>
      <c r="X206" s="27"/>
      <c r="Y206" s="27"/>
      <c r="Z206" s="37"/>
      <c r="AB206" s="77" t="str">
        <f aca="false">K29</f>
        <v>12</v>
      </c>
      <c r="AC206" s="78" t="e">
        <f aca="false">AC105</f>
        <v>#VALUE!</v>
      </c>
      <c r="AD206" s="78"/>
      <c r="AE206" s="78"/>
      <c r="AF206" s="27"/>
      <c r="AG206" s="27"/>
      <c r="AH206" s="27"/>
      <c r="AI206" s="37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  <c r="J207" s="35"/>
      <c r="K207" s="36"/>
      <c r="L207" s="36"/>
      <c r="M207" s="36"/>
      <c r="N207" s="27"/>
      <c r="O207" s="27"/>
      <c r="P207" s="27"/>
      <c r="Q207" s="37"/>
      <c r="S207" s="35"/>
      <c r="T207" s="36"/>
      <c r="U207" s="36"/>
      <c r="V207" s="36"/>
      <c r="W207" s="27"/>
      <c r="X207" s="27"/>
      <c r="Y207" s="27"/>
      <c r="Z207" s="37"/>
      <c r="AB207" s="35"/>
      <c r="AC207" s="36"/>
      <c r="AD207" s="36"/>
      <c r="AE207" s="36"/>
      <c r="AF207" s="27"/>
      <c r="AG207" s="27"/>
      <c r="AH207" s="27"/>
      <c r="AI207" s="37"/>
    </row>
    <row r="208" customFormat="false" ht="18.75" hidden="false" customHeight="false" outlineLevel="0" collapsed="false">
      <c r="A208" s="35"/>
      <c r="B208" s="36"/>
      <c r="C208" s="36"/>
      <c r="D208" s="36"/>
      <c r="E208" s="27"/>
      <c r="F208" s="27"/>
      <c r="G208" s="27"/>
      <c r="H208" s="37"/>
      <c r="J208" s="35"/>
      <c r="K208" s="36"/>
      <c r="L208" s="36"/>
      <c r="M208" s="36"/>
      <c r="N208" s="27"/>
      <c r="O208" s="27"/>
      <c r="P208" s="27"/>
      <c r="Q208" s="37"/>
      <c r="S208" s="35"/>
      <c r="T208" s="36"/>
      <c r="U208" s="36"/>
      <c r="V208" s="36"/>
      <c r="W208" s="27"/>
      <c r="X208" s="27"/>
      <c r="Y208" s="27"/>
      <c r="Z208" s="37"/>
      <c r="AB208" s="35"/>
      <c r="AC208" s="36"/>
      <c r="AD208" s="36"/>
      <c r="AE208" s="36"/>
      <c r="AF208" s="27"/>
      <c r="AG208" s="27"/>
      <c r="AH208" s="27"/>
      <c r="AI208" s="37"/>
    </row>
    <row r="209" customFormat="false" ht="18.75" hidden="false" customHeight="false" outlineLevel="0" collapsed="false">
      <c r="A209" s="35" t="s">
        <v>216</v>
      </c>
      <c r="B209" s="36" t="s">
        <v>217</v>
      </c>
      <c r="C209" s="36"/>
      <c r="D209" s="36"/>
      <c r="E209" s="27"/>
      <c r="F209" s="27"/>
      <c r="G209" s="27"/>
      <c r="H209" s="37"/>
      <c r="J209" s="35"/>
      <c r="K209" s="36"/>
      <c r="L209" s="36"/>
      <c r="M209" s="36"/>
      <c r="N209" s="27"/>
      <c r="O209" s="27"/>
      <c r="P209" s="27"/>
      <c r="Q209" s="37"/>
      <c r="S209" s="35"/>
      <c r="T209" s="36"/>
      <c r="U209" s="36"/>
      <c r="V209" s="36"/>
      <c r="W209" s="27"/>
      <c r="X209" s="27"/>
      <c r="Y209" s="27"/>
      <c r="Z209" s="37"/>
      <c r="AB209" s="35"/>
      <c r="AC209" s="36"/>
      <c r="AD209" s="36"/>
      <c r="AE209" s="36"/>
      <c r="AF209" s="27"/>
      <c r="AG209" s="27"/>
      <c r="AH209" s="27"/>
      <c r="AI209" s="37"/>
    </row>
    <row r="210" customFormat="false" ht="18.75" hidden="false" customHeight="false" outlineLevel="0" collapsed="false">
      <c r="A210" s="40" t="n">
        <f aca="false">IF(A49=0,((G176*(B68+1))-E188),((G176*B68)+E194-E188-A194))</f>
        <v>-3799.5</v>
      </c>
      <c r="B210" s="47" t="n">
        <f aca="false">E188+A210+B191+A194</f>
        <v>16695.49</v>
      </c>
      <c r="C210" s="36"/>
      <c r="D210" s="36"/>
      <c r="E210" s="27"/>
      <c r="F210" s="27"/>
      <c r="G210" s="27"/>
      <c r="H210" s="37"/>
      <c r="J210" s="35"/>
      <c r="K210" s="36"/>
      <c r="L210" s="36"/>
      <c r="M210" s="36"/>
      <c r="N210" s="27"/>
      <c r="O210" s="27"/>
      <c r="P210" s="27"/>
      <c r="Q210" s="37"/>
      <c r="S210" s="35"/>
      <c r="T210" s="36"/>
      <c r="U210" s="36"/>
      <c r="V210" s="36"/>
      <c r="W210" s="27"/>
      <c r="X210" s="27"/>
      <c r="Y210" s="27"/>
      <c r="Z210" s="37"/>
      <c r="AB210" s="35"/>
      <c r="AC210" s="36"/>
      <c r="AD210" s="36"/>
      <c r="AE210" s="36"/>
      <c r="AF210" s="27"/>
      <c r="AG210" s="27"/>
      <c r="AH210" s="27"/>
      <c r="AI210" s="37"/>
    </row>
    <row r="211" customFormat="false" ht="18.75" hidden="false" customHeight="false" outlineLevel="0" collapsed="false">
      <c r="A211" s="60"/>
      <c r="B211" s="61"/>
      <c r="C211" s="61"/>
      <c r="D211" s="61"/>
      <c r="E211" s="61"/>
      <c r="F211" s="61"/>
      <c r="G211" s="61"/>
      <c r="H211" s="69"/>
      <c r="J211" s="60"/>
      <c r="K211" s="61"/>
      <c r="L211" s="61"/>
      <c r="M211" s="61"/>
      <c r="N211" s="61"/>
      <c r="O211" s="61"/>
      <c r="P211" s="61"/>
      <c r="Q211" s="69"/>
      <c r="S211" s="60"/>
      <c r="T211" s="61"/>
      <c r="U211" s="61"/>
      <c r="V211" s="61"/>
      <c r="W211" s="61"/>
      <c r="X211" s="61"/>
      <c r="Y211" s="61"/>
      <c r="Z211" s="69"/>
      <c r="AB211" s="60"/>
      <c r="AC211" s="61"/>
      <c r="AD211" s="61"/>
      <c r="AE211" s="61"/>
      <c r="AF211" s="61"/>
      <c r="AG211" s="61"/>
      <c r="AH211" s="61"/>
      <c r="AI211" s="69"/>
    </row>
    <row r="215" customFormat="false" ht="22.05" hidden="false" customHeight="false" outlineLevel="0" collapsed="false">
      <c r="A215" s="175" t="s">
        <v>193</v>
      </c>
      <c r="B215" s="175"/>
      <c r="C215" s="175"/>
      <c r="D215" s="175"/>
      <c r="E215" s="175"/>
      <c r="F215" s="175"/>
      <c r="G215" s="175"/>
      <c r="H215" s="175"/>
    </row>
    <row r="216" customFormat="false" ht="18.75" hidden="false" customHeight="false" outlineLevel="0" collapsed="false">
      <c r="A216" s="35"/>
      <c r="B216" s="36"/>
      <c r="C216" s="36"/>
      <c r="D216" s="36"/>
      <c r="E216" s="27"/>
      <c r="F216" s="27"/>
      <c r="G216" s="27"/>
      <c r="H216" s="37"/>
    </row>
    <row r="217" customFormat="false" ht="18.75" hidden="false" customHeight="false" outlineLevel="0" collapsed="false">
      <c r="A217" s="176" t="s">
        <v>138</v>
      </c>
      <c r="B217" s="177" t="s">
        <v>52</v>
      </c>
      <c r="C217" s="177"/>
      <c r="D217" s="177"/>
      <c r="E217" s="177" t="s">
        <v>53</v>
      </c>
      <c r="F217" s="178"/>
      <c r="G217" s="27"/>
      <c r="H217" s="37"/>
    </row>
    <row r="218" customFormat="false" ht="18.75" hidden="false" customHeight="false" outlineLevel="0" collapsed="false">
      <c r="A218" s="179" t="s">
        <v>218</v>
      </c>
      <c r="B218" s="164" t="str">
        <f aca="false">A206</f>
        <v>12</v>
      </c>
      <c r="C218" s="164"/>
      <c r="D218" s="164"/>
      <c r="E218" s="164" t="str">
        <f aca="false">B205</f>
        <v>5000</v>
      </c>
      <c r="F218" s="178"/>
      <c r="G218" s="27"/>
      <c r="H218" s="37"/>
    </row>
    <row r="219" customFormat="false" ht="18.75" hidden="false" customHeight="false" outlineLevel="0" collapsed="false">
      <c r="A219" s="35"/>
      <c r="B219" s="36"/>
      <c r="C219" s="36"/>
      <c r="D219" s="36"/>
      <c r="E219" s="27"/>
      <c r="F219" s="27"/>
      <c r="G219" s="27"/>
      <c r="H219" s="37"/>
    </row>
    <row r="220" customFormat="false" ht="18.75" hidden="false" customHeight="false" outlineLevel="0" collapsed="false">
      <c r="A220" s="176" t="s">
        <v>195</v>
      </c>
      <c r="B220" s="177" t="s">
        <v>196</v>
      </c>
      <c r="C220" s="177"/>
      <c r="D220" s="177"/>
      <c r="E220" s="177" t="s">
        <v>197</v>
      </c>
      <c r="F220" s="27"/>
      <c r="G220" s="27"/>
      <c r="H220" s="37"/>
    </row>
    <row r="221" customFormat="false" ht="18.75" hidden="false" customHeight="false" outlineLevel="0" collapsed="false">
      <c r="A221" s="165" t="n">
        <f aca="false">A176</f>
        <v>903.784623696847</v>
      </c>
      <c r="B221" s="166" t="n">
        <f aca="false">B176</f>
        <v>85.0909090909091</v>
      </c>
      <c r="C221" s="164"/>
      <c r="D221" s="164"/>
      <c r="E221" s="166" t="n">
        <f aca="false">E176</f>
        <v>988.875532787756</v>
      </c>
      <c r="F221" s="27"/>
      <c r="G221" s="27"/>
      <c r="H221" s="37"/>
    </row>
    <row r="222" customFormat="false" ht="18.75" hidden="false" customHeight="false" outlineLevel="0" collapsed="false">
      <c r="A222" s="35"/>
      <c r="B222" s="36"/>
      <c r="C222" s="36"/>
      <c r="D222" s="36"/>
      <c r="E222" s="27"/>
      <c r="F222" s="27"/>
      <c r="G222" s="27"/>
      <c r="H222" s="37"/>
    </row>
    <row r="223" customFormat="false" ht="18.75" hidden="false" customHeight="false" outlineLevel="0" collapsed="false">
      <c r="A223" s="35" t="s">
        <v>200</v>
      </c>
      <c r="B223" s="36" t="s">
        <v>201</v>
      </c>
      <c r="C223" s="36"/>
      <c r="D223" s="27"/>
      <c r="E223" s="36" t="s">
        <v>202</v>
      </c>
      <c r="F223" s="27"/>
      <c r="G223" s="27"/>
      <c r="H223" s="37"/>
    </row>
    <row r="224" customFormat="false" ht="18.75" hidden="false" customHeight="false" outlineLevel="0" collapsed="false">
      <c r="A224" s="171" t="n">
        <f aca="false">A182</f>
        <v>15912.5</v>
      </c>
      <c r="B224" s="42" t="n">
        <f aca="false">B182</f>
        <v>3182.5</v>
      </c>
      <c r="C224" s="47"/>
      <c r="D224" s="27"/>
      <c r="E224" s="170" t="n">
        <f aca="false">E182</f>
        <v>0</v>
      </c>
      <c r="F224" s="27"/>
      <c r="G224" s="27"/>
      <c r="H224" s="3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203</v>
      </c>
      <c r="B226" s="36" t="s">
        <v>149</v>
      </c>
      <c r="C226" s="36"/>
      <c r="D226" s="27"/>
      <c r="E226" s="36" t="s">
        <v>150</v>
      </c>
      <c r="F226" s="27"/>
      <c r="G226" s="27"/>
      <c r="H226" s="37"/>
    </row>
    <row r="227" customFormat="false" ht="18.75" hidden="false" customHeight="false" outlineLevel="0" collapsed="false">
      <c r="A227" s="171" t="n">
        <f aca="false">A185</f>
        <v>19095</v>
      </c>
      <c r="B227" s="42" t="n">
        <f aca="false">B185</f>
        <v>0</v>
      </c>
      <c r="C227" s="42"/>
      <c r="D227" s="27"/>
      <c r="E227" s="42" t="n">
        <f aca="false">E185</f>
        <v>0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27"/>
      <c r="E228" s="36"/>
      <c r="F228" s="27"/>
      <c r="G228" s="27"/>
      <c r="H228" s="37"/>
    </row>
    <row r="229" customFormat="false" ht="18.75" hidden="false" customHeight="false" outlineLevel="0" collapsed="false">
      <c r="A229" s="35" t="s">
        <v>151</v>
      </c>
      <c r="B229" s="36" t="s">
        <v>186</v>
      </c>
      <c r="C229" s="36"/>
      <c r="D229" s="27"/>
      <c r="E229" s="36" t="s">
        <v>192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A188</f>
        <v>0</v>
      </c>
      <c r="B230" s="42" t="n">
        <f aca="false">B188</f>
        <v>0</v>
      </c>
      <c r="C230" s="42"/>
      <c r="D230" s="27"/>
      <c r="E230" s="42" t="n">
        <f aca="false">E188</f>
        <v>20245</v>
      </c>
      <c r="F230" s="27"/>
      <c r="G230" s="27"/>
      <c r="H230" s="107"/>
    </row>
    <row r="231" customFormat="false" ht="18.75" hidden="false" customHeight="false" outlineLevel="0" collapsed="false">
      <c r="A231" s="35"/>
      <c r="B231" s="36"/>
      <c r="C231" s="36"/>
      <c r="D231" s="27"/>
      <c r="E231" s="36"/>
      <c r="F231" s="27"/>
      <c r="G231" s="27"/>
      <c r="H231" s="37"/>
    </row>
    <row r="232" customFormat="false" ht="18.75" hidden="false" customHeight="false" outlineLevel="0" collapsed="false">
      <c r="A232" s="35" t="s">
        <v>204</v>
      </c>
      <c r="B232" s="36" t="s">
        <v>66</v>
      </c>
      <c r="C232" s="36"/>
      <c r="D232" s="27"/>
      <c r="E232" s="36" t="s">
        <v>205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A191</f>
        <v>-3103.36913933468</v>
      </c>
      <c r="B233" s="42" t="n">
        <f aca="false">B191</f>
        <v>239.99</v>
      </c>
      <c r="C233" s="42"/>
      <c r="D233" s="27"/>
      <c r="E233" s="42" t="n">
        <f aca="false">E191</f>
        <v>17391.6208606653</v>
      </c>
      <c r="F233" s="27"/>
      <c r="G233" s="27"/>
      <c r="H233" s="107"/>
    </row>
    <row r="234" customFormat="false" ht="18.75" hidden="false" customHeight="false" outlineLevel="0" collapsed="false">
      <c r="A234" s="35"/>
      <c r="B234" s="36"/>
      <c r="C234" s="36"/>
      <c r="D234" s="27"/>
      <c r="E234" s="36"/>
      <c r="F234" s="27"/>
      <c r="G234" s="27"/>
      <c r="H234" s="37"/>
    </row>
    <row r="235" customFormat="false" ht="18.75" hidden="false" customHeight="false" outlineLevel="0" collapsed="false">
      <c r="A235" s="35" t="s">
        <v>206</v>
      </c>
      <c r="B235" s="36" t="s">
        <v>207</v>
      </c>
      <c r="C235" s="36"/>
      <c r="D235" s="27"/>
      <c r="E235" s="36" t="s">
        <v>219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A194</f>
        <v>10</v>
      </c>
      <c r="B236" s="42" t="n">
        <f aca="false">B194</f>
        <v>239.99</v>
      </c>
      <c r="C236" s="42"/>
      <c r="D236" s="27"/>
      <c r="E236" s="42" t="n">
        <f aca="false">B68</f>
        <v>11</v>
      </c>
      <c r="F236" s="27"/>
      <c r="G236" s="27"/>
      <c r="H236" s="107"/>
    </row>
    <row r="237" customFormat="false" ht="18.75" hidden="false" customHeight="false" outlineLevel="0" collapsed="false">
      <c r="A237" s="35"/>
      <c r="B237" s="36"/>
      <c r="C237" s="36"/>
      <c r="D237" s="36"/>
      <c r="E237" s="27"/>
      <c r="F237" s="27"/>
      <c r="G237" s="27"/>
      <c r="H237" s="37"/>
    </row>
    <row r="238" customFormat="false" ht="18.75" hidden="false" customHeight="false" outlineLevel="0" collapsed="false">
      <c r="A238" s="35" t="s">
        <v>195</v>
      </c>
      <c r="B238" s="36" t="s">
        <v>196</v>
      </c>
      <c r="C238" s="36"/>
      <c r="D238" s="36"/>
      <c r="E238" s="36" t="s">
        <v>197</v>
      </c>
      <c r="F238" s="27"/>
      <c r="G238" s="27"/>
      <c r="H238" s="37"/>
    </row>
    <row r="239" customFormat="false" ht="18.75" hidden="false" customHeight="false" outlineLevel="0" collapsed="false">
      <c r="A239" s="113" t="n">
        <f aca="false">A176</f>
        <v>903.784623696847</v>
      </c>
      <c r="B239" s="42" t="n">
        <f aca="false">B176</f>
        <v>85.0909090909091</v>
      </c>
      <c r="C239" s="47"/>
      <c r="D239" s="47"/>
      <c r="E239" s="42" t="n">
        <f aca="false">E176</f>
        <v>988.875532787756</v>
      </c>
      <c r="F239" s="27"/>
      <c r="G239" s="27"/>
      <c r="H239" s="37"/>
    </row>
    <row r="240" customFormat="false" ht="18.75" hidden="false" customHeight="false" outlineLevel="0" collapsed="false">
      <c r="A240" s="35"/>
      <c r="B240" s="36"/>
      <c r="C240" s="36"/>
      <c r="D240" s="36"/>
      <c r="E240" s="27"/>
      <c r="F240" s="27"/>
      <c r="G240" s="27"/>
      <c r="H240" s="37"/>
    </row>
    <row r="241" customFormat="false" ht="18.75" hidden="false" customHeight="false" outlineLevel="0" collapsed="false">
      <c r="A241" s="35" t="s">
        <v>220</v>
      </c>
      <c r="B241" s="36" t="s">
        <v>221</v>
      </c>
      <c r="C241" s="36"/>
      <c r="D241" s="36"/>
      <c r="E241" s="36" t="s">
        <v>80</v>
      </c>
      <c r="F241" s="27"/>
      <c r="G241" s="27"/>
      <c r="H241" s="37"/>
    </row>
    <row r="242" customFormat="false" ht="18.75" hidden="false" customHeight="false" outlineLevel="0" collapsed="false">
      <c r="A242" s="113" t="n">
        <f aca="false">E179</f>
        <v>7200</v>
      </c>
      <c r="B242" s="42" t="n">
        <f aca="false">E194</f>
        <v>7210</v>
      </c>
      <c r="C242" s="36"/>
      <c r="D242" s="36"/>
      <c r="E242" s="42" t="n">
        <f aca="false">J18*0.000006*100*1.2</f>
        <v>29.17872</v>
      </c>
      <c r="F242" s="27"/>
      <c r="G242" s="27"/>
      <c r="H242" s="37"/>
    </row>
    <row r="243" customFormat="false" ht="18.75" hidden="false" customHeight="false" outlineLevel="0" collapsed="false">
      <c r="A243" s="113"/>
      <c r="B243" s="42"/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64" t="s">
        <v>222</v>
      </c>
      <c r="B244" s="43" t="s">
        <v>85</v>
      </c>
      <c r="C244" s="36"/>
      <c r="D244" s="36"/>
      <c r="E244" s="43" t="s">
        <v>143</v>
      </c>
      <c r="F244" s="27"/>
      <c r="G244" s="27"/>
      <c r="H244" s="37"/>
    </row>
    <row r="245" customFormat="false" ht="18.75" hidden="false" customHeight="false" outlineLevel="0" collapsed="false">
      <c r="A245" s="113" t="n">
        <f aca="false">A197</f>
        <v>9.72624</v>
      </c>
      <c r="B245" s="42" t="n">
        <f aca="false">E242+A245</f>
        <v>38.90496</v>
      </c>
      <c r="C245" s="36"/>
      <c r="D245" s="36"/>
      <c r="E245" s="42"/>
      <c r="F245" s="27"/>
      <c r="G245" s="27"/>
      <c r="H245" s="37"/>
    </row>
    <row r="246" customFormat="false" ht="18.75" hidden="false" customHeight="false" outlineLevel="0" collapsed="false">
      <c r="A246" s="113"/>
      <c r="B246" s="42"/>
      <c r="C246" s="36"/>
      <c r="D246" s="36"/>
      <c r="E246" s="42"/>
      <c r="F246" s="27"/>
      <c r="G246" s="27"/>
      <c r="H246" s="37"/>
    </row>
    <row r="247" customFormat="false" ht="22.05" hidden="false" customHeight="false" outlineLevel="0" collapsed="false">
      <c r="A247" s="180" t="s">
        <v>223</v>
      </c>
      <c r="B247" s="180"/>
      <c r="C247" s="180"/>
      <c r="D247" s="180"/>
      <c r="E247" s="180"/>
      <c r="F247" s="180"/>
      <c r="G247" s="180"/>
      <c r="H247" s="180"/>
    </row>
    <row r="248" customFormat="false" ht="18.75" hidden="false" customHeight="false" outlineLevel="0" collapsed="false">
      <c r="A248" s="35" t="s">
        <v>224</v>
      </c>
      <c r="B248" s="36" t="s">
        <v>210</v>
      </c>
      <c r="C248" s="36"/>
      <c r="D248" s="36"/>
      <c r="E248" s="43" t="s">
        <v>211</v>
      </c>
      <c r="F248" s="27"/>
      <c r="G248" s="27"/>
      <c r="H248" s="37"/>
    </row>
    <row r="249" customFormat="false" ht="18.75" hidden="false" customHeight="false" outlineLevel="0" collapsed="false">
      <c r="A249" s="113" t="n">
        <f aca="false">H157</f>
        <v>1995.83</v>
      </c>
      <c r="B249" s="42" t="n">
        <f aca="false">B197</f>
        <v>151.8375</v>
      </c>
      <c r="C249" s="36"/>
      <c r="D249" s="36"/>
      <c r="E249" s="42" t="n">
        <f aca="false">E197</f>
        <v>18</v>
      </c>
      <c r="F249" s="27"/>
      <c r="G249" s="27"/>
      <c r="H249" s="37"/>
    </row>
    <row r="250" customFormat="false" ht="18.75" hidden="false" customHeight="false" outlineLevel="0" collapsed="false">
      <c r="A250" s="113"/>
      <c r="B250" s="42"/>
      <c r="C250" s="36"/>
      <c r="D250" s="36"/>
      <c r="E250" s="27"/>
      <c r="F250" s="27"/>
      <c r="G250" s="27"/>
      <c r="H250" s="37"/>
    </row>
    <row r="251" customFormat="false" ht="18.75" hidden="false" customHeight="false" outlineLevel="0" collapsed="false">
      <c r="A251" s="64" t="s">
        <v>212</v>
      </c>
      <c r="B251" s="43" t="s">
        <v>213</v>
      </c>
      <c r="C251" s="36"/>
      <c r="D251" s="36"/>
      <c r="E251" s="43"/>
      <c r="F251" s="27"/>
      <c r="G251" s="27"/>
      <c r="H251" s="37"/>
    </row>
    <row r="252" customFormat="false" ht="18.75" hidden="false" customHeight="false" outlineLevel="0" collapsed="false">
      <c r="A252" s="113" t="n">
        <f aca="false">A200</f>
        <v>20</v>
      </c>
      <c r="B252" s="42" t="n">
        <f aca="false">B249+E249+A252+A249-H165</f>
        <v>1035.6675</v>
      </c>
      <c r="C252" s="36"/>
      <c r="D252" s="36"/>
      <c r="E252" s="42"/>
      <c r="F252" s="27"/>
      <c r="G252" s="27"/>
      <c r="H252" s="37"/>
    </row>
    <row r="253" customFormat="false" ht="18.75" hidden="false" customHeight="false" outlineLevel="0" collapsed="false">
      <c r="A253" s="35"/>
      <c r="B253" s="36"/>
      <c r="C253" s="36"/>
      <c r="D253" s="36"/>
      <c r="E253" s="27"/>
      <c r="F253" s="27"/>
      <c r="G253" s="27"/>
      <c r="H253" s="37"/>
    </row>
    <row r="254" customFormat="false" ht="18.75" hidden="false" customHeight="false" outlineLevel="0" collapsed="false">
      <c r="A254" s="60"/>
      <c r="B254" s="61"/>
      <c r="C254" s="61"/>
      <c r="D254" s="61"/>
      <c r="E254" s="61"/>
      <c r="F254" s="61"/>
      <c r="G254" s="61"/>
      <c r="H254" s="69"/>
    </row>
    <row r="260" customFormat="false" ht="22.05" hidden="false" customHeight="false" outlineLevel="0" collapsed="false">
      <c r="A260" s="175" t="s">
        <v>225</v>
      </c>
      <c r="B260" s="175"/>
      <c r="C260" s="175"/>
      <c r="D260" s="175"/>
      <c r="E260" s="175"/>
      <c r="F260" s="175"/>
      <c r="G260" s="175"/>
      <c r="H260" s="175"/>
    </row>
    <row r="261" customFormat="false" ht="18.75" hidden="false" customHeight="false" outlineLevel="0" collapsed="false">
      <c r="A261" s="35"/>
      <c r="B261" s="36"/>
      <c r="C261" s="36"/>
      <c r="D261" s="36"/>
      <c r="E261" s="27"/>
      <c r="F261" s="27"/>
      <c r="G261" s="27"/>
      <c r="H261" s="37"/>
    </row>
    <row r="262" customFormat="false" ht="18.75" hidden="false" customHeight="false" outlineLevel="0" collapsed="false">
      <c r="A262" s="176" t="s">
        <v>226</v>
      </c>
      <c r="B262" s="181" t="n">
        <f aca="false">B72</f>
        <v>0.065</v>
      </c>
      <c r="C262" s="182"/>
      <c r="D262" s="183" t="s">
        <v>227</v>
      </c>
      <c r="E262" s="183"/>
      <c r="F262" s="181" t="n">
        <f aca="false">B92</f>
        <v>0.1255</v>
      </c>
      <c r="G262" s="27"/>
      <c r="H262" s="37"/>
    </row>
    <row r="263" customFormat="false" ht="18.75" hidden="false" customHeight="false" outlineLevel="0" collapsed="false">
      <c r="A263" s="176" t="s">
        <v>228</v>
      </c>
      <c r="B263" s="184" t="n">
        <f aca="false">(E191-B191)-(B210-B191-A194)</f>
        <v>706.130860665318</v>
      </c>
      <c r="C263" s="182"/>
      <c r="D263" s="183" t="s">
        <v>229</v>
      </c>
      <c r="E263" s="183"/>
      <c r="F263" s="185" t="n">
        <f aca="false">F270+F276+F278+B279+B280</f>
        <v>151.8375</v>
      </c>
      <c r="G263" s="27"/>
      <c r="H263" s="37"/>
    </row>
    <row r="264" customFormat="false" ht="18.75" hidden="false" customHeight="false" outlineLevel="0" collapsed="false">
      <c r="A264" s="176" t="s">
        <v>230</v>
      </c>
      <c r="B264" s="185" t="n">
        <f aca="false">F271+B272</f>
        <v>200</v>
      </c>
      <c r="C264" s="182"/>
      <c r="D264" s="183" t="s">
        <v>231</v>
      </c>
      <c r="E264" s="183"/>
      <c r="F264" s="185" t="n">
        <f aca="false">(B263-F263)+B264</f>
        <v>754.293360665318</v>
      </c>
      <c r="G264" s="27"/>
      <c r="H264" s="37"/>
    </row>
    <row r="265" customFormat="false" ht="18.75" hidden="false" customHeight="false" outlineLevel="0" collapsed="false">
      <c r="A265" s="186"/>
      <c r="B265" s="182"/>
      <c r="C265" s="187"/>
      <c r="D265" s="187"/>
      <c r="E265" s="187"/>
      <c r="F265" s="187"/>
      <c r="G265" s="188"/>
      <c r="H265" s="189"/>
    </row>
    <row r="266" customFormat="false" ht="18.75" hidden="false" customHeight="false" outlineLevel="0" collapsed="false">
      <c r="A266" s="35" t="s">
        <v>226</v>
      </c>
      <c r="B266" s="190" t="n">
        <f aca="false">B262</f>
        <v>0.065</v>
      </c>
      <c r="C266" s="182"/>
      <c r="D266" s="182"/>
      <c r="E266" s="182"/>
      <c r="F266" s="182"/>
      <c r="G266" s="27"/>
      <c r="H266" s="37"/>
    </row>
    <row r="267" customFormat="false" ht="18.75" hidden="false" customHeight="false" outlineLevel="0" collapsed="false">
      <c r="A267" s="191"/>
      <c r="B267" s="192"/>
      <c r="C267" s="193"/>
      <c r="D267" s="193"/>
      <c r="E267" s="188"/>
      <c r="F267" s="188"/>
      <c r="G267" s="188"/>
      <c r="H267" s="189"/>
    </row>
    <row r="268" customFormat="false" ht="18.75" hidden="false" customHeight="false" outlineLevel="0" collapsed="false">
      <c r="A268" s="35" t="s">
        <v>232</v>
      </c>
      <c r="B268" s="190" t="n">
        <f aca="false">B73</f>
        <v>0.05</v>
      </c>
      <c r="C268" s="36"/>
      <c r="D268" s="156" t="s">
        <v>233</v>
      </c>
      <c r="E268" s="156"/>
      <c r="F268" s="190" t="n">
        <v>0</v>
      </c>
      <c r="G268" s="27"/>
      <c r="H268" s="37"/>
    </row>
    <row r="269" customFormat="false" ht="18.75" hidden="false" customHeight="false" outlineLevel="0" collapsed="false">
      <c r="A269" s="112" t="s">
        <v>227</v>
      </c>
      <c r="B269" s="194" t="n">
        <f aca="false">B92</f>
        <v>0.1255</v>
      </c>
      <c r="C269" s="47"/>
      <c r="D269" s="156" t="s">
        <v>228</v>
      </c>
      <c r="E269" s="156"/>
      <c r="F269" s="135" t="n">
        <f aca="false">(B98*B68)-(C98*B68)</f>
        <v>9941.63086066532</v>
      </c>
      <c r="G269" s="27"/>
      <c r="H269" s="37"/>
    </row>
    <row r="270" customFormat="false" ht="18.75" hidden="false" customHeight="false" outlineLevel="0" collapsed="false">
      <c r="A270" s="35" t="s">
        <v>234</v>
      </c>
      <c r="B270" s="194" t="n">
        <f aca="false">B76</f>
        <v>0.0075</v>
      </c>
      <c r="C270" s="36"/>
      <c r="D270" s="156" t="s">
        <v>234</v>
      </c>
      <c r="E270" s="156"/>
      <c r="F270" s="142" t="n">
        <f aca="false">B77</f>
        <v>151.8375</v>
      </c>
      <c r="G270" s="27"/>
      <c r="H270" s="37"/>
    </row>
    <row r="271" customFormat="false" ht="18.75" hidden="false" customHeight="false" outlineLevel="0" collapsed="false">
      <c r="A271" s="35" t="s">
        <v>235</v>
      </c>
      <c r="B271" s="190" t="n">
        <f aca="false">A117</f>
        <v>0.3</v>
      </c>
      <c r="C271" s="36"/>
      <c r="D271" s="156" t="s">
        <v>235</v>
      </c>
      <c r="E271" s="156"/>
      <c r="F271" s="135" t="n">
        <f aca="false">E249*10</f>
        <v>180</v>
      </c>
      <c r="G271" s="27"/>
      <c r="H271" s="37"/>
    </row>
    <row r="272" customFormat="false" ht="18.75" hidden="false" customHeight="false" outlineLevel="0" collapsed="false">
      <c r="A272" s="35" t="s">
        <v>236</v>
      </c>
      <c r="B272" s="135" t="n">
        <f aca="false">A252</f>
        <v>20</v>
      </c>
      <c r="C272" s="36"/>
      <c r="D272" s="43" t="s">
        <v>231</v>
      </c>
      <c r="E272" s="43"/>
      <c r="F272" s="135" t="n">
        <f aca="false">(B263-F263)+B264</f>
        <v>754.293360665318</v>
      </c>
      <c r="G272" s="27"/>
      <c r="H272" s="37"/>
    </row>
    <row r="273" customFormat="false" ht="18.75" hidden="false" customHeight="false" outlineLevel="0" collapsed="false">
      <c r="A273" s="113"/>
      <c r="B273" s="42"/>
      <c r="C273" s="36"/>
      <c r="D273" s="36"/>
      <c r="E273" s="42"/>
      <c r="F273" s="27"/>
      <c r="G273" s="27"/>
      <c r="H273" s="37"/>
    </row>
    <row r="274" customFormat="false" ht="22.05" hidden="false" customHeight="false" outlineLevel="0" collapsed="false">
      <c r="A274" s="180" t="s">
        <v>237</v>
      </c>
      <c r="B274" s="180"/>
      <c r="C274" s="180"/>
      <c r="D274" s="180"/>
      <c r="E274" s="180"/>
      <c r="F274" s="180"/>
      <c r="G274" s="180"/>
      <c r="H274" s="180"/>
    </row>
    <row r="275" customFormat="false" ht="18.75" hidden="false" customHeight="false" outlineLevel="0" collapsed="false">
      <c r="A275" s="35" t="s">
        <v>238</v>
      </c>
      <c r="B275" s="142" t="n">
        <v>0</v>
      </c>
      <c r="C275" s="36"/>
      <c r="D275" s="195" t="s">
        <v>239</v>
      </c>
      <c r="E275" s="195"/>
      <c r="F275" s="142" t="n">
        <v>0</v>
      </c>
      <c r="G275" s="27"/>
      <c r="H275" s="37"/>
    </row>
    <row r="276" customFormat="false" ht="18.75" hidden="false" customHeight="false" outlineLevel="0" collapsed="false">
      <c r="A276" s="113"/>
      <c r="B276" s="135"/>
      <c r="C276" s="36"/>
      <c r="D276" s="156" t="s">
        <v>240</v>
      </c>
      <c r="E276" s="156"/>
      <c r="F276" s="135" t="n">
        <f aca="false">B275+F275*B218</f>
        <v>0</v>
      </c>
      <c r="G276" s="27"/>
      <c r="H276" s="37"/>
    </row>
    <row r="277" customFormat="false" ht="18.75" hidden="false" customHeight="false" outlineLevel="0" collapsed="false">
      <c r="A277" s="64" t="s">
        <v>241</v>
      </c>
      <c r="B277" s="196" t="s">
        <v>10</v>
      </c>
      <c r="C277" s="36"/>
      <c r="D277" s="156" t="s">
        <v>242</v>
      </c>
      <c r="E277" s="156"/>
      <c r="F277" s="196" t="n">
        <f aca="false">B79</f>
        <v>0</v>
      </c>
      <c r="G277" s="27"/>
      <c r="H277" s="37"/>
    </row>
    <row r="278" customFormat="false" ht="18.75" hidden="false" customHeight="false" outlineLevel="0" collapsed="false">
      <c r="A278" s="64"/>
      <c r="B278" s="146"/>
      <c r="C278" s="36"/>
      <c r="D278" s="156" t="s">
        <v>243</v>
      </c>
      <c r="E278" s="156"/>
      <c r="F278" s="135" t="n">
        <f aca="false">B100</f>
        <v>0</v>
      </c>
      <c r="G278" s="27"/>
      <c r="H278" s="37"/>
    </row>
    <row r="279" customFormat="false" ht="18.75" hidden="false" customHeight="false" outlineLevel="0" collapsed="false">
      <c r="A279" s="64" t="s">
        <v>244</v>
      </c>
      <c r="B279" s="142" t="n">
        <v>0</v>
      </c>
      <c r="C279" s="36"/>
      <c r="D279" s="36"/>
      <c r="E279" s="42"/>
      <c r="F279" s="27"/>
      <c r="G279" s="27"/>
      <c r="H279" s="37"/>
    </row>
    <row r="280" customFormat="false" ht="18.75" hidden="false" customHeight="false" outlineLevel="0" collapsed="false">
      <c r="A280" s="35" t="s">
        <v>245</v>
      </c>
      <c r="B280" s="142" t="n">
        <v>0</v>
      </c>
      <c r="C280" s="36"/>
      <c r="D280" s="36"/>
      <c r="E280" s="27"/>
      <c r="F280" s="27"/>
      <c r="G280" s="27"/>
      <c r="H280" s="37"/>
    </row>
    <row r="281" customFormat="false" ht="18.75" hidden="false" customHeight="false" outlineLevel="0" collapsed="false">
      <c r="A281" s="60"/>
      <c r="B281" s="61"/>
      <c r="C281" s="61"/>
      <c r="D281" s="61"/>
      <c r="E281" s="61"/>
      <c r="F281" s="61"/>
      <c r="G281" s="61"/>
      <c r="H281" s="69"/>
    </row>
  </sheetData>
  <mergeCells count="267">
    <mergeCell ref="A1:F1"/>
    <mergeCell ref="D7:E18"/>
    <mergeCell ref="A16:C18"/>
    <mergeCell ref="A19:D19"/>
    <mergeCell ref="A21:D21"/>
    <mergeCell ref="A24:H24"/>
    <mergeCell ref="A26:H26"/>
    <mergeCell ref="C31:D31"/>
    <mergeCell ref="F31:G31"/>
    <mergeCell ref="C34:D34"/>
    <mergeCell ref="F34:G34"/>
    <mergeCell ref="C37:D37"/>
    <mergeCell ref="J38:K38"/>
    <mergeCell ref="C40:D40"/>
    <mergeCell ref="F40:G40"/>
    <mergeCell ref="C43:D43"/>
    <mergeCell ref="F43:G43"/>
    <mergeCell ref="C46:D46"/>
    <mergeCell ref="F46:G46"/>
    <mergeCell ref="C53:E53"/>
    <mergeCell ref="A58:A59"/>
    <mergeCell ref="B58:D58"/>
    <mergeCell ref="B59:D59"/>
    <mergeCell ref="B60:D60"/>
    <mergeCell ref="A109:H109"/>
    <mergeCell ref="J109:Q109"/>
    <mergeCell ref="S109:Z109"/>
    <mergeCell ref="AB109:AI109"/>
    <mergeCell ref="A111:H111"/>
    <mergeCell ref="J111:Q111"/>
    <mergeCell ref="S111:Z111"/>
    <mergeCell ref="AB111:AI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B117:D117"/>
    <mergeCell ref="E117:G117"/>
    <mergeCell ref="K117:M117"/>
    <mergeCell ref="N117:P117"/>
    <mergeCell ref="T117:V117"/>
    <mergeCell ref="W117:Y117"/>
    <mergeCell ref="AC117:AE117"/>
    <mergeCell ref="AF117:AH117"/>
    <mergeCell ref="B120:D120"/>
    <mergeCell ref="E120:G120"/>
    <mergeCell ref="K120:M120"/>
    <mergeCell ref="N120:P120"/>
    <mergeCell ref="T120:V120"/>
    <mergeCell ref="W120:Y120"/>
    <mergeCell ref="AC120:AE120"/>
    <mergeCell ref="AF120:AH120"/>
    <mergeCell ref="B123:D123"/>
    <mergeCell ref="E123:G123"/>
    <mergeCell ref="K123:M123"/>
    <mergeCell ref="N123:P123"/>
    <mergeCell ref="T123:V123"/>
    <mergeCell ref="W123:Y123"/>
    <mergeCell ref="AC123:AE123"/>
    <mergeCell ref="AF123:AH123"/>
    <mergeCell ref="A126:H126"/>
    <mergeCell ref="J126:Q126"/>
    <mergeCell ref="S126:Z126"/>
    <mergeCell ref="AB126:AI126"/>
    <mergeCell ref="B128:C128"/>
    <mergeCell ref="D128:E128"/>
    <mergeCell ref="F128:G128"/>
    <mergeCell ref="K128:L128"/>
    <mergeCell ref="M128:N128"/>
    <mergeCell ref="O128:P128"/>
    <mergeCell ref="T128:U128"/>
    <mergeCell ref="V128:W128"/>
    <mergeCell ref="X128:Y128"/>
    <mergeCell ref="AC128:AD128"/>
    <mergeCell ref="AE128:AF128"/>
    <mergeCell ref="AG128:AH128"/>
    <mergeCell ref="B139:C139"/>
    <mergeCell ref="D139:E139"/>
    <mergeCell ref="F139:G139"/>
    <mergeCell ref="K139:L139"/>
    <mergeCell ref="M139:N139"/>
    <mergeCell ref="O139:P139"/>
    <mergeCell ref="T139:U139"/>
    <mergeCell ref="V139:W139"/>
    <mergeCell ref="X139:Y139"/>
    <mergeCell ref="AC139:AD139"/>
    <mergeCell ref="AE139:AF139"/>
    <mergeCell ref="AG139:AH139"/>
    <mergeCell ref="B140:C140"/>
    <mergeCell ref="D140:E140"/>
    <mergeCell ref="F140:G140"/>
    <mergeCell ref="K140:L140"/>
    <mergeCell ref="M140:N140"/>
    <mergeCell ref="O140:P140"/>
    <mergeCell ref="T140:U140"/>
    <mergeCell ref="V140:W140"/>
    <mergeCell ref="X140:Y140"/>
    <mergeCell ref="AC140:AD140"/>
    <mergeCell ref="AE140:AF140"/>
    <mergeCell ref="AG140:AH140"/>
    <mergeCell ref="B141:C141"/>
    <mergeCell ref="D141:E141"/>
    <mergeCell ref="F141:G141"/>
    <mergeCell ref="K141:L141"/>
    <mergeCell ref="M141:N141"/>
    <mergeCell ref="O141:P141"/>
    <mergeCell ref="T141:U141"/>
    <mergeCell ref="V141:W141"/>
    <mergeCell ref="X141:Y141"/>
    <mergeCell ref="AC141:AD141"/>
    <mergeCell ref="AE141:AF141"/>
    <mergeCell ref="AG141:AH141"/>
    <mergeCell ref="B142:C142"/>
    <mergeCell ref="D142:E142"/>
    <mergeCell ref="F142:G142"/>
    <mergeCell ref="K142:L142"/>
    <mergeCell ref="M142:N142"/>
    <mergeCell ref="O142:P142"/>
    <mergeCell ref="T142:U142"/>
    <mergeCell ref="V142:W142"/>
    <mergeCell ref="X142:Y142"/>
    <mergeCell ref="AC142:AD142"/>
    <mergeCell ref="AE142:AF142"/>
    <mergeCell ref="AG142:AH142"/>
    <mergeCell ref="A144:F144"/>
    <mergeCell ref="J144:O144"/>
    <mergeCell ref="S144:X144"/>
    <mergeCell ref="AB144:AG144"/>
    <mergeCell ref="A145:F145"/>
    <mergeCell ref="J145:O145"/>
    <mergeCell ref="S145:X145"/>
    <mergeCell ref="AB145:AG145"/>
    <mergeCell ref="A146:F146"/>
    <mergeCell ref="J146:O146"/>
    <mergeCell ref="S146:X146"/>
    <mergeCell ref="AB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49:F149"/>
    <mergeCell ref="J149:O149"/>
    <mergeCell ref="S149:X149"/>
    <mergeCell ref="AB149:AG149"/>
    <mergeCell ref="A150:F150"/>
    <mergeCell ref="J150:O150"/>
    <mergeCell ref="S150:X150"/>
    <mergeCell ref="AB150:AG150"/>
    <mergeCell ref="A151:F151"/>
    <mergeCell ref="J151:O151"/>
    <mergeCell ref="S151:X151"/>
    <mergeCell ref="AB151:AG151"/>
    <mergeCell ref="A152:F152"/>
    <mergeCell ref="J152:O152"/>
    <mergeCell ref="S152:X152"/>
    <mergeCell ref="AB152:AG152"/>
    <mergeCell ref="B153:F153"/>
    <mergeCell ref="K153:O153"/>
    <mergeCell ref="T153:X153"/>
    <mergeCell ref="AC153:AG153"/>
    <mergeCell ref="B154:F154"/>
    <mergeCell ref="K154:O154"/>
    <mergeCell ref="T154:X154"/>
    <mergeCell ref="AC154:AG154"/>
    <mergeCell ref="B155:F155"/>
    <mergeCell ref="K155:O155"/>
    <mergeCell ref="T155:X155"/>
    <mergeCell ref="AC155:AG155"/>
    <mergeCell ref="A156:F156"/>
    <mergeCell ref="J156:O156"/>
    <mergeCell ref="S156:X156"/>
    <mergeCell ref="AB156:AG156"/>
    <mergeCell ref="A157:F157"/>
    <mergeCell ref="J157:O157"/>
    <mergeCell ref="S157:X157"/>
    <mergeCell ref="AB157:AG157"/>
    <mergeCell ref="A159:H159"/>
    <mergeCell ref="J159:Q159"/>
    <mergeCell ref="S159:Z159"/>
    <mergeCell ref="AB159:AI159"/>
    <mergeCell ref="E161:F161"/>
    <mergeCell ref="G161:H161"/>
    <mergeCell ref="N161:O161"/>
    <mergeCell ref="P161:Q161"/>
    <mergeCell ref="W161:X161"/>
    <mergeCell ref="Y161:Z161"/>
    <mergeCell ref="AF161:AG161"/>
    <mergeCell ref="AH161:AI161"/>
    <mergeCell ref="E162:F162"/>
    <mergeCell ref="G162:H162"/>
    <mergeCell ref="N162:O162"/>
    <mergeCell ref="P162:Q162"/>
    <mergeCell ref="W162:X162"/>
    <mergeCell ref="Y162:Z162"/>
    <mergeCell ref="AF162:AG162"/>
    <mergeCell ref="AH162:AI162"/>
    <mergeCell ref="E163:F163"/>
    <mergeCell ref="G163:H163"/>
    <mergeCell ref="N163:O163"/>
    <mergeCell ref="P163:Q163"/>
    <mergeCell ref="W163:X163"/>
    <mergeCell ref="Y163:Z163"/>
    <mergeCell ref="AF163:AG163"/>
    <mergeCell ref="AH163:AI163"/>
    <mergeCell ref="E164:F164"/>
    <mergeCell ref="N164:O164"/>
    <mergeCell ref="W164:X164"/>
    <mergeCell ref="AF164:AG164"/>
    <mergeCell ref="G166:H166"/>
    <mergeCell ref="P166:Q166"/>
    <mergeCell ref="Y166:Z166"/>
    <mergeCell ref="AH166:AI166"/>
    <mergeCell ref="G167:H167"/>
    <mergeCell ref="P167:Q167"/>
    <mergeCell ref="Y167:Z167"/>
    <mergeCell ref="AH167:AI167"/>
    <mergeCell ref="G168:H168"/>
    <mergeCell ref="P168:Q168"/>
    <mergeCell ref="Y168:Z168"/>
    <mergeCell ref="AH168:AI168"/>
    <mergeCell ref="A171:H171"/>
    <mergeCell ref="J171:Q171"/>
    <mergeCell ref="S171:Z171"/>
    <mergeCell ref="AB171:AI171"/>
    <mergeCell ref="B173:C173"/>
    <mergeCell ref="K173:L173"/>
    <mergeCell ref="T173:U173"/>
    <mergeCell ref="AC173:AD173"/>
    <mergeCell ref="A204:A205"/>
    <mergeCell ref="B204:D204"/>
    <mergeCell ref="J204:J205"/>
    <mergeCell ref="K204:M204"/>
    <mergeCell ref="S204:S205"/>
    <mergeCell ref="T204:V204"/>
    <mergeCell ref="AB204:AB205"/>
    <mergeCell ref="AC204:AE204"/>
    <mergeCell ref="B205:D205"/>
    <mergeCell ref="K205:M205"/>
    <mergeCell ref="T205:V205"/>
    <mergeCell ref="AC205:AE205"/>
    <mergeCell ref="B206:D206"/>
    <mergeCell ref="K206:M206"/>
    <mergeCell ref="T206:V206"/>
    <mergeCell ref="AC206:AE206"/>
    <mergeCell ref="A215:H215"/>
    <mergeCell ref="A247:H247"/>
    <mergeCell ref="A260:H260"/>
    <mergeCell ref="D262:E262"/>
    <mergeCell ref="D263:E263"/>
    <mergeCell ref="D264:E264"/>
    <mergeCell ref="D268:E268"/>
    <mergeCell ref="D269:E269"/>
    <mergeCell ref="D270:E270"/>
    <mergeCell ref="D271:E271"/>
    <mergeCell ref="A274:H274"/>
    <mergeCell ref="D275:E275"/>
    <mergeCell ref="D276:E276"/>
    <mergeCell ref="D277:E277"/>
    <mergeCell ref="D278:E278"/>
  </mergeCells>
  <dataValidations count="5">
    <dataValidation allowBlank="true" errorStyle="stop" operator="between" showDropDown="false" showErrorMessage="true" showInputMessage="true" sqref="B114 K114 T114 AC114" type="list">
      <formula1>$Y$136:$Y$145</formula1>
      <formula2>0</formula2>
    </dataValidation>
    <dataValidation allowBlank="true" errorStyle="stop" operator="between" showDropDown="false" showErrorMessage="true" showInputMessage="true" sqref="E114 N114 W114 AF114 A120 J120 S120 AB120" type="list">
      <formula1>$Z$19:$Z$20</formula1>
      <formula2>0</formula2>
    </dataValidation>
    <dataValidation allowBlank="true" errorStyle="stop" operator="between" showDropDown="false" showErrorMessage="true" showInputMessage="true" sqref="B117:D117 K117:M117 T117:V117 AC117:AE117" type="list">
      <formula1>$AP$117:$AP$118</formula1>
      <formula2>0</formula2>
    </dataValidation>
    <dataValidation allowBlank="true" errorStyle="stop" operator="between" showDropDown="false" showErrorMessage="true" showInputMessage="true" sqref="A153:A155" type="list">
      <formula1>#ref!</formula1>
      <formula2>0</formula2>
    </dataValidation>
    <dataValidation allowBlank="true" errorStyle="stop" operator="between" showDropDown="false" showErrorMessage="true" showInputMessage="true" sqref="J153:J155 S153:S155 AB153:AB155" type="list">
      <formula1>$AB$16:$AB$18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81"/>
  <sheetViews>
    <sheetView showFormulas="false" showGridLines="true" showRowColHeaders="true" showZeros="true" rightToLeft="false" tabSelected="false" showOutlineSymbols="true" defaultGridColor="true" view="normal" topLeftCell="A231" colorId="64" zoomScale="100" zoomScaleNormal="100" zoomScalePageLayoutView="100" workbookViewId="0">
      <selection pane="topLeft" activeCell="B253" activeCellId="0" sqref="B253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2" customWidth="true" hidden="false" style="6" width="18.88" collapsed="false" outlineLevel="0"/>
    <col min="13" max="13" customWidth="true" hidden="false" style="6" width="24.25" collapsed="false" outlineLevel="0"/>
    <col min="14" max="14" customWidth="true" hidden="false" style="6" width="16.75" collapsed="false" outlineLevel="0"/>
    <col min="15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16850.004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 t="s">
        <v>10</v>
      </c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22.05" hidden="false" customHeight="false" outlineLevel="0" collapsed="false">
      <c r="A26" s="32" t="s">
        <v>35</v>
      </c>
      <c r="B26" s="32"/>
      <c r="C26" s="32"/>
      <c r="D26" s="32"/>
      <c r="E26" s="32"/>
      <c r="F26" s="32"/>
      <c r="G26" s="32"/>
      <c r="H26" s="32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18.75" hidden="false" customHeight="false" outlineLevel="0" collapsed="false">
      <c r="A28" s="40" t="s">
        <v>36</v>
      </c>
      <c r="B28" s="36" t="s">
        <v>39</v>
      </c>
      <c r="C28" s="36"/>
      <c r="D28" s="36"/>
      <c r="E28" s="36"/>
      <c r="F28" s="36"/>
      <c r="G28" s="36"/>
      <c r="H28" s="37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/>
      <c r="I29" s="36"/>
      <c r="J29" s="33" t="s">
        <v>41</v>
      </c>
      <c r="K29" s="41" t="str">
        <f aca="false">A34</f>
        <v>12</v>
      </c>
    </row>
    <row r="30" customFormat="false" ht="18.75" hidden="false" customHeight="false" outlineLevel="0" collapsed="false">
      <c r="A30" s="40" t="s">
        <v>42</v>
      </c>
      <c r="B30" s="36"/>
      <c r="C30" s="42" t="s">
        <v>43</v>
      </c>
      <c r="D30" s="43"/>
      <c r="E30" s="36"/>
      <c r="F30" s="42" t="s">
        <v>44</v>
      </c>
      <c r="G30" s="43"/>
      <c r="H30" s="37"/>
      <c r="I30" s="36"/>
      <c r="J30" s="33" t="s">
        <v>45</v>
      </c>
      <c r="K30" s="41" t="str">
        <f aca="false">C34</f>
        <v>5000</v>
      </c>
    </row>
    <row r="31" customFormat="false" ht="18.75" hidden="false" customHeight="false" outlineLevel="0" collapsed="false">
      <c r="A31" s="44" t="s">
        <v>46</v>
      </c>
      <c r="B31" s="36"/>
      <c r="C31" s="45" t="s">
        <v>47</v>
      </c>
      <c r="D31" s="45"/>
      <c r="E31" s="36"/>
      <c r="F31" s="45"/>
      <c r="G31" s="45"/>
      <c r="H31" s="37"/>
      <c r="I31" s="36"/>
      <c r="J31" s="33" t="s">
        <v>48</v>
      </c>
      <c r="K31" s="46" t="n">
        <f aca="false">A43</f>
        <v>6000</v>
      </c>
    </row>
    <row r="32" customFormat="false" ht="34.3" hidden="false" customHeight="false" outlineLevel="0" collapsed="false">
      <c r="A32" s="40"/>
      <c r="B32" s="47"/>
      <c r="C32" s="47"/>
      <c r="D32" s="47"/>
      <c r="E32" s="47"/>
      <c r="F32" s="47"/>
      <c r="G32" s="47"/>
      <c r="H32" s="37"/>
      <c r="I32" s="7"/>
      <c r="J32" s="33" t="s">
        <v>49</v>
      </c>
      <c r="K32" s="46" t="n">
        <f aca="false">A46</f>
        <v>0</v>
      </c>
      <c r="M32" s="48" t="s">
        <v>50</v>
      </c>
      <c r="N32" s="49" t="s">
        <v>51</v>
      </c>
    </row>
    <row r="33" customFormat="false" ht="18.75" hidden="false" customHeight="false" outlineLevel="0" collapsed="false">
      <c r="A33" s="40" t="s">
        <v>52</v>
      </c>
      <c r="B33" s="36"/>
      <c r="C33" s="50" t="s">
        <v>53</v>
      </c>
      <c r="D33" s="43"/>
      <c r="E33" s="36"/>
      <c r="F33" s="42" t="s">
        <v>54</v>
      </c>
      <c r="G33" s="43"/>
      <c r="H33" s="51"/>
      <c r="I33" s="7"/>
      <c r="J33" s="38"/>
      <c r="K33" s="52"/>
      <c r="M33" s="48"/>
      <c r="N33" s="17"/>
    </row>
    <row r="34" customFormat="false" ht="18.75" hidden="false" customHeight="false" outlineLevel="0" collapsed="false">
      <c r="A34" s="44" t="s">
        <v>55</v>
      </c>
      <c r="B34" s="36"/>
      <c r="C34" s="45" t="s">
        <v>56</v>
      </c>
      <c r="D34" s="45"/>
      <c r="E34" s="36"/>
      <c r="F34" s="45" t="n">
        <f aca="false">(A34/12)*C34</f>
        <v>5000</v>
      </c>
      <c r="G34" s="45"/>
      <c r="H34" s="51"/>
      <c r="I34" s="7"/>
      <c r="J34" s="7"/>
      <c r="K34" s="7"/>
      <c r="M34" s="48" t="s">
        <v>57</v>
      </c>
      <c r="N34" s="53" t="s">
        <v>58</v>
      </c>
    </row>
    <row r="35" customFormat="false" ht="21.6" hidden="false" customHeight="false" outlineLevel="0" collapsed="false">
      <c r="A35" s="35"/>
      <c r="B35" s="36"/>
      <c r="C35" s="36"/>
      <c r="E35" s="36"/>
      <c r="F35" s="47"/>
      <c r="G35" s="47"/>
      <c r="H35" s="51"/>
      <c r="I35" s="7"/>
      <c r="J35" s="54" t="s">
        <v>59</v>
      </c>
      <c r="K35" s="55" t="n">
        <v>0.065</v>
      </c>
      <c r="M35" s="48"/>
      <c r="N35" s="17" t="n">
        <v>0.065</v>
      </c>
    </row>
    <row r="36" customFormat="false" ht="18.75" hidden="false" customHeight="false" outlineLevel="0" collapsed="false">
      <c r="A36" s="40" t="s">
        <v>60</v>
      </c>
      <c r="B36" s="36"/>
      <c r="C36" s="42" t="s">
        <v>61</v>
      </c>
      <c r="D36" s="43"/>
      <c r="E36" s="36"/>
      <c r="F36" s="42" t="s">
        <v>62</v>
      </c>
      <c r="G36" s="43"/>
      <c r="H36" s="51"/>
      <c r="I36" s="7"/>
      <c r="J36" s="7" t="s">
        <v>63</v>
      </c>
      <c r="K36" s="7" t="n">
        <f aca="false">C40</f>
        <v>11</v>
      </c>
      <c r="M36" s="48" t="s">
        <v>64</v>
      </c>
      <c r="N36" s="56" t="n">
        <f aca="false">N32-N34</f>
        <v>22125</v>
      </c>
    </row>
    <row r="37" customFormat="false" ht="18.75" hidden="false" customHeight="false" outlineLevel="0" collapsed="false">
      <c r="A37" s="40" t="n">
        <f aca="false">E19</f>
        <v>16850.004</v>
      </c>
      <c r="B37" s="36"/>
      <c r="C37" s="45" t="s">
        <v>58</v>
      </c>
      <c r="D37" s="45"/>
      <c r="E37" s="36"/>
      <c r="F37" s="47" t="n">
        <f aca="false">A37-C37</f>
        <v>15850.004</v>
      </c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40"/>
      <c r="B38" s="47"/>
      <c r="C38" s="47"/>
      <c r="D38" s="47"/>
      <c r="E38" s="47"/>
      <c r="F38" s="47"/>
      <c r="G38" s="47"/>
      <c r="H38" s="51"/>
      <c r="J38" s="57" t="s">
        <v>65</v>
      </c>
      <c r="K38" s="57"/>
      <c r="L38" s="7"/>
    </row>
    <row r="39" customFormat="false" ht="18.75" hidden="false" customHeight="false" outlineLevel="0" collapsed="false">
      <c r="A39" s="40" t="s">
        <v>66</v>
      </c>
      <c r="B39" s="36"/>
      <c r="C39" s="43" t="s">
        <v>67</v>
      </c>
      <c r="D39" s="42"/>
      <c r="E39" s="36"/>
      <c r="F39" s="42" t="s">
        <v>68</v>
      </c>
      <c r="G39" s="43"/>
      <c r="H39" s="51"/>
      <c r="J39" s="7" t="s">
        <v>69</v>
      </c>
      <c r="K39" s="7" t="str">
        <f aca="false">F40</f>
        <v>500</v>
      </c>
      <c r="L39" s="7"/>
    </row>
    <row r="40" customFormat="false" ht="18.75" hidden="false" customHeight="false" outlineLevel="0" collapsed="false">
      <c r="A40" s="44" t="s">
        <v>55</v>
      </c>
      <c r="B40" s="36"/>
      <c r="C40" s="58" t="n">
        <f aca="false">A34-1</f>
        <v>11</v>
      </c>
      <c r="D40" s="58"/>
      <c r="E40" s="36"/>
      <c r="F40" s="45" t="s">
        <v>70</v>
      </c>
      <c r="G40" s="45"/>
      <c r="H40" s="51"/>
      <c r="J40" s="7" t="s">
        <v>71</v>
      </c>
      <c r="K40" s="7" t="n">
        <f aca="false">C15</f>
        <v>2808.334</v>
      </c>
      <c r="L40" s="7"/>
    </row>
    <row r="41" customFormat="false" ht="18.75" hidden="false" customHeight="false" outlineLevel="0" collapsed="false">
      <c r="A41" s="40"/>
      <c r="B41" s="47"/>
      <c r="C41" s="47"/>
      <c r="D41" s="47"/>
      <c r="E41" s="47"/>
      <c r="F41" s="47"/>
      <c r="G41" s="47"/>
      <c r="H41" s="51"/>
      <c r="J41" s="7" t="s">
        <v>72</v>
      </c>
      <c r="K41" s="7" t="n">
        <f aca="false">IF(F43="Yes",A46,0)</f>
        <v>0</v>
      </c>
      <c r="L41" s="7"/>
    </row>
    <row r="42" customFormat="false" ht="18.75" hidden="false" customHeight="false" outlineLevel="0" collapsed="false">
      <c r="A42" s="40" t="s">
        <v>73</v>
      </c>
      <c r="B42" s="36"/>
      <c r="C42" s="42" t="s">
        <v>74</v>
      </c>
      <c r="D42" s="43"/>
      <c r="E42" s="36"/>
      <c r="F42" s="42" t="s">
        <v>75</v>
      </c>
      <c r="G42" s="43"/>
      <c r="H42" s="51"/>
      <c r="J42" s="7" t="s">
        <v>76</v>
      </c>
      <c r="K42" s="7" t="n">
        <f aca="false">A43</f>
        <v>6000</v>
      </c>
      <c r="L42" s="7"/>
    </row>
    <row r="43" customFormat="false" ht="18.75" hidden="false" customHeight="false" outlineLevel="0" collapsed="false">
      <c r="A43" s="44" t="n">
        <v>6000</v>
      </c>
      <c r="B43" s="36"/>
      <c r="C43" s="45" t="n">
        <v>20</v>
      </c>
      <c r="D43" s="45"/>
      <c r="E43" s="36"/>
      <c r="F43" s="45" t="s">
        <v>31</v>
      </c>
      <c r="G43" s="45"/>
      <c r="H43" s="51"/>
      <c r="J43" s="7" t="s">
        <v>77</v>
      </c>
      <c r="K43" s="7" t="str">
        <f aca="false">A34</f>
        <v>12</v>
      </c>
      <c r="L43" s="7"/>
    </row>
    <row r="44" customFormat="false" ht="18.75" hidden="false" customHeight="false" outlineLevel="0" collapsed="false">
      <c r="A44" s="40"/>
      <c r="B44" s="47"/>
      <c r="C44" s="47"/>
      <c r="D44" s="47"/>
      <c r="E44" s="47"/>
      <c r="F44" s="47"/>
      <c r="G44" s="47"/>
      <c r="H44" s="51"/>
      <c r="J44" s="7" t="s">
        <v>78</v>
      </c>
      <c r="K44" s="7" t="n">
        <f aca="false">((K40-(((K42/(1.2))*0.2)))/(K43))</f>
        <v>150.6945</v>
      </c>
      <c r="L44" s="7"/>
    </row>
    <row r="45" customFormat="false" ht="18.75" hidden="false" customHeight="false" outlineLevel="0" collapsed="false">
      <c r="A45" s="40" t="s">
        <v>79</v>
      </c>
      <c r="B45" s="36"/>
      <c r="C45" s="42" t="s">
        <v>80</v>
      </c>
      <c r="D45" s="43"/>
      <c r="E45" s="36"/>
      <c r="F45" s="42" t="s">
        <v>81</v>
      </c>
      <c r="G45" s="43"/>
      <c r="H45" s="51"/>
      <c r="J45" s="7" t="s">
        <v>82</v>
      </c>
      <c r="K45" s="7" t="n">
        <f aca="false">(K39-K44)+K41</f>
        <v>349.3055</v>
      </c>
      <c r="L45" s="7"/>
    </row>
    <row r="46" customFormat="false" ht="18.75" hidden="false" customHeight="false" outlineLevel="0" collapsed="false">
      <c r="A46" s="44" t="n">
        <v>0</v>
      </c>
      <c r="B46" s="36"/>
      <c r="C46" s="45" t="n">
        <v>1</v>
      </c>
      <c r="D46" s="45"/>
      <c r="E46" s="36"/>
      <c r="F46" s="45" t="n">
        <v>1</v>
      </c>
      <c r="G46" s="45"/>
      <c r="H46" s="51"/>
      <c r="J46" s="7" t="s">
        <v>83</v>
      </c>
      <c r="K46" s="7" t="n">
        <v>0</v>
      </c>
      <c r="L46" s="7"/>
    </row>
    <row r="47" customFormat="false" ht="18.75" hidden="false" customHeight="false" outlineLevel="0" collapsed="false">
      <c r="A47" s="40"/>
      <c r="B47" s="47"/>
      <c r="C47" s="47"/>
      <c r="D47" s="47"/>
      <c r="E47" s="47"/>
      <c r="F47" s="47"/>
      <c r="G47" s="47"/>
      <c r="H47" s="51"/>
      <c r="J47" s="7" t="s">
        <v>84</v>
      </c>
      <c r="K47" s="7" t="n">
        <f aca="false">A40/K29</f>
        <v>1</v>
      </c>
      <c r="L47" s="7"/>
    </row>
    <row r="48" customFormat="false" ht="18.75" hidden="false" customHeight="false" outlineLevel="0" collapsed="false">
      <c r="A48" s="40" t="s">
        <v>85</v>
      </c>
      <c r="B48" s="47"/>
      <c r="C48" s="47"/>
      <c r="D48" s="47"/>
      <c r="E48" s="47"/>
      <c r="F48" s="47"/>
      <c r="G48" s="47"/>
      <c r="H48" s="51"/>
      <c r="J48" s="59" t="s">
        <v>86</v>
      </c>
      <c r="K48" s="7" t="n">
        <f aca="false">C43/A34</f>
        <v>1.66666666666667</v>
      </c>
      <c r="L48" s="7"/>
    </row>
    <row r="49" customFormat="false" ht="18.75" hidden="false" customHeight="false" outlineLevel="0" collapsed="false">
      <c r="A49" s="40" t="n">
        <f aca="false">C46+F46</f>
        <v>2</v>
      </c>
      <c r="B49" s="47"/>
      <c r="C49" s="47"/>
      <c r="D49" s="47"/>
      <c r="E49" s="36"/>
      <c r="F49" s="47"/>
      <c r="G49" s="47"/>
      <c r="H49" s="51"/>
      <c r="J49" s="59" t="s">
        <v>87</v>
      </c>
      <c r="K49" s="7" t="n">
        <f aca="false">K45+K48+K47</f>
        <v>351.972166666667</v>
      </c>
      <c r="L49" s="7"/>
    </row>
    <row r="50" customFormat="false" ht="18.75" hidden="false" customHeight="false" outlineLevel="0" collapsed="false">
      <c r="A50" s="60"/>
      <c r="B50" s="61"/>
      <c r="C50" s="61"/>
      <c r="D50" s="61"/>
      <c r="E50" s="61"/>
      <c r="F50" s="61"/>
      <c r="G50" s="62"/>
      <c r="H50" s="63"/>
      <c r="I50" s="7"/>
      <c r="J50" s="59" t="s">
        <v>88</v>
      </c>
      <c r="K50" s="7" t="n">
        <f aca="false">K49-A46</f>
        <v>351.972166666667</v>
      </c>
    </row>
    <row r="51" customFormat="false" ht="19.5" hidden="false" customHeight="true" outlineLevel="0" collapsed="false">
      <c r="A51" s="29"/>
      <c r="B51" s="30"/>
      <c r="C51" s="30"/>
      <c r="D51" s="30"/>
      <c r="E51" s="30"/>
      <c r="F51" s="30"/>
      <c r="G51" s="30"/>
      <c r="H51" s="31"/>
      <c r="I51" s="7"/>
      <c r="J51" s="7"/>
      <c r="K51" s="7"/>
    </row>
    <row r="52" customFormat="false" ht="18.75" hidden="false" customHeight="false" outlineLevel="0" collapsed="false">
      <c r="A52" s="64" t="s">
        <v>89</v>
      </c>
      <c r="B52" s="36"/>
      <c r="C52" s="36" t="s">
        <v>90</v>
      </c>
      <c r="D52" s="36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65" t="n">
        <v>1</v>
      </c>
      <c r="B53" s="36"/>
      <c r="C53" s="66" t="n">
        <v>1</v>
      </c>
      <c r="D53" s="66"/>
      <c r="E53" s="66"/>
      <c r="F53" s="36"/>
      <c r="G53" s="36"/>
      <c r="H53" s="37"/>
      <c r="I53" s="7"/>
      <c r="J53" s="67" t="s">
        <v>91</v>
      </c>
      <c r="K53" s="68" t="s">
        <v>92</v>
      </c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9"/>
      <c r="B55" s="30"/>
      <c r="C55" s="30"/>
      <c r="D55" s="30"/>
      <c r="E55" s="30"/>
      <c r="F55" s="30"/>
      <c r="G55" s="30"/>
      <c r="H55" s="31"/>
      <c r="I55" s="7"/>
      <c r="J55" s="7" t="s">
        <v>93</v>
      </c>
      <c r="K55" s="7" t="n">
        <f aca="false">A46*A34</f>
        <v>0</v>
      </c>
    </row>
    <row r="56" customFormat="false" ht="18.75" hidden="false" customHeight="false" outlineLevel="0" collapsed="false">
      <c r="A56" s="70" t="s">
        <v>94</v>
      </c>
      <c r="B56" s="36"/>
      <c r="C56" s="36"/>
      <c r="D56" s="71"/>
      <c r="E56" s="71"/>
      <c r="F56" s="71"/>
      <c r="G56" s="71"/>
      <c r="H56" s="72"/>
      <c r="I56" s="7"/>
      <c r="J56" s="7"/>
      <c r="K56" s="7"/>
    </row>
    <row r="57" customFormat="false" ht="19.5" hidden="false" customHeight="true" outlineLevel="0" collapsed="false">
      <c r="A57" s="35"/>
      <c r="B57" s="73"/>
      <c r="C57" s="73"/>
      <c r="D57" s="36"/>
      <c r="E57" s="36"/>
      <c r="F57" s="36"/>
      <c r="G57" s="36"/>
      <c r="H57" s="37"/>
      <c r="I57" s="7"/>
      <c r="J57" s="7"/>
      <c r="K57" s="7"/>
    </row>
    <row r="58" customFormat="false" ht="19.7" hidden="false" customHeight="false" outlineLevel="0" collapsed="false">
      <c r="A58" s="74" t="s">
        <v>95</v>
      </c>
      <c r="B58" s="75" t="s">
        <v>96</v>
      </c>
      <c r="C58" s="75"/>
      <c r="D58" s="75"/>
      <c r="E58" s="36"/>
      <c r="F58" s="36"/>
      <c r="G58" s="36"/>
      <c r="H58" s="37"/>
      <c r="I58" s="7"/>
      <c r="J58" s="7"/>
      <c r="K58" s="7"/>
    </row>
    <row r="59" customFormat="false" ht="18.75" hidden="false" customHeight="false" outlineLevel="0" collapsed="false">
      <c r="A59" s="74"/>
      <c r="B59" s="76" t="str">
        <f aca="false">K30</f>
        <v>5000</v>
      </c>
      <c r="C59" s="76"/>
      <c r="D59" s="76"/>
      <c r="E59" s="36"/>
      <c r="F59" s="36"/>
      <c r="G59" s="36"/>
      <c r="H59" s="37"/>
      <c r="I59" s="7"/>
      <c r="J59" s="7"/>
      <c r="K59" s="7"/>
    </row>
    <row r="60" customFormat="false" ht="18.75" hidden="false" customHeight="false" outlineLevel="0" collapsed="false">
      <c r="A60" s="77" t="str">
        <f aca="false">K29</f>
        <v>12</v>
      </c>
      <c r="B60" s="78" t="n">
        <f aca="false">K49</f>
        <v>351.972166666667</v>
      </c>
      <c r="C60" s="78"/>
      <c r="D60" s="78"/>
      <c r="E60" s="36"/>
      <c r="F60" s="36"/>
      <c r="G60" s="36"/>
      <c r="H60" s="37"/>
      <c r="I60" s="7"/>
      <c r="J60" s="7"/>
      <c r="K60" s="7"/>
    </row>
    <row r="61" customFormat="false" ht="18.75" hidden="false" customHeight="false" outlineLevel="0" collapsed="false">
      <c r="A61" s="35"/>
      <c r="B61" s="36"/>
      <c r="C61" s="36"/>
      <c r="D61" s="36"/>
      <c r="E61" s="36"/>
      <c r="F61" s="36"/>
      <c r="G61" s="36"/>
      <c r="H61" s="37"/>
      <c r="I61" s="7"/>
      <c r="J61" s="7"/>
      <c r="K61" s="7"/>
    </row>
    <row r="62" customFormat="false" ht="18.75" hidden="false" customHeight="false" outlineLevel="0" collapsed="false">
      <c r="A62" s="60"/>
      <c r="B62" s="61" t="s">
        <v>10</v>
      </c>
      <c r="C62" s="61"/>
      <c r="D62" s="61"/>
      <c r="E62" s="61"/>
      <c r="F62" s="61"/>
      <c r="G62" s="61"/>
      <c r="H62" s="69"/>
      <c r="I62" s="7"/>
      <c r="J62" s="7"/>
      <c r="K62" s="7"/>
    </row>
    <row r="63" customFormat="false" ht="18.75" hidden="false" customHeight="false" outlineLevel="0" collapsed="false">
      <c r="A63" s="36"/>
      <c r="B63" s="36" t="s">
        <v>10</v>
      </c>
      <c r="C63" s="36"/>
      <c r="D63" s="36"/>
      <c r="E63" s="36"/>
      <c r="F63" s="36"/>
      <c r="G63" s="36"/>
      <c r="H63" s="36"/>
      <c r="I63" s="7"/>
      <c r="J63" s="7"/>
      <c r="K63" s="7"/>
    </row>
    <row r="64" customFormat="false" ht="18.75" hidden="false" customHeight="false" outlineLevel="0" collapsed="false">
      <c r="A64" s="36"/>
      <c r="B64" s="36" t="s">
        <v>10</v>
      </c>
      <c r="C64" s="36"/>
      <c r="D64" s="36"/>
      <c r="E64" s="36"/>
      <c r="F64" s="36"/>
      <c r="G64" s="36"/>
      <c r="H64" s="36"/>
      <c r="I64" s="7"/>
      <c r="J64" s="7"/>
      <c r="K64" s="7"/>
    </row>
    <row r="65" customFormat="false" ht="18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J65" s="7"/>
      <c r="K65" s="7"/>
    </row>
    <row r="66" customFormat="false" ht="18.75" hidden="false" customHeight="false" outlineLevel="0" collapsed="false">
      <c r="A66" s="29"/>
      <c r="B66" s="30" t="s">
        <v>10</v>
      </c>
      <c r="C66" s="30"/>
      <c r="D66" s="30"/>
      <c r="E66" s="79"/>
      <c r="F66" s="79"/>
      <c r="G66" s="79"/>
      <c r="H66" s="31"/>
      <c r="J66" s="29"/>
      <c r="K66" s="30"/>
      <c r="L66" s="30"/>
      <c r="M66" s="30"/>
      <c r="N66" s="79"/>
      <c r="O66" s="79"/>
      <c r="P66" s="79"/>
      <c r="Q66" s="31"/>
      <c r="S66" s="29"/>
      <c r="T66" s="30"/>
      <c r="U66" s="30"/>
      <c r="V66" s="30"/>
      <c r="W66" s="79"/>
      <c r="X66" s="79"/>
      <c r="Y66" s="79"/>
      <c r="Z66" s="31"/>
      <c r="AB66" s="29"/>
      <c r="AC66" s="30"/>
      <c r="AD66" s="30"/>
      <c r="AE66" s="30"/>
      <c r="AF66" s="79"/>
      <c r="AG66" s="79"/>
      <c r="AH66" s="79"/>
      <c r="AI66" s="31"/>
    </row>
    <row r="67" customFormat="false" ht="18.75" hidden="false" customHeight="false" outlineLevel="0" collapsed="false">
      <c r="A67" s="35" t="s">
        <v>97</v>
      </c>
      <c r="B67" s="36" t="n">
        <v>1</v>
      </c>
      <c r="C67" s="36"/>
      <c r="D67" s="36"/>
      <c r="E67" s="27"/>
      <c r="F67" s="27"/>
      <c r="G67" s="27"/>
      <c r="H67" s="37"/>
      <c r="J67" s="35" t="s">
        <v>97</v>
      </c>
      <c r="K67" s="36" t="n">
        <v>1</v>
      </c>
      <c r="L67" s="36"/>
      <c r="M67" s="36"/>
      <c r="N67" s="27"/>
      <c r="O67" s="27"/>
      <c r="P67" s="27"/>
      <c r="Q67" s="37"/>
      <c r="S67" s="35" t="s">
        <v>97</v>
      </c>
      <c r="T67" s="36" t="n">
        <v>1</v>
      </c>
      <c r="U67" s="36"/>
      <c r="V67" s="36"/>
      <c r="W67" s="27"/>
      <c r="X67" s="27"/>
      <c r="Y67" s="27"/>
      <c r="Z67" s="37"/>
      <c r="AB67" s="35" t="s">
        <v>97</v>
      </c>
      <c r="AC67" s="36" t="n">
        <v>1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35" t="s">
        <v>98</v>
      </c>
      <c r="B68" s="36" t="n">
        <f aca="false">K29-B67</f>
        <v>11</v>
      </c>
      <c r="C68" s="36"/>
      <c r="D68" s="36"/>
      <c r="E68" s="27"/>
      <c r="F68" s="27"/>
      <c r="G68" s="27"/>
      <c r="H68" s="37"/>
      <c r="J68" s="35" t="s">
        <v>98</v>
      </c>
      <c r="K68" s="36" t="n">
        <f aca="false">K29-K67</f>
        <v>11</v>
      </c>
      <c r="L68" s="36"/>
      <c r="M68" s="36"/>
      <c r="N68" s="27"/>
      <c r="O68" s="27"/>
      <c r="P68" s="27"/>
      <c r="Q68" s="37"/>
      <c r="S68" s="35" t="s">
        <v>98</v>
      </c>
      <c r="T68" s="36" t="n">
        <f aca="false">K29-T67</f>
        <v>11</v>
      </c>
      <c r="U68" s="36"/>
      <c r="V68" s="36"/>
      <c r="W68" s="27"/>
      <c r="X68" s="27"/>
      <c r="Y68" s="27"/>
      <c r="Z68" s="37"/>
      <c r="AB68" s="35" t="s">
        <v>98</v>
      </c>
      <c r="AC68" s="36" t="n">
        <f aca="false">K29-AC67</f>
        <v>11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0" t="s">
        <v>99</v>
      </c>
      <c r="B69" s="81" t="n">
        <v>25</v>
      </c>
      <c r="C69" s="36"/>
      <c r="D69" s="36"/>
      <c r="E69" s="27"/>
      <c r="F69" s="27"/>
      <c r="G69" s="27"/>
      <c r="H69" s="37"/>
      <c r="J69" s="80" t="s">
        <v>99</v>
      </c>
      <c r="K69" s="81" t="n">
        <v>20</v>
      </c>
      <c r="L69" s="36"/>
      <c r="M69" s="36"/>
      <c r="N69" s="27"/>
      <c r="O69" s="27"/>
      <c r="P69" s="27"/>
      <c r="Q69" s="37"/>
      <c r="S69" s="80" t="s">
        <v>99</v>
      </c>
      <c r="T69" s="81" t="n">
        <v>10</v>
      </c>
      <c r="U69" s="36"/>
      <c r="V69" s="36"/>
      <c r="W69" s="27"/>
      <c r="X69" s="27"/>
      <c r="Y69" s="27"/>
      <c r="Z69" s="37"/>
      <c r="AB69" s="80" t="s">
        <v>99</v>
      </c>
      <c r="AC69" s="81" t="n">
        <v>10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35" t="s">
        <v>27</v>
      </c>
      <c r="B70" s="36" t="n">
        <f aca="false">J18</f>
        <v>40526</v>
      </c>
      <c r="C70" s="36"/>
      <c r="D70" s="36"/>
      <c r="E70" s="27"/>
      <c r="F70" s="27"/>
      <c r="G70" s="27"/>
      <c r="H70" s="37"/>
      <c r="J70" s="35" t="s">
        <v>27</v>
      </c>
      <c r="K70" s="36" t="n">
        <f aca="false">J18</f>
        <v>40526</v>
      </c>
      <c r="L70" s="36"/>
      <c r="M70" s="36"/>
      <c r="N70" s="27"/>
      <c r="O70" s="27"/>
      <c r="P70" s="27"/>
      <c r="Q70" s="37"/>
      <c r="S70" s="35" t="s">
        <v>27</v>
      </c>
      <c r="T70" s="36" t="n">
        <f aca="false">J18</f>
        <v>40526</v>
      </c>
      <c r="U70" s="36"/>
      <c r="V70" s="36"/>
      <c r="W70" s="27"/>
      <c r="X70" s="27"/>
      <c r="Y70" s="27"/>
      <c r="Z70" s="37"/>
      <c r="AB70" s="35" t="s">
        <v>27</v>
      </c>
      <c r="AC70" s="36" t="n">
        <f aca="false">J18</f>
        <v>40526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82" t="s">
        <v>100</v>
      </c>
      <c r="B71" s="83" t="n">
        <v>0.0105</v>
      </c>
      <c r="C71" s="36"/>
      <c r="D71" s="36"/>
      <c r="E71" s="27"/>
      <c r="F71" s="27"/>
      <c r="G71" s="27"/>
      <c r="H71" s="37"/>
      <c r="J71" s="82" t="s">
        <v>100</v>
      </c>
      <c r="K71" s="83" t="n">
        <v>0.06</v>
      </c>
      <c r="L71" s="36"/>
      <c r="M71" s="36"/>
      <c r="N71" s="27"/>
      <c r="O71" s="27"/>
      <c r="P71" s="27"/>
      <c r="Q71" s="37"/>
      <c r="S71" s="82" t="s">
        <v>100</v>
      </c>
      <c r="T71" s="83" t="n">
        <f aca="false">IF(AND(K29&gt;=12,K29&lt;=24),0.0105,IF(AND(K29&gt;=48),-0.0075,0))</f>
        <v>-0.0075</v>
      </c>
      <c r="U71" s="36"/>
      <c r="V71" s="36"/>
      <c r="W71" s="27"/>
      <c r="X71" s="27"/>
      <c r="Y71" s="27"/>
      <c r="Z71" s="37"/>
      <c r="AB71" s="82" t="s">
        <v>100</v>
      </c>
      <c r="AC71" s="83" t="n">
        <f aca="false">IF(AND(K29&gt;=12,K29&lt;=24),0.0105,IF(AND(K29&gt;=48),-0.0075,0))</f>
        <v>-0.0075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4" t="s">
        <v>101</v>
      </c>
      <c r="B72" s="85" t="n">
        <v>0.065</v>
      </c>
      <c r="C72" s="36"/>
      <c r="D72" s="36"/>
      <c r="E72" s="27"/>
      <c r="F72" s="27"/>
      <c r="G72" s="27"/>
      <c r="H72" s="37"/>
      <c r="J72" s="84" t="s">
        <v>101</v>
      </c>
      <c r="K72" s="85" t="n">
        <v>0.08</v>
      </c>
      <c r="L72" s="36"/>
      <c r="M72" s="36"/>
      <c r="N72" s="27"/>
      <c r="O72" s="27"/>
      <c r="P72" s="27"/>
      <c r="Q72" s="37"/>
      <c r="S72" s="84" t="s">
        <v>101</v>
      </c>
      <c r="T72" s="85" t="n">
        <v>0.059</v>
      </c>
      <c r="U72" s="36"/>
      <c r="V72" s="36"/>
      <c r="W72" s="27"/>
      <c r="X72" s="27"/>
      <c r="Y72" s="27"/>
      <c r="Z72" s="37"/>
      <c r="AB72" s="84" t="s">
        <v>101</v>
      </c>
      <c r="AC72" s="85" t="n">
        <v>0.059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6" t="s">
        <v>102</v>
      </c>
      <c r="B73" s="87" t="n">
        <v>0.05</v>
      </c>
      <c r="C73" s="36"/>
      <c r="D73" s="36"/>
      <c r="E73" s="27"/>
      <c r="F73" s="27"/>
      <c r="G73" s="27"/>
      <c r="H73" s="37"/>
      <c r="J73" s="86" t="s">
        <v>102</v>
      </c>
      <c r="K73" s="87" t="n">
        <v>0.1</v>
      </c>
      <c r="L73" s="36"/>
      <c r="M73" s="36"/>
      <c r="N73" s="27"/>
      <c r="O73" s="27"/>
      <c r="P73" s="27"/>
      <c r="Q73" s="37"/>
      <c r="S73" s="86" t="s">
        <v>102</v>
      </c>
      <c r="T73" s="87" t="n">
        <f aca="false">IF(T117=AP117,2.4%,7.2%)</f>
        <v>0.072</v>
      </c>
      <c r="U73" s="36"/>
      <c r="V73" s="36"/>
      <c r="W73" s="27"/>
      <c r="X73" s="27"/>
      <c r="Y73" s="27"/>
      <c r="Z73" s="37"/>
      <c r="AB73" s="86" t="s">
        <v>102</v>
      </c>
      <c r="AC73" s="87" t="n">
        <f aca="false">IF(AC117=AP117,2.4%,7.2%)</f>
        <v>0.072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103</v>
      </c>
      <c r="B74" s="69" t="n">
        <f aca="false">(B98*B68)-(K47*K29)</f>
        <v>10089.2065378695</v>
      </c>
      <c r="C74" s="36"/>
      <c r="D74" s="36"/>
      <c r="E74" s="27"/>
      <c r="F74" s="27"/>
      <c r="G74" s="27"/>
      <c r="H74" s="37"/>
      <c r="J74" s="60" t="s">
        <v>103</v>
      </c>
      <c r="K74" s="69" t="e">
        <f aca="false">(K98*K68)-(K47*K29)</f>
        <v>#VALUE!</v>
      </c>
      <c r="L74" s="36"/>
      <c r="M74" s="36"/>
      <c r="N74" s="27"/>
      <c r="O74" s="27"/>
      <c r="P74" s="27"/>
      <c r="Q74" s="37"/>
      <c r="S74" s="60" t="s">
        <v>103</v>
      </c>
      <c r="T74" s="69" t="e">
        <f aca="false">(T98*T68)-(K47*K29)</f>
        <v>#VALUE!</v>
      </c>
      <c r="U74" s="36"/>
      <c r="V74" s="36"/>
      <c r="W74" s="27"/>
      <c r="X74" s="27"/>
      <c r="Y74" s="27"/>
      <c r="Z74" s="37"/>
      <c r="AB74" s="60" t="s">
        <v>103</v>
      </c>
      <c r="AC74" s="69" t="e">
        <f aca="false">(AC98*AC68)-(K47*K29)</f>
        <v>#VALUE!</v>
      </c>
      <c r="AD74" s="36"/>
      <c r="AE74" s="36"/>
      <c r="AF74" s="27"/>
      <c r="AG74" s="27"/>
      <c r="AH74" s="27"/>
      <c r="AI74" s="37"/>
    </row>
    <row r="75" customFormat="false" ht="18.75" hidden="false" customHeight="false" outlineLevel="0" collapsed="false">
      <c r="A75" s="82" t="s">
        <v>104</v>
      </c>
      <c r="B75" s="83" t="n">
        <v>0.0075</v>
      </c>
      <c r="C75" s="36"/>
      <c r="D75" s="36"/>
      <c r="E75" s="27"/>
      <c r="F75" s="27"/>
      <c r="G75" s="27"/>
      <c r="H75" s="37"/>
      <c r="J75" s="82" t="s">
        <v>104</v>
      </c>
      <c r="K75" s="83" t="n">
        <v>0.05</v>
      </c>
      <c r="L75" s="36"/>
      <c r="M75" s="36"/>
      <c r="N75" s="27"/>
      <c r="O75" s="27"/>
      <c r="P75" s="27"/>
      <c r="Q75" s="37"/>
      <c r="S75" s="82" t="s">
        <v>104</v>
      </c>
      <c r="T75" s="83" t="n">
        <v>0.005</v>
      </c>
      <c r="U75" s="36"/>
      <c r="V75" s="36"/>
      <c r="W75" s="27"/>
      <c r="X75" s="27"/>
      <c r="Y75" s="27"/>
      <c r="Z75" s="37"/>
      <c r="AB75" s="82" t="s">
        <v>104</v>
      </c>
      <c r="AC75" s="83" t="n">
        <v>0.005</v>
      </c>
      <c r="AD75" s="36"/>
      <c r="AE75" s="36"/>
      <c r="AF75" s="27"/>
      <c r="AG75" s="27"/>
      <c r="AH75" s="27"/>
      <c r="AI75" s="37"/>
    </row>
    <row r="76" customFormat="false" ht="18.75" hidden="false" customHeight="false" outlineLevel="0" collapsed="false">
      <c r="A76" s="35"/>
      <c r="B76" s="88" t="n">
        <f aca="false">B75</f>
        <v>0.005</v>
      </c>
      <c r="C76" s="36"/>
      <c r="D76" s="36"/>
      <c r="E76" s="27"/>
      <c r="F76" s="27"/>
      <c r="G76" s="27"/>
      <c r="H76" s="37"/>
      <c r="J76" s="35" t="s">
        <v>105</v>
      </c>
      <c r="K76" s="88" t="n">
        <f aca="false">K75+(K75*0.25*(K29/12-1))</f>
        <v>0.05</v>
      </c>
      <c r="L76" s="36"/>
      <c r="M76" s="36"/>
      <c r="N76" s="27"/>
      <c r="O76" s="27"/>
      <c r="P76" s="27"/>
      <c r="Q76" s="37"/>
      <c r="S76" s="35" t="s">
        <v>105</v>
      </c>
      <c r="T76" s="88" t="n">
        <f aca="false">T75+(T75*0.5*(K29/12-1))</f>
        <v>0.005</v>
      </c>
      <c r="U76" s="36"/>
      <c r="V76" s="36"/>
      <c r="W76" s="27"/>
      <c r="X76" s="27"/>
      <c r="Y76" s="27"/>
      <c r="Z76" s="37"/>
      <c r="AB76" s="35" t="s">
        <v>105</v>
      </c>
      <c r="AC76" s="88" t="n">
        <f aca="false">AC75+(AC75*0.5*(K29/12-1))</f>
        <v>0.005</v>
      </c>
      <c r="AD76" s="36"/>
      <c r="AE76" s="36"/>
      <c r="AF76" s="27"/>
      <c r="AG76" s="27"/>
      <c r="AH76" s="27"/>
      <c r="AI76" s="37"/>
    </row>
    <row r="77" customFormat="false" ht="18.75" hidden="false" customHeight="false" outlineLevel="0" collapsed="false">
      <c r="A77" s="60" t="s">
        <v>106</v>
      </c>
      <c r="B77" s="69" t="n">
        <f aca="false">(G167*B76)</f>
        <v>102.5</v>
      </c>
      <c r="C77" s="36"/>
      <c r="D77" s="36"/>
      <c r="E77" s="27"/>
      <c r="F77" s="27"/>
      <c r="G77" s="27"/>
      <c r="H77" s="37"/>
      <c r="J77" s="60" t="s">
        <v>106</v>
      </c>
      <c r="K77" s="69" t="n">
        <f aca="false">K70*K76</f>
        <v>2026.3</v>
      </c>
      <c r="L77" s="36"/>
      <c r="M77" s="36"/>
      <c r="N77" s="27"/>
      <c r="O77" s="27"/>
      <c r="P77" s="27"/>
      <c r="Q77" s="37"/>
      <c r="S77" s="60" t="s">
        <v>106</v>
      </c>
      <c r="T77" s="69" t="n">
        <f aca="false">T70*T76</f>
        <v>202.63</v>
      </c>
      <c r="U77" s="36"/>
      <c r="V77" s="36"/>
      <c r="W77" s="27"/>
      <c r="X77" s="27"/>
      <c r="Y77" s="27"/>
      <c r="Z77" s="37"/>
      <c r="AB77" s="60" t="s">
        <v>106</v>
      </c>
      <c r="AC77" s="69" t="e">
        <f aca="false">AH167*AC76</f>
        <v>#VALUE!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82" t="s">
        <v>107</v>
      </c>
      <c r="B78" s="83" t="n">
        <v>0</v>
      </c>
      <c r="C78" s="36"/>
      <c r="D78" s="36"/>
      <c r="E78" s="27"/>
      <c r="F78" s="27"/>
      <c r="G78" s="27"/>
      <c r="H78" s="37"/>
      <c r="J78" s="82" t="s">
        <v>107</v>
      </c>
      <c r="K78" s="83" t="n">
        <v>0</v>
      </c>
      <c r="L78" s="36"/>
      <c r="M78" s="36"/>
      <c r="N78" s="27"/>
      <c r="O78" s="27"/>
      <c r="P78" s="27"/>
      <c r="Q78" s="37"/>
      <c r="S78" s="82" t="s">
        <v>107</v>
      </c>
      <c r="T78" s="83" t="n">
        <v>0</v>
      </c>
      <c r="U78" s="36"/>
      <c r="V78" s="36"/>
      <c r="W78" s="27"/>
      <c r="X78" s="27"/>
      <c r="Y78" s="27"/>
      <c r="Z78" s="37"/>
      <c r="AB78" s="82" t="s">
        <v>107</v>
      </c>
      <c r="AC78" s="83" t="n"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84" t="s">
        <v>108</v>
      </c>
      <c r="B79" s="85" t="n">
        <v>0</v>
      </c>
      <c r="C79" s="36"/>
      <c r="D79" s="36"/>
      <c r="E79" s="27"/>
      <c r="F79" s="27"/>
      <c r="G79" s="27"/>
      <c r="H79" s="37"/>
      <c r="J79" s="84" t="s">
        <v>108</v>
      </c>
      <c r="K79" s="85" t="n">
        <v>0</v>
      </c>
      <c r="L79" s="36"/>
      <c r="M79" s="36"/>
      <c r="N79" s="27"/>
      <c r="O79" s="27"/>
      <c r="P79" s="27"/>
      <c r="Q79" s="37"/>
      <c r="S79" s="84" t="s">
        <v>108</v>
      </c>
      <c r="T79" s="85" t="n">
        <v>0</v>
      </c>
      <c r="U79" s="36"/>
      <c r="V79" s="36"/>
      <c r="W79" s="27"/>
      <c r="X79" s="27"/>
      <c r="Y79" s="27"/>
      <c r="Z79" s="37"/>
      <c r="AB79" s="84" t="s">
        <v>108</v>
      </c>
      <c r="AC79" s="85" t="n">
        <v>0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60" t="s">
        <v>109</v>
      </c>
      <c r="B80" s="89" t="n">
        <f aca="false">B78*(1+B79)</f>
        <v>0</v>
      </c>
      <c r="C80" s="36"/>
      <c r="D80" s="36"/>
      <c r="E80" s="27"/>
      <c r="F80" s="27"/>
      <c r="G80" s="27"/>
      <c r="H80" s="37"/>
      <c r="J80" s="60" t="s">
        <v>109</v>
      </c>
      <c r="K80" s="89" t="n">
        <f aca="false">K78*(1+K79)</f>
        <v>0</v>
      </c>
      <c r="L80" s="36"/>
      <c r="M80" s="36"/>
      <c r="N80" s="27"/>
      <c r="O80" s="27"/>
      <c r="P80" s="27"/>
      <c r="Q80" s="37"/>
      <c r="S80" s="60" t="s">
        <v>109</v>
      </c>
      <c r="T80" s="89" t="n">
        <f aca="false">T78*(1+T79)</f>
        <v>0</v>
      </c>
      <c r="U80" s="36"/>
      <c r="V80" s="36"/>
      <c r="W80" s="27"/>
      <c r="X80" s="27"/>
      <c r="Y80" s="27"/>
      <c r="Z80" s="37"/>
      <c r="AB80" s="60" t="s">
        <v>109</v>
      </c>
      <c r="AC80" s="89" t="n">
        <f aca="false">AC78*(1+AC79)</f>
        <v>0</v>
      </c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82" t="s">
        <v>110</v>
      </c>
      <c r="B81" s="90" t="n">
        <v>0</v>
      </c>
      <c r="C81" s="36"/>
      <c r="D81" s="36"/>
      <c r="E81" s="27"/>
      <c r="F81" s="27"/>
      <c r="G81" s="27"/>
      <c r="H81" s="37"/>
      <c r="J81" s="82" t="s">
        <v>110</v>
      </c>
      <c r="K81" s="90" t="n">
        <v>0</v>
      </c>
      <c r="L81" s="36"/>
      <c r="M81" s="36"/>
      <c r="N81" s="27"/>
      <c r="O81" s="27"/>
      <c r="P81" s="27"/>
      <c r="Q81" s="37"/>
      <c r="S81" s="82" t="s">
        <v>110</v>
      </c>
      <c r="T81" s="90" t="n">
        <v>0</v>
      </c>
      <c r="U81" s="36"/>
      <c r="V81" s="36"/>
      <c r="W81" s="27"/>
      <c r="X81" s="27"/>
      <c r="Y81" s="27"/>
      <c r="Z81" s="37"/>
      <c r="AB81" s="82" t="s">
        <v>110</v>
      </c>
      <c r="AC81" s="90" t="n">
        <v>0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84" t="s">
        <v>111</v>
      </c>
      <c r="B82" s="81" t="n">
        <v>0</v>
      </c>
      <c r="C82" s="36"/>
      <c r="D82" s="36"/>
      <c r="E82" s="27"/>
      <c r="F82" s="27"/>
      <c r="G82" s="27"/>
      <c r="H82" s="37"/>
      <c r="J82" s="84" t="s">
        <v>111</v>
      </c>
      <c r="K82" s="81" t="n">
        <v>0</v>
      </c>
      <c r="L82" s="36"/>
      <c r="M82" s="36"/>
      <c r="N82" s="27"/>
      <c r="O82" s="27"/>
      <c r="P82" s="27"/>
      <c r="Q82" s="37"/>
      <c r="S82" s="84" t="s">
        <v>111</v>
      </c>
      <c r="T82" s="81" t="n">
        <v>0</v>
      </c>
      <c r="U82" s="36"/>
      <c r="V82" s="36"/>
      <c r="W82" s="27"/>
      <c r="X82" s="27"/>
      <c r="Y82" s="27"/>
      <c r="Z82" s="37"/>
      <c r="AB82" s="84" t="s">
        <v>111</v>
      </c>
      <c r="AC82" s="81" t="n"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60" t="s">
        <v>112</v>
      </c>
      <c r="B83" s="69" t="n">
        <f aca="false">B82*K29</f>
        <v>0</v>
      </c>
      <c r="C83" s="36"/>
      <c r="D83" s="36" t="n">
        <f aca="false">B83+B81</f>
        <v>0</v>
      </c>
      <c r="E83" s="27"/>
      <c r="F83" s="27"/>
      <c r="G83" s="27"/>
      <c r="H83" s="37"/>
      <c r="J83" s="60" t="s">
        <v>112</v>
      </c>
      <c r="K83" s="69" t="n">
        <f aca="false">K82*K29</f>
        <v>0</v>
      </c>
      <c r="L83" s="36"/>
      <c r="M83" s="36" t="n">
        <f aca="false">K83+K81</f>
        <v>0</v>
      </c>
      <c r="N83" s="27"/>
      <c r="O83" s="27"/>
      <c r="P83" s="27"/>
      <c r="Q83" s="37"/>
      <c r="S83" s="60" t="s">
        <v>112</v>
      </c>
      <c r="T83" s="69" t="n">
        <f aca="false">T82*K29</f>
        <v>0</v>
      </c>
      <c r="U83" s="36"/>
      <c r="V83" s="36" t="n">
        <f aca="false">T83+T81</f>
        <v>0</v>
      </c>
      <c r="W83" s="27"/>
      <c r="X83" s="27"/>
      <c r="Y83" s="27"/>
      <c r="Z83" s="37"/>
      <c r="AB83" s="60" t="s">
        <v>112</v>
      </c>
      <c r="AC83" s="69" t="n">
        <f aca="false">AC82*K29</f>
        <v>0</v>
      </c>
      <c r="AD83" s="36"/>
      <c r="AE83" s="36" t="n">
        <f aca="false">AC83+AC81</f>
        <v>0</v>
      </c>
      <c r="AF83" s="27"/>
      <c r="AG83" s="27"/>
      <c r="AH83" s="27"/>
      <c r="AI83" s="37"/>
    </row>
    <row r="84" customFormat="false" ht="18.75" hidden="false" customHeight="false" outlineLevel="0" collapsed="false">
      <c r="A84" s="84" t="s">
        <v>113</v>
      </c>
      <c r="B84" s="81" t="n">
        <v>0</v>
      </c>
      <c r="C84" s="36"/>
      <c r="D84" s="36" t="n">
        <f aca="false">B84</f>
        <v>0</v>
      </c>
      <c r="E84" s="27"/>
      <c r="F84" s="27"/>
      <c r="G84" s="27"/>
      <c r="H84" s="37"/>
      <c r="J84" s="84" t="s">
        <v>113</v>
      </c>
      <c r="K84" s="81" t="n">
        <v>0</v>
      </c>
      <c r="L84" s="36"/>
      <c r="M84" s="36" t="n">
        <f aca="false">K84</f>
        <v>0</v>
      </c>
      <c r="N84" s="27"/>
      <c r="O84" s="27"/>
      <c r="P84" s="27"/>
      <c r="Q84" s="37"/>
      <c r="S84" s="84" t="s">
        <v>113</v>
      </c>
      <c r="T84" s="81" t="n">
        <v>0</v>
      </c>
      <c r="U84" s="36"/>
      <c r="V84" s="36" t="n">
        <f aca="false">T84</f>
        <v>0</v>
      </c>
      <c r="W84" s="27"/>
      <c r="X84" s="27"/>
      <c r="Y84" s="27"/>
      <c r="Z84" s="37"/>
      <c r="AB84" s="84" t="s">
        <v>113</v>
      </c>
      <c r="AC84" s="81" t="n">
        <v>0</v>
      </c>
      <c r="AD84" s="36"/>
      <c r="AE84" s="36" t="n">
        <f aca="false">AC84</f>
        <v>0</v>
      </c>
      <c r="AF84" s="27"/>
      <c r="AG84" s="27"/>
      <c r="AH84" s="27"/>
      <c r="AI84" s="37"/>
    </row>
    <row r="85" customFormat="false" ht="18.75" hidden="false" customHeight="false" outlineLevel="0" collapsed="false">
      <c r="A85" s="86" t="s">
        <v>114</v>
      </c>
      <c r="B85" s="91" t="n">
        <v>0</v>
      </c>
      <c r="C85" s="36"/>
      <c r="D85" s="36" t="n">
        <f aca="false">B85</f>
        <v>0</v>
      </c>
      <c r="E85" s="27"/>
      <c r="F85" s="36"/>
      <c r="G85" s="27"/>
      <c r="H85" s="37"/>
      <c r="J85" s="86" t="s">
        <v>114</v>
      </c>
      <c r="K85" s="91" t="n">
        <v>0</v>
      </c>
      <c r="L85" s="36"/>
      <c r="M85" s="36" t="n">
        <f aca="false">K85</f>
        <v>0</v>
      </c>
      <c r="N85" s="27"/>
      <c r="O85" s="27"/>
      <c r="P85" s="27"/>
      <c r="Q85" s="37"/>
      <c r="S85" s="86" t="s">
        <v>114</v>
      </c>
      <c r="T85" s="91" t="n">
        <v>0</v>
      </c>
      <c r="U85" s="36"/>
      <c r="V85" s="36" t="n">
        <f aca="false">T85</f>
        <v>0</v>
      </c>
      <c r="W85" s="27"/>
      <c r="X85" s="27"/>
      <c r="Y85" s="27"/>
      <c r="Z85" s="37"/>
      <c r="AB85" s="86" t="s">
        <v>114</v>
      </c>
      <c r="AC85" s="91" t="n">
        <v>0</v>
      </c>
      <c r="AD85" s="36"/>
      <c r="AE85" s="36" t="n">
        <f aca="false">AC85</f>
        <v>0</v>
      </c>
      <c r="AF85" s="27"/>
      <c r="AG85" s="27"/>
      <c r="AH85" s="27"/>
      <c r="AI85" s="37"/>
    </row>
    <row r="86" customFormat="false" ht="18.75" hidden="false" customHeight="false" outlineLevel="0" collapsed="false">
      <c r="A86" s="92" t="s">
        <v>115</v>
      </c>
      <c r="B86" s="93" t="n">
        <f aca="false">SUM(D74:D85)</f>
        <v>0</v>
      </c>
      <c r="C86" s="36"/>
      <c r="D86" s="36"/>
      <c r="E86" s="27"/>
      <c r="F86" s="36"/>
      <c r="G86" s="36"/>
      <c r="H86" s="37"/>
      <c r="J86" s="92" t="s">
        <v>115</v>
      </c>
      <c r="K86" s="93" t="n">
        <f aca="false">SUM(M74:M85)</f>
        <v>0</v>
      </c>
      <c r="L86" s="36"/>
      <c r="M86" s="36"/>
      <c r="N86" s="27"/>
      <c r="O86" s="27"/>
      <c r="P86" s="27"/>
      <c r="Q86" s="37"/>
      <c r="S86" s="92" t="s">
        <v>115</v>
      </c>
      <c r="T86" s="93" t="n">
        <f aca="false">SUM(V74:V85)</f>
        <v>0</v>
      </c>
      <c r="U86" s="36"/>
      <c r="V86" s="36"/>
      <c r="W86" s="27"/>
      <c r="X86" s="27"/>
      <c r="Y86" s="27"/>
      <c r="Z86" s="37"/>
      <c r="AB86" s="92" t="s">
        <v>115</v>
      </c>
      <c r="AC86" s="93" t="n">
        <f aca="false">SUM(AE74:AE85)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116</v>
      </c>
      <c r="B87" s="37" t="n">
        <f aca="false">B86/K29</f>
        <v>0</v>
      </c>
      <c r="C87" s="36"/>
      <c r="D87" s="36"/>
      <c r="E87" s="27"/>
      <c r="F87" s="27"/>
      <c r="G87" s="27"/>
      <c r="H87" s="37"/>
      <c r="J87" s="35" t="s">
        <v>116</v>
      </c>
      <c r="K87" s="37" t="n">
        <f aca="false">K86/K29</f>
        <v>0</v>
      </c>
      <c r="L87" s="36"/>
      <c r="M87" s="36"/>
      <c r="N87" s="27"/>
      <c r="O87" s="27"/>
      <c r="P87" s="27"/>
      <c r="Q87" s="37"/>
      <c r="S87" s="35" t="s">
        <v>116</v>
      </c>
      <c r="T87" s="37" t="n">
        <f aca="false">T86/K29</f>
        <v>0</v>
      </c>
      <c r="U87" s="36"/>
      <c r="V87" s="36"/>
      <c r="W87" s="27"/>
      <c r="X87" s="27"/>
      <c r="Y87" s="27"/>
      <c r="Z87" s="37"/>
      <c r="AB87" s="35" t="s">
        <v>116</v>
      </c>
      <c r="AC87" s="37" t="n">
        <f aca="false">AC86/K29</f>
        <v>0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94" t="s">
        <v>117</v>
      </c>
      <c r="B88" s="63" t="n">
        <f aca="false">K49</f>
        <v>351.972166666667</v>
      </c>
      <c r="C88" s="36"/>
      <c r="D88" s="36"/>
      <c r="E88" s="27"/>
      <c r="F88" s="27"/>
      <c r="G88" s="27"/>
      <c r="H88" s="37"/>
      <c r="J88" s="94" t="s">
        <v>117</v>
      </c>
      <c r="K88" s="63" t="n">
        <f aca="false">K47</f>
        <v>1</v>
      </c>
      <c r="L88" s="36"/>
      <c r="M88" s="36"/>
      <c r="N88" s="27"/>
      <c r="O88" s="27"/>
      <c r="P88" s="27"/>
      <c r="Q88" s="37"/>
      <c r="S88" s="94" t="s">
        <v>117</v>
      </c>
      <c r="T88" s="63" t="n">
        <f aca="false">B60</f>
        <v>351.972166666667</v>
      </c>
      <c r="U88" s="36"/>
      <c r="V88" s="36"/>
      <c r="W88" s="27"/>
      <c r="X88" s="27"/>
      <c r="Y88" s="27"/>
      <c r="Z88" s="37"/>
      <c r="AB88" s="94" t="s">
        <v>117</v>
      </c>
      <c r="AC88" s="63" t="n">
        <f aca="false">B60</f>
        <v>351.972166666667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/>
      <c r="B89" s="36"/>
      <c r="C89" s="36"/>
      <c r="D89" s="36"/>
      <c r="E89" s="27"/>
      <c r="F89" s="27"/>
      <c r="G89" s="27"/>
      <c r="H89" s="37"/>
      <c r="J89" s="35"/>
      <c r="K89" s="36"/>
      <c r="L89" s="36"/>
      <c r="M89" s="36"/>
      <c r="N89" s="27"/>
      <c r="O89" s="27"/>
      <c r="P89" s="27"/>
      <c r="Q89" s="37"/>
      <c r="S89" s="35"/>
      <c r="T89" s="36"/>
      <c r="U89" s="36"/>
      <c r="V89" s="36"/>
      <c r="W89" s="27"/>
      <c r="X89" s="27"/>
      <c r="Y89" s="27"/>
      <c r="Z89" s="37"/>
      <c r="AB89" s="35"/>
      <c r="AC89" s="36"/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29" t="s">
        <v>118</v>
      </c>
      <c r="B90" s="31" t="n">
        <f aca="false">F37</f>
        <v>15850.004</v>
      </c>
      <c r="C90" s="36"/>
      <c r="D90" s="36"/>
      <c r="E90" s="27"/>
      <c r="F90" s="29" t="s">
        <v>118</v>
      </c>
      <c r="G90" s="31" t="n">
        <f aca="false">F37</f>
        <v>15850.004</v>
      </c>
      <c r="H90" s="37"/>
      <c r="J90" s="29" t="s">
        <v>118</v>
      </c>
      <c r="K90" s="31" t="e">
        <f aca="false">P167</f>
        <v>#VALUE!</v>
      </c>
      <c r="L90" s="36"/>
      <c r="M90" s="36"/>
      <c r="N90" s="27"/>
      <c r="O90" s="27"/>
      <c r="P90" s="27"/>
      <c r="Q90" s="37"/>
      <c r="S90" s="29" t="s">
        <v>118</v>
      </c>
      <c r="T90" s="31" t="e">
        <f aca="false">Y167</f>
        <v>#VALUE!</v>
      </c>
      <c r="U90" s="36"/>
      <c r="V90" s="36"/>
      <c r="W90" s="27"/>
      <c r="X90" s="27"/>
      <c r="Y90" s="27"/>
      <c r="Z90" s="37"/>
      <c r="AB90" s="29" t="s">
        <v>118</v>
      </c>
      <c r="AC90" s="31" t="e">
        <f aca="false">AH167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119</v>
      </c>
      <c r="B91" s="37" t="n">
        <f aca="false">IF(A111="YES",A43,0)*1.2</f>
        <v>7200</v>
      </c>
      <c r="C91" s="36"/>
      <c r="D91" s="36"/>
      <c r="E91" s="27"/>
      <c r="F91" s="35" t="s">
        <v>119</v>
      </c>
      <c r="G91" s="37" t="n">
        <f aca="false">IF(A111="YES",A43,0)*1.2</f>
        <v>7200</v>
      </c>
      <c r="H91" s="37"/>
      <c r="J91" s="35" t="s">
        <v>119</v>
      </c>
      <c r="K91" s="37" t="n">
        <f aca="false">IF(J120="YES",A40,0)</f>
        <v>0</v>
      </c>
      <c r="L91" s="36"/>
      <c r="M91" s="36"/>
      <c r="N91" s="27"/>
      <c r="O91" s="27"/>
      <c r="P91" s="27"/>
      <c r="Q91" s="37"/>
      <c r="S91" s="35" t="s">
        <v>119</v>
      </c>
      <c r="T91" s="37" t="str">
        <f aca="false">A40</f>
        <v>12</v>
      </c>
      <c r="U91" s="36"/>
      <c r="V91" s="36"/>
      <c r="W91" s="27"/>
      <c r="X91" s="27"/>
      <c r="Y91" s="27"/>
      <c r="Z91" s="37"/>
      <c r="AB91" s="35" t="s">
        <v>119</v>
      </c>
      <c r="AC91" s="37" t="str">
        <f aca="false">A40</f>
        <v>12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35" t="s">
        <v>120</v>
      </c>
      <c r="B92" s="88" t="n">
        <f aca="false">B71+B72+B73</f>
        <v>0.1255</v>
      </c>
      <c r="C92" s="36"/>
      <c r="D92" s="36"/>
      <c r="E92" s="27"/>
      <c r="F92" s="35" t="s">
        <v>120</v>
      </c>
      <c r="G92" s="95" t="n">
        <f aca="false">B72</f>
        <v>0.065</v>
      </c>
      <c r="H92" s="37"/>
      <c r="J92" s="35" t="s">
        <v>120</v>
      </c>
      <c r="K92" s="88" t="n">
        <f aca="false">K71+K72+K73</f>
        <v>0.24</v>
      </c>
      <c r="L92" s="36"/>
      <c r="M92" s="36"/>
      <c r="N92" s="27"/>
      <c r="O92" s="27"/>
      <c r="P92" s="27"/>
      <c r="Q92" s="37"/>
      <c r="S92" s="35" t="s">
        <v>120</v>
      </c>
      <c r="T92" s="88" t="n">
        <f aca="false">T71+T72+T73</f>
        <v>0.1235</v>
      </c>
      <c r="U92" s="36"/>
      <c r="V92" s="36"/>
      <c r="W92" s="27"/>
      <c r="X92" s="27"/>
      <c r="Y92" s="27"/>
      <c r="Z92" s="37"/>
      <c r="AB92" s="35" t="s">
        <v>120</v>
      </c>
      <c r="AC92" s="88" t="n">
        <f aca="false">AC71+AC72+AC73</f>
        <v>0.1235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 t="s">
        <v>121</v>
      </c>
      <c r="B93" s="88" t="n">
        <f aca="false">B92/12</f>
        <v>0.0104583333333333</v>
      </c>
      <c r="C93" s="36"/>
      <c r="D93" s="36"/>
      <c r="E93" s="27"/>
      <c r="F93" s="35" t="s">
        <v>121</v>
      </c>
      <c r="G93" s="88" t="n">
        <f aca="false">G92/12</f>
        <v>0.00541666666666667</v>
      </c>
      <c r="H93" s="37"/>
      <c r="J93" s="35" t="s">
        <v>121</v>
      </c>
      <c r="K93" s="88" t="n">
        <f aca="false">K92/12</f>
        <v>0.02</v>
      </c>
      <c r="L93" s="36"/>
      <c r="M93" s="36"/>
      <c r="N93" s="27"/>
      <c r="O93" s="27"/>
      <c r="P93" s="27"/>
      <c r="Q93" s="37"/>
      <c r="S93" s="35" t="s">
        <v>121</v>
      </c>
      <c r="T93" s="88" t="n">
        <f aca="false">T92/12</f>
        <v>0.0102916666666667</v>
      </c>
      <c r="U93" s="36"/>
      <c r="V93" s="36"/>
      <c r="W93" s="27"/>
      <c r="X93" s="27"/>
      <c r="Y93" s="27"/>
      <c r="Z93" s="37"/>
      <c r="AB93" s="35" t="s">
        <v>121</v>
      </c>
      <c r="AC93" s="88" t="n">
        <f aca="false">AC92/12</f>
        <v>0.0102916666666667</v>
      </c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35" t="s">
        <v>122</v>
      </c>
      <c r="B94" s="37" t="n">
        <f aca="false">IF(B91=0,(B68+B67),(B68))</f>
        <v>11</v>
      </c>
      <c r="C94" s="36"/>
      <c r="D94" s="36"/>
      <c r="E94" s="27"/>
      <c r="F94" s="35" t="s">
        <v>122</v>
      </c>
      <c r="G94" s="37" t="n">
        <f aca="false">IF(G91=0,(B68+B67),(B68))</f>
        <v>11</v>
      </c>
      <c r="H94" s="37"/>
      <c r="J94" s="35" t="s">
        <v>122</v>
      </c>
      <c r="K94" s="37" t="n">
        <f aca="false">IF(K91=0,(K68+K67),(K68))</f>
        <v>12</v>
      </c>
      <c r="L94" s="36"/>
      <c r="M94" s="36"/>
      <c r="N94" s="27"/>
      <c r="O94" s="27"/>
      <c r="P94" s="27"/>
      <c r="Q94" s="37"/>
      <c r="S94" s="35" t="s">
        <v>122</v>
      </c>
      <c r="T94" s="37" t="n">
        <f aca="false">T68</f>
        <v>11</v>
      </c>
      <c r="U94" s="36"/>
      <c r="V94" s="36"/>
      <c r="W94" s="27"/>
      <c r="X94" s="27"/>
      <c r="Y94" s="27"/>
      <c r="Z94" s="37"/>
      <c r="AB94" s="35" t="s">
        <v>122</v>
      </c>
      <c r="AC94" s="37" t="n">
        <f aca="false">AC68</f>
        <v>11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35" t="s">
        <v>123</v>
      </c>
      <c r="B95" s="37" t="n">
        <f aca="false">(B91/((1+B93)^(B94+1)))</f>
        <v>6354.94179987962</v>
      </c>
      <c r="C95" s="36"/>
      <c r="D95" s="36"/>
      <c r="E95" s="27"/>
      <c r="F95" s="35" t="s">
        <v>123</v>
      </c>
      <c r="G95" s="37" t="n">
        <f aca="false">(G91/((1+G93)^(G94+1)))</f>
        <v>6748.06930144099</v>
      </c>
      <c r="H95" s="37"/>
      <c r="J95" s="35" t="s">
        <v>123</v>
      </c>
      <c r="K95" s="37" t="n">
        <f aca="false">(K91/((1+K93)^(K94+1)))</f>
        <v>0</v>
      </c>
      <c r="L95" s="36"/>
      <c r="M95" s="36"/>
      <c r="N95" s="27"/>
      <c r="O95" s="27"/>
      <c r="P95" s="27"/>
      <c r="Q95" s="37"/>
      <c r="S95" s="35" t="s">
        <v>123</v>
      </c>
      <c r="T95" s="37" t="n">
        <f aca="false">(T91/((1+T93)^(T94+1)))</f>
        <v>10.6125560515631</v>
      </c>
      <c r="U95" s="36"/>
      <c r="V95" s="36"/>
      <c r="W95" s="27"/>
      <c r="X95" s="27"/>
      <c r="Y95" s="27"/>
      <c r="Z95" s="37"/>
      <c r="AB95" s="35" t="s">
        <v>123</v>
      </c>
      <c r="AC95" s="37" t="n">
        <f aca="false">(AC91/((1+AC93)^(AC94+1)))</f>
        <v>10.6125560515631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35" t="s">
        <v>124</v>
      </c>
      <c r="B96" s="37" t="n">
        <f aca="false">((1-(1/((1+B93)^B94)))/B93)</f>
        <v>10.3399216528992</v>
      </c>
      <c r="C96" s="36"/>
      <c r="D96" s="36"/>
      <c r="E96" s="27"/>
      <c r="F96" s="35" t="s">
        <v>124</v>
      </c>
      <c r="G96" s="37" t="n">
        <f aca="false">((1-(1/((1+G93)^G94)))/G93)</f>
        <v>10.6507347822959</v>
      </c>
      <c r="H96" s="37"/>
      <c r="J96" s="35" t="s">
        <v>124</v>
      </c>
      <c r="K96" s="37" t="n">
        <f aca="false">((1-(1/((1+K93)^K94)))/K93)</f>
        <v>10.5753412209172</v>
      </c>
      <c r="L96" s="36"/>
      <c r="M96" s="36"/>
      <c r="N96" s="27"/>
      <c r="O96" s="27"/>
      <c r="P96" s="27"/>
      <c r="Q96" s="37"/>
      <c r="S96" s="35" t="s">
        <v>124</v>
      </c>
      <c r="T96" s="37" t="n">
        <f aca="false">((1-(1/((1+T93)^T94)))/T93)</f>
        <v>10.3499842839909</v>
      </c>
      <c r="U96" s="36"/>
      <c r="V96" s="36"/>
      <c r="W96" s="27"/>
      <c r="X96" s="27"/>
      <c r="Y96" s="27"/>
      <c r="Z96" s="37"/>
      <c r="AB96" s="35" t="s">
        <v>124</v>
      </c>
      <c r="AC96" s="37" t="n">
        <f aca="false">((1-(1/((1+AC93)^AC94)))/AC93)</f>
        <v>10.3499842839909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35" t="s">
        <v>125</v>
      </c>
      <c r="B97" s="37" t="n">
        <f aca="false">B90-B95</f>
        <v>9495.06220012039</v>
      </c>
      <c r="C97" s="36"/>
      <c r="D97" s="36"/>
      <c r="E97" s="27"/>
      <c r="F97" s="35" t="s">
        <v>125</v>
      </c>
      <c r="G97" s="37" t="n">
        <f aca="false">G90-G95</f>
        <v>9101.93469855901</v>
      </c>
      <c r="H97" s="37"/>
      <c r="J97" s="35" t="s">
        <v>125</v>
      </c>
      <c r="K97" s="37" t="e">
        <f aca="false">K90-K95</f>
        <v>#VALUE!</v>
      </c>
      <c r="L97" s="36"/>
      <c r="M97" s="36"/>
      <c r="N97" s="27"/>
      <c r="O97" s="27"/>
      <c r="P97" s="27"/>
      <c r="Q97" s="37"/>
      <c r="S97" s="35" t="s">
        <v>125</v>
      </c>
      <c r="T97" s="37" t="e">
        <f aca="false">T90-T95</f>
        <v>#VALUE!</v>
      </c>
      <c r="U97" s="36"/>
      <c r="V97" s="36"/>
      <c r="W97" s="27"/>
      <c r="X97" s="27"/>
      <c r="Y97" s="27"/>
      <c r="Z97" s="37"/>
      <c r="AB97" s="35" t="s">
        <v>125</v>
      </c>
      <c r="AC97" s="37" t="e">
        <f aca="false">AC90-AC95</f>
        <v>#VALUE!</v>
      </c>
      <c r="AD97" s="36"/>
      <c r="AE97" s="36"/>
      <c r="AF97" s="27"/>
      <c r="AG97" s="27"/>
      <c r="AH97" s="27"/>
      <c r="AI97" s="37"/>
    </row>
    <row r="98" customFormat="false" ht="18.75" hidden="false" customHeight="false" outlineLevel="0" collapsed="false">
      <c r="A98" s="35" t="s">
        <v>126</v>
      </c>
      <c r="B98" s="37" t="n">
        <f aca="false">(B97/B96)</f>
        <v>918.291503442686</v>
      </c>
      <c r="C98" s="36"/>
      <c r="D98" s="36"/>
      <c r="E98" s="27"/>
      <c r="F98" s="35" t="s">
        <v>126</v>
      </c>
      <c r="G98" s="37" t="n">
        <f aca="false">(G97/G96)</f>
        <v>854.582794953137</v>
      </c>
      <c r="H98" s="37"/>
      <c r="J98" s="35" t="s">
        <v>126</v>
      </c>
      <c r="K98" s="37" t="e">
        <f aca="false">(K97/K96)</f>
        <v>#VALUE!</v>
      </c>
      <c r="L98" s="36"/>
      <c r="M98" s="36"/>
      <c r="N98" s="27"/>
      <c r="O98" s="27"/>
      <c r="P98" s="27"/>
      <c r="Q98" s="37"/>
      <c r="S98" s="35" t="s">
        <v>126</v>
      </c>
      <c r="T98" s="37" t="e">
        <f aca="false">(T97/T96)</f>
        <v>#VALUE!</v>
      </c>
      <c r="U98" s="36"/>
      <c r="V98" s="36"/>
      <c r="W98" s="27"/>
      <c r="X98" s="27"/>
      <c r="Y98" s="27"/>
      <c r="Z98" s="37"/>
      <c r="AB98" s="35" t="s">
        <v>126</v>
      </c>
      <c r="AC98" s="37" t="e">
        <f aca="false">(AC97/AC96)</f>
        <v>#VALUE!</v>
      </c>
      <c r="AD98" s="36"/>
      <c r="AE98" s="36"/>
      <c r="AF98" s="27"/>
      <c r="AG98" s="27"/>
      <c r="AH98" s="27"/>
      <c r="AI98" s="37"/>
    </row>
    <row r="99" customFormat="false" ht="18.75" hidden="false" customHeight="false" outlineLevel="0" collapsed="false">
      <c r="A99" s="35" t="s">
        <v>127</v>
      </c>
      <c r="B99" s="37" t="n">
        <f aca="false">((B98*(B94))+B86)</f>
        <v>10101.2065378695</v>
      </c>
      <c r="C99" s="36"/>
      <c r="D99" s="36"/>
      <c r="E99" s="27"/>
      <c r="F99" s="35" t="s">
        <v>127</v>
      </c>
      <c r="G99" s="37" t="n">
        <f aca="false">((G98*(G94))+G86)</f>
        <v>9400.41074448451</v>
      </c>
      <c r="H99" s="37"/>
      <c r="J99" s="35" t="s">
        <v>127</v>
      </c>
      <c r="K99" s="37" t="e">
        <f aca="false">((K98*(K94))+K86)</f>
        <v>#VALUE!</v>
      </c>
      <c r="L99" s="36"/>
      <c r="M99" s="36"/>
      <c r="N99" s="27"/>
      <c r="O99" s="27"/>
      <c r="P99" s="27"/>
      <c r="Q99" s="37"/>
      <c r="S99" s="35" t="s">
        <v>127</v>
      </c>
      <c r="T99" s="37" t="e">
        <f aca="false">(T98*(T94))+T86</f>
        <v>#VALUE!</v>
      </c>
      <c r="U99" s="36"/>
      <c r="V99" s="36"/>
      <c r="W99" s="27"/>
      <c r="X99" s="27"/>
      <c r="Y99" s="27"/>
      <c r="Z99" s="37"/>
      <c r="AB99" s="35" t="s">
        <v>127</v>
      </c>
      <c r="AC99" s="37" t="e">
        <f aca="false">(AC98*(AC68))+AC86</f>
        <v>#VALUE!</v>
      </c>
      <c r="AD99" s="36"/>
      <c r="AE99" s="36"/>
      <c r="AF99" s="27"/>
      <c r="AG99" s="27"/>
      <c r="AH99" s="27"/>
      <c r="AI99" s="37"/>
    </row>
    <row r="100" customFormat="false" ht="18.75" hidden="false" customHeight="false" outlineLevel="0" collapsed="false">
      <c r="A100" s="35" t="s">
        <v>128</v>
      </c>
      <c r="B100" s="37" t="n">
        <f aca="false">(((B98*(B94))+B86)/(1-B80))*B80</f>
        <v>0</v>
      </c>
      <c r="C100" s="36"/>
      <c r="D100" s="36"/>
      <c r="E100" s="27"/>
      <c r="F100" s="35" t="s">
        <v>128</v>
      </c>
      <c r="G100" s="37" t="n">
        <f aca="false">(((G98*(G94))+G86)/(1-G80))*G80</f>
        <v>0</v>
      </c>
      <c r="H100" s="37"/>
      <c r="J100" s="35" t="s">
        <v>128</v>
      </c>
      <c r="K100" s="37" t="e">
        <f aca="false">(K99/(1-K80))*K80</f>
        <v>#VALUE!</v>
      </c>
      <c r="L100" s="36"/>
      <c r="M100" s="36"/>
      <c r="N100" s="27"/>
      <c r="O100" s="27"/>
      <c r="P100" s="27"/>
      <c r="Q100" s="37"/>
      <c r="S100" s="35" t="s">
        <v>128</v>
      </c>
      <c r="T100" s="37" t="e">
        <f aca="false">(T99/(1-T80))*T80</f>
        <v>#VALUE!</v>
      </c>
      <c r="U100" s="36"/>
      <c r="V100" s="36"/>
      <c r="W100" s="27"/>
      <c r="X100" s="27"/>
      <c r="Y100" s="27"/>
      <c r="Z100" s="37"/>
      <c r="AB100" s="35" t="s">
        <v>128</v>
      </c>
      <c r="AC100" s="37" t="e">
        <f aca="false">(AC99/(1-AC80))*AC80</f>
        <v>#VALUE!</v>
      </c>
      <c r="AD100" s="36"/>
      <c r="AE100" s="36"/>
      <c r="AF100" s="27"/>
      <c r="AG100" s="27"/>
      <c r="AH100" s="27"/>
      <c r="AI100" s="37"/>
    </row>
    <row r="101" customFormat="false" ht="18.75" hidden="false" customHeight="false" outlineLevel="0" collapsed="false">
      <c r="A101" s="60" t="s">
        <v>129</v>
      </c>
      <c r="B101" s="69" t="n">
        <f aca="false">(B99+B100)</f>
        <v>10101.2065378695</v>
      </c>
      <c r="C101" s="36"/>
      <c r="D101" s="36"/>
      <c r="E101" s="27"/>
      <c r="F101" s="60" t="s">
        <v>129</v>
      </c>
      <c r="G101" s="69" t="n">
        <f aca="false">(G99+G100)</f>
        <v>9400.41074448451</v>
      </c>
      <c r="H101" s="37"/>
      <c r="J101" s="60" t="s">
        <v>129</v>
      </c>
      <c r="K101" s="69" t="e">
        <f aca="false">(K99+K100)</f>
        <v>#VALUE!</v>
      </c>
      <c r="L101" s="36"/>
      <c r="M101" s="36"/>
      <c r="N101" s="27"/>
      <c r="O101" s="27"/>
      <c r="P101" s="27"/>
      <c r="Q101" s="37"/>
      <c r="S101" s="60" t="s">
        <v>129</v>
      </c>
      <c r="T101" s="69" t="e">
        <f aca="false">(T99+T100)</f>
        <v>#VALUE!</v>
      </c>
      <c r="U101" s="36"/>
      <c r="V101" s="36"/>
      <c r="W101" s="27"/>
      <c r="X101" s="27"/>
      <c r="Y101" s="27"/>
      <c r="Z101" s="37"/>
      <c r="AB101" s="60" t="s">
        <v>129</v>
      </c>
      <c r="AC101" s="69" t="e">
        <f aca="false">(AC99+AC100)</f>
        <v>#VALUE!</v>
      </c>
      <c r="AD101" s="36"/>
      <c r="AE101" s="36"/>
      <c r="AF101" s="27"/>
      <c r="AG101" s="27"/>
      <c r="AH101" s="27"/>
      <c r="AI101" s="37"/>
    </row>
    <row r="102" customFormat="false" ht="18.75" hidden="false" customHeight="false" outlineLevel="0" collapsed="false">
      <c r="A102" s="35"/>
      <c r="B102" s="36"/>
      <c r="C102" s="36"/>
      <c r="D102" s="36"/>
      <c r="E102" s="27"/>
      <c r="F102" s="35"/>
      <c r="G102" s="36"/>
      <c r="H102" s="37"/>
      <c r="J102" s="35"/>
      <c r="K102" s="36"/>
      <c r="L102" s="36"/>
      <c r="M102" s="36"/>
      <c r="N102" s="27"/>
      <c r="O102" s="27"/>
      <c r="P102" s="27"/>
      <c r="Q102" s="37"/>
      <c r="S102" s="35"/>
      <c r="T102" s="36"/>
      <c r="U102" s="36"/>
      <c r="V102" s="36"/>
      <c r="W102" s="27"/>
      <c r="X102" s="27"/>
      <c r="Y102" s="27"/>
      <c r="Z102" s="37"/>
      <c r="AB102" s="35"/>
      <c r="AC102" s="36"/>
      <c r="AD102" s="36"/>
      <c r="AE102" s="36"/>
      <c r="AF102" s="27"/>
      <c r="AG102" s="27"/>
      <c r="AH102" s="27"/>
      <c r="AI102" s="37"/>
    </row>
    <row r="103" customFormat="false" ht="18.75" hidden="false" customHeight="false" outlineLevel="0" collapsed="false">
      <c r="A103" s="92" t="s">
        <v>130</v>
      </c>
      <c r="B103" s="93" t="n">
        <f aca="false">((A46*A34)+((A46*A34)*A117))/(B68)</f>
        <v>0</v>
      </c>
      <c r="C103" s="36"/>
      <c r="D103" s="36"/>
      <c r="E103" s="27"/>
      <c r="F103" s="92" t="s">
        <v>130</v>
      </c>
      <c r="G103" s="96" t="str">
        <f aca="false">IF(B35="YES",((E49/B94)*(1+A117)*(C54/100)),"0")</f>
        <v>0</v>
      </c>
      <c r="H103" s="37"/>
      <c r="J103" s="92" t="s">
        <v>130</v>
      </c>
      <c r="K103" s="93" t="n">
        <f aca="false">((E40/K94)*(1+J117))*1.2</f>
        <v>0</v>
      </c>
      <c r="L103" s="36"/>
      <c r="M103" s="36"/>
      <c r="N103" s="27"/>
      <c r="O103" s="27"/>
      <c r="P103" s="27"/>
      <c r="Q103" s="37"/>
      <c r="S103" s="92" t="s">
        <v>130</v>
      </c>
      <c r="T103" s="93" t="n">
        <f aca="false">((E40/T94)*(1+S117))</f>
        <v>0</v>
      </c>
      <c r="U103" s="36"/>
      <c r="V103" s="36"/>
      <c r="W103" s="27"/>
      <c r="X103" s="27"/>
      <c r="Y103" s="27"/>
      <c r="Z103" s="37"/>
      <c r="AB103" s="92" t="s">
        <v>130</v>
      </c>
      <c r="AC103" s="93" t="n">
        <f aca="false">((E40/AC94)*(1+AB117))*1.2</f>
        <v>0</v>
      </c>
      <c r="AD103" s="36"/>
      <c r="AE103" s="36"/>
      <c r="AF103" s="27"/>
      <c r="AG103" s="27"/>
      <c r="AH103" s="27"/>
      <c r="AI103" s="37"/>
    </row>
    <row r="104" customFormat="false" ht="18.75" hidden="false" customHeight="false" outlineLevel="0" collapsed="false">
      <c r="A104" s="97" t="s">
        <v>131</v>
      </c>
      <c r="B104" s="98" t="n">
        <f aca="false">B101/(B94)</f>
        <v>918.291503442686</v>
      </c>
      <c r="C104" s="36"/>
      <c r="D104" s="36"/>
      <c r="E104" s="27"/>
      <c r="F104" s="97" t="s">
        <v>131</v>
      </c>
      <c r="G104" s="98" t="n">
        <f aca="false">G101/(G94)</f>
        <v>854.582794953137</v>
      </c>
      <c r="H104" s="37"/>
      <c r="J104" s="97" t="s">
        <v>131</v>
      </c>
      <c r="K104" s="98" t="e">
        <f aca="false">K101/(K94)</f>
        <v>#VALUE!</v>
      </c>
      <c r="L104" s="36"/>
      <c r="M104" s="36"/>
      <c r="N104" s="27"/>
      <c r="O104" s="27"/>
      <c r="P104" s="27"/>
      <c r="Q104" s="37"/>
      <c r="S104" s="97" t="s">
        <v>131</v>
      </c>
      <c r="T104" s="98" t="e">
        <f aca="false">T101/(T94)</f>
        <v>#VALUE!</v>
      </c>
      <c r="U104" s="36"/>
      <c r="V104" s="36"/>
      <c r="W104" s="27"/>
      <c r="X104" s="27"/>
      <c r="Y104" s="27"/>
      <c r="Z104" s="37"/>
      <c r="AB104" s="97" t="s">
        <v>131</v>
      </c>
      <c r="AC104" s="98" t="e">
        <f aca="false">AC101/(AC68)</f>
        <v>#VALUE!</v>
      </c>
      <c r="AD104" s="36"/>
      <c r="AE104" s="36"/>
      <c r="AF104" s="27"/>
      <c r="AG104" s="27"/>
      <c r="AH104" s="27"/>
      <c r="AI104" s="37"/>
    </row>
    <row r="105" customFormat="false" ht="18.75" hidden="false" customHeight="false" outlineLevel="0" collapsed="false">
      <c r="A105" s="99" t="s">
        <v>132</v>
      </c>
      <c r="B105" s="100" t="n">
        <f aca="false">B103+B104</f>
        <v>918.291503442686</v>
      </c>
      <c r="C105" s="36"/>
      <c r="D105" s="36"/>
      <c r="E105" s="27" t="s">
        <v>31</v>
      </c>
      <c r="F105" s="99" t="s">
        <v>132</v>
      </c>
      <c r="G105" s="100" t="n">
        <f aca="false">G103+G104</f>
        <v>854.582794953137</v>
      </c>
      <c r="H105" s="37"/>
      <c r="J105" s="99" t="s">
        <v>132</v>
      </c>
      <c r="K105" s="100" t="e">
        <f aca="false">(K103+K104)</f>
        <v>#VALUE!</v>
      </c>
      <c r="L105" s="36"/>
      <c r="M105" s="36"/>
      <c r="N105" s="27"/>
      <c r="O105" s="27"/>
      <c r="P105" s="27"/>
      <c r="Q105" s="37"/>
      <c r="S105" s="99" t="s">
        <v>132</v>
      </c>
      <c r="T105" s="100" t="e">
        <f aca="false">T103+T104</f>
        <v>#VALUE!</v>
      </c>
      <c r="U105" s="36"/>
      <c r="V105" s="36"/>
      <c r="W105" s="27"/>
      <c r="X105" s="27"/>
      <c r="Y105" s="27"/>
      <c r="Z105" s="37"/>
      <c r="AB105" s="99" t="s">
        <v>132</v>
      </c>
      <c r="AC105" s="100" t="e">
        <f aca="false">AC103+AC104</f>
        <v>#VALUE!</v>
      </c>
      <c r="AD105" s="36"/>
      <c r="AE105" s="36"/>
      <c r="AF105" s="27"/>
      <c r="AG105" s="27"/>
      <c r="AH105" s="27"/>
      <c r="AI105" s="37"/>
    </row>
    <row r="106" customFormat="false" ht="18.75" hidden="false" customHeight="false" outlineLevel="0" collapsed="false">
      <c r="A106" s="60"/>
      <c r="B106" s="61"/>
      <c r="C106" s="61"/>
      <c r="D106" s="61"/>
      <c r="E106" s="101"/>
      <c r="F106" s="101"/>
      <c r="G106" s="101"/>
      <c r="H106" s="69"/>
      <c r="J106" s="60"/>
      <c r="K106" s="61"/>
      <c r="L106" s="61"/>
      <c r="M106" s="61"/>
      <c r="N106" s="101"/>
      <c r="O106" s="101"/>
      <c r="P106" s="101"/>
      <c r="Q106" s="69"/>
      <c r="S106" s="60"/>
      <c r="T106" s="61"/>
      <c r="U106" s="61"/>
      <c r="V106" s="61"/>
      <c r="W106" s="101"/>
      <c r="X106" s="101"/>
      <c r="Y106" s="101"/>
      <c r="Z106" s="69"/>
      <c r="AB106" s="60"/>
      <c r="AC106" s="61"/>
      <c r="AD106" s="61"/>
      <c r="AE106" s="61"/>
      <c r="AF106" s="101"/>
      <c r="AG106" s="101"/>
      <c r="AH106" s="101"/>
      <c r="AI106" s="69"/>
    </row>
    <row r="107" customFormat="false" ht="18.7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J107" s="27"/>
      <c r="K107" s="27"/>
      <c r="L107" s="27"/>
      <c r="M107" s="27"/>
      <c r="N107" s="27"/>
      <c r="O107" s="27"/>
      <c r="P107" s="27"/>
      <c r="Q107" s="27"/>
      <c r="S107" s="27"/>
      <c r="T107" s="27"/>
      <c r="U107" s="27"/>
      <c r="V107" s="27"/>
      <c r="W107" s="27"/>
      <c r="X107" s="27"/>
      <c r="Y107" s="27"/>
      <c r="Z107" s="27"/>
      <c r="AB107" s="27"/>
      <c r="AC107" s="27"/>
      <c r="AD107" s="27"/>
      <c r="AE107" s="27"/>
      <c r="AF107" s="27"/>
      <c r="AG107" s="27"/>
      <c r="AH107" s="27"/>
      <c r="AI107" s="27"/>
    </row>
    <row r="108" customFormat="false" ht="18.75" hidden="false" customHeight="false" outlineLevel="0" collapsed="false">
      <c r="A108" s="27" t="n">
        <v>0.2</v>
      </c>
      <c r="B108" s="27" t="n">
        <v>0</v>
      </c>
      <c r="C108" s="27"/>
      <c r="D108" s="27" t="n">
        <v>0</v>
      </c>
      <c r="E108" s="27"/>
      <c r="F108" s="27"/>
      <c r="G108" s="27"/>
      <c r="H108" s="27"/>
      <c r="J108" s="27"/>
      <c r="K108" s="27"/>
      <c r="L108" s="27"/>
      <c r="M108" s="27"/>
      <c r="N108" s="27"/>
      <c r="O108" s="27"/>
      <c r="P108" s="27"/>
      <c r="Q108" s="27"/>
      <c r="S108" s="27"/>
      <c r="T108" s="27"/>
      <c r="U108" s="27"/>
      <c r="V108" s="27"/>
      <c r="W108" s="27"/>
      <c r="X108" s="27"/>
      <c r="Y108" s="27"/>
      <c r="Z108" s="27"/>
      <c r="AB108" s="27"/>
      <c r="AC108" s="27"/>
      <c r="AD108" s="27"/>
      <c r="AE108" s="27"/>
      <c r="AF108" s="27"/>
      <c r="AG108" s="27"/>
      <c r="AH108" s="27"/>
      <c r="AI108" s="27"/>
    </row>
    <row r="109" customFormat="false" ht="47.25" hidden="false" customHeight="true" outlineLevel="0" collapsed="false">
      <c r="A109" s="102" t="s">
        <v>133</v>
      </c>
      <c r="B109" s="102"/>
      <c r="C109" s="102"/>
      <c r="D109" s="102"/>
      <c r="E109" s="102"/>
      <c r="F109" s="102"/>
      <c r="G109" s="102"/>
      <c r="H109" s="102"/>
      <c r="J109" s="28" t="s">
        <v>134</v>
      </c>
      <c r="K109" s="28"/>
      <c r="L109" s="28"/>
      <c r="M109" s="28"/>
      <c r="N109" s="28"/>
      <c r="O109" s="28"/>
      <c r="P109" s="28"/>
      <c r="Q109" s="28"/>
      <c r="S109" s="102" t="s">
        <v>135</v>
      </c>
      <c r="T109" s="102"/>
      <c r="U109" s="102"/>
      <c r="V109" s="102"/>
      <c r="W109" s="102"/>
      <c r="X109" s="102"/>
      <c r="Y109" s="102"/>
      <c r="Z109" s="102"/>
      <c r="AB109" s="102" t="s">
        <v>136</v>
      </c>
      <c r="AC109" s="102"/>
      <c r="AD109" s="102"/>
      <c r="AE109" s="102"/>
      <c r="AF109" s="102"/>
      <c r="AG109" s="102"/>
      <c r="AH109" s="102"/>
      <c r="AI109" s="102"/>
    </row>
    <row r="110" customFormat="false" ht="18.75" hidden="false" customHeight="false" outlineLevel="0" collapsed="false">
      <c r="A110" s="29"/>
      <c r="B110" s="30"/>
      <c r="C110" s="30"/>
      <c r="D110" s="30"/>
      <c r="E110" s="79"/>
      <c r="F110" s="79"/>
      <c r="G110" s="79"/>
      <c r="H110" s="103"/>
      <c r="J110" s="29"/>
      <c r="K110" s="30"/>
      <c r="L110" s="30"/>
      <c r="M110" s="30"/>
      <c r="N110" s="79"/>
      <c r="O110" s="79"/>
      <c r="P110" s="79"/>
      <c r="Q110" s="103"/>
      <c r="S110" s="29"/>
      <c r="T110" s="30"/>
      <c r="U110" s="30"/>
      <c r="V110" s="30"/>
      <c r="W110" s="79"/>
      <c r="X110" s="79"/>
      <c r="Y110" s="79"/>
      <c r="Z110" s="103"/>
      <c r="AB110" s="29"/>
      <c r="AC110" s="30"/>
      <c r="AD110" s="30"/>
      <c r="AE110" s="30"/>
      <c r="AF110" s="79"/>
      <c r="AG110" s="79"/>
      <c r="AH110" s="79"/>
      <c r="AI110" s="103"/>
    </row>
    <row r="111" customFormat="false" ht="22.05" hidden="false" customHeight="false" outlineLevel="0" collapsed="false">
      <c r="A111" s="32" t="s">
        <v>31</v>
      </c>
      <c r="B111" s="32" t="n">
        <v>0</v>
      </c>
      <c r="C111" s="32"/>
      <c r="D111" s="32"/>
      <c r="E111" s="32" t="n">
        <v>0</v>
      </c>
      <c r="F111" s="32"/>
      <c r="G111" s="32"/>
      <c r="H111" s="32"/>
      <c r="J111" s="32" t="s">
        <v>137</v>
      </c>
      <c r="K111" s="32"/>
      <c r="L111" s="32"/>
      <c r="M111" s="32"/>
      <c r="N111" s="32"/>
      <c r="O111" s="32"/>
      <c r="P111" s="32"/>
      <c r="Q111" s="32"/>
      <c r="S111" s="32" t="s">
        <v>137</v>
      </c>
      <c r="T111" s="32"/>
      <c r="U111" s="32"/>
      <c r="V111" s="32"/>
      <c r="W111" s="32"/>
      <c r="X111" s="32"/>
      <c r="Y111" s="32"/>
      <c r="Z111" s="32"/>
      <c r="AB111" s="32" t="s">
        <v>137</v>
      </c>
      <c r="AC111" s="32"/>
      <c r="AD111" s="32"/>
      <c r="AE111" s="32"/>
      <c r="AF111" s="32"/>
      <c r="AG111" s="32"/>
      <c r="AH111" s="32"/>
      <c r="AI111" s="32"/>
    </row>
    <row r="112" customFormat="false" ht="18.75" hidden="false" customHeight="false" outlineLevel="0" collapsed="false">
      <c r="A112" s="35"/>
      <c r="B112" s="36"/>
      <c r="C112" s="36"/>
      <c r="D112" s="36"/>
      <c r="E112" s="27"/>
      <c r="F112" s="27"/>
      <c r="G112" s="27"/>
      <c r="H112" s="104"/>
      <c r="J112" s="35"/>
      <c r="K112" s="36"/>
      <c r="L112" s="36"/>
      <c r="M112" s="36"/>
      <c r="N112" s="27"/>
      <c r="O112" s="27"/>
      <c r="P112" s="27"/>
      <c r="Q112" s="104"/>
      <c r="S112" s="35"/>
      <c r="T112" s="36"/>
      <c r="U112" s="36"/>
      <c r="V112" s="36"/>
      <c r="W112" s="27"/>
      <c r="X112" s="27"/>
      <c r="Y112" s="27"/>
      <c r="Z112" s="104"/>
      <c r="AB112" s="35"/>
      <c r="AC112" s="36"/>
      <c r="AD112" s="36"/>
      <c r="AE112" s="36"/>
      <c r="AF112" s="27"/>
      <c r="AG112" s="27"/>
      <c r="AH112" s="27"/>
      <c r="AI112" s="104"/>
    </row>
    <row r="113" customFormat="false" ht="18.75" hidden="false" customHeight="false" outlineLevel="0" collapsed="false">
      <c r="A113" s="35" t="s">
        <v>138</v>
      </c>
      <c r="B113" s="36" t="s">
        <v>36</v>
      </c>
      <c r="C113" s="36"/>
      <c r="D113" s="36"/>
      <c r="E113" s="36" t="s">
        <v>139</v>
      </c>
      <c r="F113" s="36"/>
      <c r="G113" s="36"/>
      <c r="H113" s="37"/>
      <c r="J113" s="35" t="s">
        <v>138</v>
      </c>
      <c r="K113" s="36" t="s">
        <v>36</v>
      </c>
      <c r="L113" s="36"/>
      <c r="M113" s="36"/>
      <c r="N113" s="36" t="s">
        <v>139</v>
      </c>
      <c r="O113" s="36"/>
      <c r="P113" s="36"/>
      <c r="Q113" s="37"/>
      <c r="S113" s="35" t="s">
        <v>138</v>
      </c>
      <c r="T113" s="36" t="s">
        <v>36</v>
      </c>
      <c r="U113" s="36"/>
      <c r="V113" s="36"/>
      <c r="W113" s="36" t="s">
        <v>139</v>
      </c>
      <c r="X113" s="36"/>
      <c r="Y113" s="36"/>
      <c r="Z113" s="37"/>
      <c r="AB113" s="35" t="s">
        <v>138</v>
      </c>
      <c r="AC113" s="36" t="s">
        <v>36</v>
      </c>
      <c r="AD113" s="36"/>
      <c r="AE113" s="36"/>
      <c r="AF113" s="36" t="s">
        <v>139</v>
      </c>
      <c r="AG113" s="36"/>
      <c r="AH113" s="36"/>
      <c r="AI113" s="37"/>
    </row>
    <row r="114" customFormat="false" ht="18.75" hidden="false" customHeight="false" outlineLevel="0" collapsed="false">
      <c r="A114" s="40" t="s">
        <v>140</v>
      </c>
      <c r="B114" s="105" t="s">
        <v>246</v>
      </c>
      <c r="C114" s="105"/>
      <c r="D114" s="105"/>
      <c r="E114" s="106" t="s">
        <v>32</v>
      </c>
      <c r="F114" s="106"/>
      <c r="G114" s="106"/>
      <c r="H114" s="104"/>
      <c r="J114" s="40" t="s">
        <v>140</v>
      </c>
      <c r="K114" s="107" t="s">
        <v>141</v>
      </c>
      <c r="L114" s="107"/>
      <c r="M114" s="107"/>
      <c r="N114" s="106" t="s">
        <v>31</v>
      </c>
      <c r="O114" s="106"/>
      <c r="P114" s="106"/>
      <c r="Q114" s="104"/>
      <c r="S114" s="40" t="s">
        <v>140</v>
      </c>
      <c r="T114" s="105" t="s">
        <v>141</v>
      </c>
      <c r="U114" s="105"/>
      <c r="V114" s="105"/>
      <c r="W114" s="106" t="s">
        <v>31</v>
      </c>
      <c r="X114" s="106"/>
      <c r="Y114" s="106"/>
      <c r="Z114" s="104"/>
      <c r="AB114" s="40" t="s">
        <v>140</v>
      </c>
      <c r="AC114" s="105" t="s">
        <v>141</v>
      </c>
      <c r="AD114" s="105"/>
      <c r="AE114" s="105"/>
      <c r="AF114" s="106" t="s">
        <v>31</v>
      </c>
      <c r="AG114" s="106"/>
      <c r="AH114" s="106"/>
      <c r="AI114" s="104"/>
    </row>
    <row r="115" customFormat="false" ht="18.75" hidden="false" customHeight="false" outlineLevel="0" collapsed="false">
      <c r="A115" s="35"/>
      <c r="B115" s="36"/>
      <c r="C115" s="36"/>
      <c r="D115" s="27"/>
      <c r="E115" s="36"/>
      <c r="F115" s="36"/>
      <c r="G115" s="27"/>
      <c r="H115" s="37"/>
      <c r="J115" s="35"/>
      <c r="K115" s="36"/>
      <c r="L115" s="36"/>
      <c r="M115" s="27"/>
      <c r="N115" s="36"/>
      <c r="O115" s="36"/>
      <c r="P115" s="27"/>
      <c r="Q115" s="37"/>
      <c r="S115" s="35"/>
      <c r="T115" s="36"/>
      <c r="U115" s="36"/>
      <c r="V115" s="27"/>
      <c r="W115" s="36"/>
      <c r="X115" s="36"/>
      <c r="Y115" s="27"/>
      <c r="Z115" s="37"/>
      <c r="AB115" s="35"/>
      <c r="AC115" s="36"/>
      <c r="AD115" s="36"/>
      <c r="AE115" s="27"/>
      <c r="AF115" s="36"/>
      <c r="AG115" s="36"/>
      <c r="AH115" s="27"/>
      <c r="AI115" s="37"/>
    </row>
    <row r="116" customFormat="false" ht="18.75" hidden="false" customHeight="false" outlineLevel="0" collapsed="false">
      <c r="A116" s="35" t="s">
        <v>142</v>
      </c>
      <c r="B116" s="36" t="s">
        <v>143</v>
      </c>
      <c r="C116" s="36"/>
      <c r="D116" s="27"/>
      <c r="E116" s="36" t="s">
        <v>144</v>
      </c>
      <c r="F116" s="36"/>
      <c r="G116" s="27"/>
      <c r="H116" s="104"/>
      <c r="J116" s="35" t="s">
        <v>142</v>
      </c>
      <c r="K116" s="36" t="s">
        <v>143</v>
      </c>
      <c r="L116" s="36"/>
      <c r="M116" s="27"/>
      <c r="N116" s="36" t="s">
        <v>144</v>
      </c>
      <c r="O116" s="36"/>
      <c r="P116" s="27"/>
      <c r="Q116" s="104"/>
      <c r="S116" s="35" t="s">
        <v>142</v>
      </c>
      <c r="T116" s="36" t="s">
        <v>143</v>
      </c>
      <c r="U116" s="36"/>
      <c r="V116" s="27"/>
      <c r="W116" s="36" t="s">
        <v>144</v>
      </c>
      <c r="X116" s="36"/>
      <c r="Y116" s="27"/>
      <c r="Z116" s="104"/>
      <c r="AB116" s="35" t="s">
        <v>142</v>
      </c>
      <c r="AC116" s="36" t="s">
        <v>143</v>
      </c>
      <c r="AD116" s="36"/>
      <c r="AE116" s="27"/>
      <c r="AF116" s="36" t="s">
        <v>144</v>
      </c>
      <c r="AG116" s="36"/>
      <c r="AH116" s="27"/>
      <c r="AI116" s="104"/>
    </row>
    <row r="117" customFormat="false" ht="18.75" hidden="false" customHeight="false" outlineLevel="0" collapsed="false">
      <c r="A117" s="108" t="n">
        <v>0.2</v>
      </c>
      <c r="B117" s="109" t="s">
        <v>145</v>
      </c>
      <c r="C117" s="109"/>
      <c r="D117" s="109"/>
      <c r="E117" s="110" t="n">
        <f aca="false">B92</f>
        <v>0.1255</v>
      </c>
      <c r="F117" s="110"/>
      <c r="G117" s="110"/>
      <c r="H117" s="51"/>
      <c r="J117" s="108" t="n">
        <v>0.3</v>
      </c>
      <c r="K117" s="109" t="s">
        <v>145</v>
      </c>
      <c r="L117" s="109"/>
      <c r="M117" s="109"/>
      <c r="N117" s="110" t="n">
        <f aca="false">K92</f>
        <v>0.24</v>
      </c>
      <c r="O117" s="110"/>
      <c r="P117" s="110"/>
      <c r="Q117" s="51"/>
      <c r="S117" s="108" t="n">
        <v>0.2</v>
      </c>
      <c r="T117" s="109" t="s">
        <v>146</v>
      </c>
      <c r="U117" s="109"/>
      <c r="V117" s="109"/>
      <c r="W117" s="110" t="n">
        <f aca="false">T92</f>
        <v>0.1235</v>
      </c>
      <c r="X117" s="110"/>
      <c r="Y117" s="110"/>
      <c r="Z117" s="51"/>
      <c r="AB117" s="108" t="n">
        <v>0.2</v>
      </c>
      <c r="AC117" s="109" t="s">
        <v>146</v>
      </c>
      <c r="AD117" s="109"/>
      <c r="AE117" s="109"/>
      <c r="AF117" s="111" t="n">
        <f aca="false">AC92</f>
        <v>0.1235</v>
      </c>
      <c r="AG117" s="111"/>
      <c r="AH117" s="111"/>
      <c r="AI117" s="51"/>
      <c r="AP117" s="6" t="s">
        <v>147</v>
      </c>
    </row>
    <row r="118" customFormat="false" ht="18.75" hidden="false" customHeight="false" outlineLevel="0" collapsed="false">
      <c r="A118" s="35"/>
      <c r="B118" s="36"/>
      <c r="C118" s="36"/>
      <c r="D118" s="36"/>
      <c r="E118" s="36"/>
      <c r="F118" s="36"/>
      <c r="G118" s="36"/>
      <c r="H118" s="37"/>
      <c r="J118" s="35"/>
      <c r="K118" s="36"/>
      <c r="L118" s="36"/>
      <c r="M118" s="36"/>
      <c r="N118" s="36"/>
      <c r="O118" s="36"/>
      <c r="P118" s="36"/>
      <c r="Q118" s="37"/>
      <c r="S118" s="35"/>
      <c r="T118" s="36"/>
      <c r="U118" s="36"/>
      <c r="V118" s="36"/>
      <c r="W118" s="36"/>
      <c r="X118" s="36"/>
      <c r="Y118" s="36"/>
      <c r="Z118" s="37"/>
      <c r="AB118" s="35"/>
      <c r="AC118" s="36"/>
      <c r="AD118" s="36"/>
      <c r="AE118" s="36"/>
      <c r="AF118" s="36"/>
      <c r="AG118" s="36"/>
      <c r="AH118" s="36"/>
      <c r="AI118" s="37"/>
      <c r="AP118" s="6" t="s">
        <v>145</v>
      </c>
    </row>
    <row r="119" customFormat="false" ht="18.75" hidden="false" customHeight="false" outlineLevel="0" collapsed="false">
      <c r="A119" s="35" t="s">
        <v>148</v>
      </c>
      <c r="B119" s="36" t="s">
        <v>149</v>
      </c>
      <c r="C119" s="36"/>
      <c r="D119" s="36"/>
      <c r="E119" s="36" t="s">
        <v>150</v>
      </c>
      <c r="F119" s="36"/>
      <c r="G119" s="36"/>
      <c r="H119" s="37"/>
      <c r="J119" s="35" t="s">
        <v>148</v>
      </c>
      <c r="K119" s="36" t="s">
        <v>149</v>
      </c>
      <c r="L119" s="36"/>
      <c r="M119" s="36"/>
      <c r="N119" s="36" t="s">
        <v>150</v>
      </c>
      <c r="O119" s="36"/>
      <c r="P119" s="36"/>
      <c r="Q119" s="37"/>
      <c r="S119" s="35" t="s">
        <v>148</v>
      </c>
      <c r="T119" s="36" t="s">
        <v>149</v>
      </c>
      <c r="U119" s="36"/>
      <c r="V119" s="36"/>
      <c r="W119" s="36" t="s">
        <v>150</v>
      </c>
      <c r="X119" s="36"/>
      <c r="Y119" s="36"/>
      <c r="Z119" s="37"/>
      <c r="AB119" s="35" t="s">
        <v>148</v>
      </c>
      <c r="AC119" s="36" t="s">
        <v>149</v>
      </c>
      <c r="AD119" s="36"/>
      <c r="AE119" s="36"/>
      <c r="AF119" s="36" t="s">
        <v>150</v>
      </c>
      <c r="AG119" s="36"/>
      <c r="AH119" s="36"/>
      <c r="AI119" s="37"/>
    </row>
    <row r="120" customFormat="false" ht="18.75" hidden="false" customHeight="false" outlineLevel="0" collapsed="false">
      <c r="A120" s="44" t="s">
        <v>31</v>
      </c>
      <c r="B120" s="109" t="n">
        <v>0</v>
      </c>
      <c r="C120" s="109"/>
      <c r="D120" s="109"/>
      <c r="E120" s="109" t="n">
        <v>0</v>
      </c>
      <c r="F120" s="109"/>
      <c r="G120" s="109"/>
      <c r="H120" s="104"/>
      <c r="J120" s="44" t="s">
        <v>32</v>
      </c>
      <c r="K120" s="109" t="n">
        <v>1000</v>
      </c>
      <c r="L120" s="109"/>
      <c r="M120" s="109"/>
      <c r="N120" s="109" t="n">
        <v>0</v>
      </c>
      <c r="O120" s="109"/>
      <c r="P120" s="109"/>
      <c r="Q120" s="104"/>
      <c r="S120" s="44" t="s">
        <v>31</v>
      </c>
      <c r="T120" s="109" t="n">
        <v>1000</v>
      </c>
      <c r="U120" s="109"/>
      <c r="V120" s="109"/>
      <c r="W120" s="109" t="n">
        <v>0</v>
      </c>
      <c r="X120" s="109"/>
      <c r="Y120" s="109"/>
      <c r="Z120" s="104"/>
      <c r="AB120" s="44" t="s">
        <v>31</v>
      </c>
      <c r="AC120" s="109" t="n">
        <v>1000</v>
      </c>
      <c r="AD120" s="109"/>
      <c r="AE120" s="109"/>
      <c r="AF120" s="109" t="n">
        <v>0</v>
      </c>
      <c r="AG120" s="109"/>
      <c r="AH120" s="109"/>
      <c r="AI120" s="104"/>
    </row>
    <row r="121" customFormat="false" ht="18.75" hidden="false" customHeight="false" outlineLevel="0" collapsed="false">
      <c r="A121" s="35"/>
      <c r="B121" s="36"/>
      <c r="C121" s="36" t="s">
        <v>10</v>
      </c>
      <c r="D121" s="36"/>
      <c r="E121" s="36"/>
      <c r="F121" s="36"/>
      <c r="G121" s="27"/>
      <c r="H121" s="104"/>
      <c r="J121" s="35"/>
      <c r="K121" s="36"/>
      <c r="L121" s="36"/>
      <c r="M121" s="36"/>
      <c r="N121" s="36"/>
      <c r="O121" s="36"/>
      <c r="P121" s="27"/>
      <c r="Q121" s="104"/>
      <c r="S121" s="35"/>
      <c r="T121" s="36"/>
      <c r="U121" s="36"/>
      <c r="V121" s="36"/>
      <c r="W121" s="36"/>
      <c r="X121" s="36"/>
      <c r="Y121" s="27"/>
      <c r="Z121" s="104"/>
      <c r="AB121" s="35"/>
      <c r="AC121" s="36"/>
      <c r="AD121" s="36"/>
      <c r="AE121" s="36"/>
      <c r="AF121" s="36"/>
      <c r="AG121" s="36"/>
      <c r="AH121" s="27"/>
      <c r="AI121" s="104"/>
    </row>
    <row r="122" customFormat="false" ht="18.75" hidden="false" customHeight="false" outlineLevel="0" collapsed="false">
      <c r="A122" s="112" t="s">
        <v>151</v>
      </c>
      <c r="B122" s="36" t="s">
        <v>152</v>
      </c>
      <c r="C122" s="36"/>
      <c r="D122" s="36"/>
      <c r="E122" s="36" t="s">
        <v>153</v>
      </c>
      <c r="F122" s="36"/>
      <c r="G122" s="27"/>
      <c r="H122" s="104"/>
      <c r="J122" s="112" t="s">
        <v>151</v>
      </c>
      <c r="K122" s="36" t="s">
        <v>152</v>
      </c>
      <c r="L122" s="36"/>
      <c r="M122" s="36"/>
      <c r="N122" s="36" t="s">
        <v>153</v>
      </c>
      <c r="O122" s="36"/>
      <c r="P122" s="27"/>
      <c r="Q122" s="104"/>
      <c r="S122" s="112" t="s">
        <v>151</v>
      </c>
      <c r="T122" s="36" t="s">
        <v>152</v>
      </c>
      <c r="U122" s="36"/>
      <c r="V122" s="36"/>
      <c r="W122" s="36" t="s">
        <v>153</v>
      </c>
      <c r="X122" s="36"/>
      <c r="Y122" s="27"/>
      <c r="Z122" s="104"/>
      <c r="AB122" s="112" t="s">
        <v>151</v>
      </c>
      <c r="AC122" s="36" t="s">
        <v>152</v>
      </c>
      <c r="AD122" s="36"/>
      <c r="AE122" s="36"/>
      <c r="AF122" s="36" t="s">
        <v>153</v>
      </c>
      <c r="AG122" s="36"/>
      <c r="AH122" s="27"/>
      <c r="AI122" s="104"/>
    </row>
    <row r="123" customFormat="false" ht="18.75" hidden="false" customHeight="false" outlineLevel="0" collapsed="false">
      <c r="A123" s="113" t="n">
        <f aca="false">B120+E120</f>
        <v>0</v>
      </c>
      <c r="B123" s="109" t="n">
        <v>199.991666666667</v>
      </c>
      <c r="C123" s="109"/>
      <c r="D123" s="109"/>
      <c r="E123" s="109" t="n">
        <v>0</v>
      </c>
      <c r="F123" s="109"/>
      <c r="G123" s="109"/>
      <c r="H123" s="104"/>
      <c r="J123" s="113" t="n">
        <f aca="false">K120+N120</f>
        <v>1000</v>
      </c>
      <c r="K123" s="109" t="n">
        <v>239.99</v>
      </c>
      <c r="L123" s="109"/>
      <c r="M123" s="109"/>
      <c r="N123" s="109" t="n">
        <v>0</v>
      </c>
      <c r="O123" s="109"/>
      <c r="P123" s="109"/>
      <c r="Q123" s="104"/>
      <c r="S123" s="113" t="n">
        <f aca="false">T120+W120</f>
        <v>1000</v>
      </c>
      <c r="T123" s="109" t="n">
        <v>199.99</v>
      </c>
      <c r="U123" s="109"/>
      <c r="V123" s="109"/>
      <c r="W123" s="109" t="n">
        <v>0</v>
      </c>
      <c r="X123" s="109"/>
      <c r="Y123" s="109"/>
      <c r="Z123" s="104"/>
      <c r="AB123" s="113" t="n">
        <f aca="false">AC120+AF120</f>
        <v>1000</v>
      </c>
      <c r="AC123" s="109" t="n">
        <v>239.99</v>
      </c>
      <c r="AD123" s="109"/>
      <c r="AE123" s="109"/>
      <c r="AF123" s="109" t="n">
        <v>0</v>
      </c>
      <c r="AG123" s="109"/>
      <c r="AH123" s="109"/>
      <c r="AI123" s="104"/>
    </row>
    <row r="124" customFormat="false" ht="18.75" hidden="false" customHeight="false" outlineLevel="0" collapsed="false">
      <c r="A124" s="114"/>
      <c r="B124" s="27"/>
      <c r="C124" s="27"/>
      <c r="D124" s="27"/>
      <c r="E124" s="27"/>
      <c r="F124" s="27"/>
      <c r="G124" s="27"/>
      <c r="H124" s="104"/>
      <c r="J124" s="114"/>
      <c r="K124" s="27"/>
      <c r="L124" s="27"/>
      <c r="M124" s="27"/>
      <c r="N124" s="27"/>
      <c r="O124" s="27"/>
      <c r="P124" s="27"/>
      <c r="Q124" s="104"/>
      <c r="S124" s="114"/>
      <c r="T124" s="27"/>
      <c r="U124" s="27"/>
      <c r="V124" s="27"/>
      <c r="W124" s="27"/>
      <c r="X124" s="27"/>
      <c r="Y124" s="27"/>
      <c r="Z124" s="104"/>
      <c r="AB124" s="114"/>
      <c r="AC124" s="27"/>
      <c r="AD124" s="27"/>
      <c r="AE124" s="27"/>
      <c r="AF124" s="27"/>
      <c r="AG124" s="27"/>
      <c r="AH124" s="27"/>
      <c r="AI124" s="104"/>
    </row>
    <row r="125" customFormat="false" ht="18.75" hidden="false" customHeight="false" outlineLevel="0" collapsed="false">
      <c r="A125" s="114"/>
      <c r="B125" s="27"/>
      <c r="C125" s="27"/>
      <c r="D125" s="27"/>
      <c r="E125" s="27"/>
      <c r="F125" s="27"/>
      <c r="G125" s="27"/>
      <c r="H125" s="104"/>
      <c r="J125" s="114"/>
      <c r="K125" s="27"/>
      <c r="L125" s="27"/>
      <c r="M125" s="27"/>
      <c r="N125" s="27"/>
      <c r="O125" s="27"/>
      <c r="P125" s="27"/>
      <c r="Q125" s="104"/>
      <c r="S125" s="114"/>
      <c r="T125" s="27"/>
      <c r="U125" s="27"/>
      <c r="V125" s="27"/>
      <c r="W125" s="27"/>
      <c r="X125" s="27"/>
      <c r="Y125" s="27"/>
      <c r="Z125" s="104"/>
      <c r="AB125" s="114"/>
      <c r="AC125" s="27"/>
      <c r="AD125" s="27"/>
      <c r="AE125" s="27"/>
      <c r="AF125" s="27"/>
      <c r="AG125" s="27"/>
      <c r="AH125" s="27"/>
      <c r="AI125" s="104"/>
    </row>
    <row r="126" customFormat="false" ht="22.05" hidden="false" customHeight="false" outlineLevel="0" collapsed="false">
      <c r="A126" s="32" t="s">
        <v>154</v>
      </c>
      <c r="B126" s="32"/>
      <c r="C126" s="32"/>
      <c r="D126" s="32"/>
      <c r="E126" s="32"/>
      <c r="F126" s="32"/>
      <c r="G126" s="32"/>
      <c r="H126" s="32"/>
      <c r="J126" s="32" t="s">
        <v>154</v>
      </c>
      <c r="K126" s="32"/>
      <c r="L126" s="32"/>
      <c r="M126" s="32"/>
      <c r="N126" s="32"/>
      <c r="O126" s="32"/>
      <c r="P126" s="32"/>
      <c r="Q126" s="32"/>
      <c r="S126" s="32" t="s">
        <v>154</v>
      </c>
      <c r="T126" s="32"/>
      <c r="U126" s="32"/>
      <c r="V126" s="32"/>
      <c r="W126" s="32"/>
      <c r="X126" s="32"/>
      <c r="Y126" s="32"/>
      <c r="Z126" s="32"/>
      <c r="AB126" s="32" t="s">
        <v>154</v>
      </c>
      <c r="AC126" s="32"/>
      <c r="AD126" s="32"/>
      <c r="AE126" s="32"/>
      <c r="AF126" s="32"/>
      <c r="AG126" s="32"/>
      <c r="AH126" s="32"/>
      <c r="AI126" s="32"/>
    </row>
    <row r="127" customFormat="false" ht="18.75" hidden="false" customHeight="false" outlineLevel="0" collapsed="false">
      <c r="A127" s="114"/>
      <c r="B127" s="27"/>
      <c r="C127" s="27"/>
      <c r="D127" s="27"/>
      <c r="E127" s="27"/>
      <c r="F127" s="27"/>
      <c r="G127" s="27"/>
      <c r="H127" s="104"/>
      <c r="J127" s="114"/>
      <c r="K127" s="27"/>
      <c r="L127" s="27"/>
      <c r="M127" s="27"/>
      <c r="N127" s="27"/>
      <c r="O127" s="27"/>
      <c r="P127" s="27"/>
      <c r="Q127" s="104"/>
      <c r="S127" s="114"/>
      <c r="T127" s="27"/>
      <c r="U127" s="27"/>
      <c r="V127" s="27"/>
      <c r="W127" s="27"/>
      <c r="X127" s="27"/>
      <c r="Y127" s="27"/>
      <c r="Z127" s="104"/>
      <c r="AB127" s="114"/>
      <c r="AC127" s="27"/>
      <c r="AD127" s="27"/>
      <c r="AE127" s="27"/>
      <c r="AF127" s="27"/>
      <c r="AG127" s="27"/>
      <c r="AH127" s="27"/>
      <c r="AI127" s="104"/>
    </row>
    <row r="128" customFormat="false" ht="19.7" hidden="false" customHeight="false" outlineLevel="0" collapsed="false">
      <c r="A128" s="82"/>
      <c r="B128" s="115" t="s">
        <v>155</v>
      </c>
      <c r="C128" s="115"/>
      <c r="D128" s="115" t="s">
        <v>156</v>
      </c>
      <c r="E128" s="115"/>
      <c r="F128" s="115" t="s">
        <v>157</v>
      </c>
      <c r="G128" s="115"/>
      <c r="H128" s="116" t="s">
        <v>158</v>
      </c>
      <c r="J128" s="82"/>
      <c r="K128" s="115" t="s">
        <v>155</v>
      </c>
      <c r="L128" s="115"/>
      <c r="M128" s="115" t="s">
        <v>156</v>
      </c>
      <c r="N128" s="115"/>
      <c r="O128" s="115" t="s">
        <v>157</v>
      </c>
      <c r="P128" s="115"/>
      <c r="Q128" s="116" t="s">
        <v>158</v>
      </c>
      <c r="S128" s="82"/>
      <c r="T128" s="115" t="s">
        <v>155</v>
      </c>
      <c r="U128" s="115"/>
      <c r="V128" s="115" t="s">
        <v>156</v>
      </c>
      <c r="W128" s="115"/>
      <c r="X128" s="115" t="s">
        <v>157</v>
      </c>
      <c r="Y128" s="115"/>
      <c r="Z128" s="116" t="s">
        <v>158</v>
      </c>
      <c r="AB128" s="82"/>
      <c r="AC128" s="115" t="s">
        <v>155</v>
      </c>
      <c r="AD128" s="115"/>
      <c r="AE128" s="115" t="s">
        <v>156</v>
      </c>
      <c r="AF128" s="115"/>
      <c r="AG128" s="115" t="s">
        <v>157</v>
      </c>
      <c r="AH128" s="115"/>
      <c r="AI128" s="116" t="s">
        <v>158</v>
      </c>
    </row>
    <row r="129" customFormat="false" ht="19.7" hidden="false" customHeight="false" outlineLevel="0" collapsed="false">
      <c r="A129" s="84"/>
      <c r="B129" s="117" t="s">
        <v>159</v>
      </c>
      <c r="C129" s="118" t="s">
        <v>160</v>
      </c>
      <c r="D129" s="117" t="s">
        <v>159</v>
      </c>
      <c r="E129" s="119" t="s">
        <v>160</v>
      </c>
      <c r="F129" s="117" t="s">
        <v>159</v>
      </c>
      <c r="G129" s="119" t="s">
        <v>160</v>
      </c>
      <c r="H129" s="120"/>
      <c r="J129" s="84"/>
      <c r="K129" s="117" t="s">
        <v>159</v>
      </c>
      <c r="L129" s="118" t="s">
        <v>160</v>
      </c>
      <c r="M129" s="117" t="s">
        <v>159</v>
      </c>
      <c r="N129" s="119" t="s">
        <v>160</v>
      </c>
      <c r="O129" s="117" t="s">
        <v>159</v>
      </c>
      <c r="P129" s="119" t="s">
        <v>160</v>
      </c>
      <c r="Q129" s="120"/>
      <c r="S129" s="84"/>
      <c r="T129" s="117" t="s">
        <v>159</v>
      </c>
      <c r="U129" s="118" t="s">
        <v>160</v>
      </c>
      <c r="V129" s="117" t="s">
        <v>159</v>
      </c>
      <c r="W129" s="119" t="s">
        <v>160</v>
      </c>
      <c r="X129" s="117" t="s">
        <v>159</v>
      </c>
      <c r="Y129" s="119" t="s">
        <v>160</v>
      </c>
      <c r="Z129" s="120"/>
      <c r="AB129" s="84"/>
      <c r="AC129" s="117" t="s">
        <v>159</v>
      </c>
      <c r="AD129" s="118" t="s">
        <v>160</v>
      </c>
      <c r="AE129" s="117" t="s">
        <v>159</v>
      </c>
      <c r="AF129" s="119" t="s">
        <v>160</v>
      </c>
      <c r="AG129" s="117" t="s">
        <v>159</v>
      </c>
      <c r="AH129" s="119" t="s">
        <v>160</v>
      </c>
      <c r="AI129" s="120"/>
    </row>
    <row r="130" customFormat="false" ht="18.75" hidden="false" customHeight="false" outlineLevel="0" collapsed="false">
      <c r="A130" s="29" t="s">
        <v>161</v>
      </c>
      <c r="B130" s="29" t="n">
        <f aca="false">E19</f>
        <v>16850.004</v>
      </c>
      <c r="C130" s="44" t="n">
        <v>15625</v>
      </c>
      <c r="D130" s="29" t="n">
        <f aca="false">D12</f>
        <v>0</v>
      </c>
      <c r="E130" s="44" t="n">
        <f aca="false">D130</f>
        <v>0</v>
      </c>
      <c r="F130" s="29" t="n">
        <v>0</v>
      </c>
      <c r="G130" s="44" t="n">
        <f aca="false">F130</f>
        <v>0</v>
      </c>
      <c r="H130" s="121" t="n">
        <f aca="false">H12</f>
        <v>0</v>
      </c>
      <c r="J130" s="29" t="s">
        <v>161</v>
      </c>
      <c r="K130" s="29" t="n">
        <f aca="false">B3</f>
        <v>0</v>
      </c>
      <c r="L130" s="44" t="n">
        <v>28629.17</v>
      </c>
      <c r="M130" s="29" t="n">
        <f aca="false">D3</f>
        <v>0</v>
      </c>
      <c r="N130" s="44" t="n">
        <f aca="false">M130</f>
        <v>0</v>
      </c>
      <c r="O130" s="29" t="str">
        <f aca="false">F3</f>
        <v> </v>
      </c>
      <c r="P130" s="44" t="str">
        <f aca="false">O130</f>
        <v> </v>
      </c>
      <c r="Q130" s="121" t="n">
        <f aca="false">H3</f>
        <v>0</v>
      </c>
      <c r="S130" s="29" t="s">
        <v>161</v>
      </c>
      <c r="T130" s="29" t="n">
        <f aca="false">B3</f>
        <v>0</v>
      </c>
      <c r="U130" s="44" t="n">
        <f aca="false">T130</f>
        <v>0</v>
      </c>
      <c r="V130" s="29" t="n">
        <f aca="false">D3</f>
        <v>0</v>
      </c>
      <c r="W130" s="44" t="n">
        <f aca="false">V130</f>
        <v>0</v>
      </c>
      <c r="X130" s="29" t="str">
        <f aca="false">F3</f>
        <v> </v>
      </c>
      <c r="Y130" s="44" t="str">
        <f aca="false">X130</f>
        <v> </v>
      </c>
      <c r="Z130" s="121" t="n">
        <f aca="false">H3</f>
        <v>0</v>
      </c>
      <c r="AB130" s="29" t="s">
        <v>161</v>
      </c>
      <c r="AC130" s="29" t="n">
        <f aca="false">B3</f>
        <v>0</v>
      </c>
      <c r="AD130" s="44" t="n">
        <f aca="false">AC130</f>
        <v>0</v>
      </c>
      <c r="AE130" s="29" t="n">
        <f aca="false">D3</f>
        <v>0</v>
      </c>
      <c r="AF130" s="44" t="n">
        <f aca="false">AE130</f>
        <v>0</v>
      </c>
      <c r="AG130" s="29" t="str">
        <f aca="false">F3</f>
        <v> </v>
      </c>
      <c r="AH130" s="44" t="str">
        <f aca="false">AG130</f>
        <v> </v>
      </c>
      <c r="AI130" s="121" t="n">
        <f aca="false">H3</f>
        <v>0</v>
      </c>
    </row>
    <row r="131" customFormat="false" ht="18.75" hidden="false" customHeight="false" outlineLevel="0" collapsed="false">
      <c r="A131" s="35" t="s">
        <v>162</v>
      </c>
      <c r="B131" s="122" t="n">
        <v>0</v>
      </c>
      <c r="C131" s="123" t="n">
        <f aca="false">B131</f>
        <v>0</v>
      </c>
      <c r="D131" s="122" t="n">
        <v>0</v>
      </c>
      <c r="E131" s="123" t="n">
        <f aca="false">D131</f>
        <v>0</v>
      </c>
      <c r="F131" s="122" t="n">
        <v>0</v>
      </c>
      <c r="G131" s="124" t="n">
        <f aca="false">F131</f>
        <v>0</v>
      </c>
      <c r="H131" s="125"/>
      <c r="J131" s="35" t="s">
        <v>162</v>
      </c>
      <c r="K131" s="122" t="n">
        <f aca="false">B4</f>
        <v>16850.004</v>
      </c>
      <c r="L131" s="126" t="n">
        <v>0</v>
      </c>
      <c r="M131" s="122" t="n">
        <f aca="false">D4</f>
        <v>0</v>
      </c>
      <c r="N131" s="126" t="n">
        <f aca="false">M131</f>
        <v>0</v>
      </c>
      <c r="O131" s="122" t="str">
        <f aca="false">F4</f>
        <v> </v>
      </c>
      <c r="P131" s="126" t="str">
        <f aca="false">O131</f>
        <v> </v>
      </c>
      <c r="Q131" s="125"/>
      <c r="S131" s="35" t="s">
        <v>162</v>
      </c>
      <c r="T131" s="122" t="n">
        <f aca="false">B4</f>
        <v>16850.004</v>
      </c>
      <c r="U131" s="126" t="n">
        <v>0.25</v>
      </c>
      <c r="V131" s="122" t="n">
        <f aca="false">D4</f>
        <v>0</v>
      </c>
      <c r="W131" s="126" t="n">
        <f aca="false">V131</f>
        <v>0</v>
      </c>
      <c r="X131" s="122" t="str">
        <f aca="false">F4</f>
        <v> </v>
      </c>
      <c r="Y131" s="126" t="str">
        <f aca="false">X131</f>
        <v> </v>
      </c>
      <c r="Z131" s="125"/>
      <c r="AB131" s="35" t="s">
        <v>162</v>
      </c>
      <c r="AC131" s="122" t="n">
        <f aca="false">B4</f>
        <v>16850.004</v>
      </c>
      <c r="AD131" s="126" t="n">
        <v>0.25</v>
      </c>
      <c r="AE131" s="122" t="n">
        <f aca="false">D4</f>
        <v>0</v>
      </c>
      <c r="AF131" s="126" t="n">
        <f aca="false">AE131</f>
        <v>0</v>
      </c>
      <c r="AG131" s="122" t="str">
        <f aca="false">F4</f>
        <v> </v>
      </c>
      <c r="AH131" s="126" t="str">
        <f aca="false">AG131</f>
        <v> </v>
      </c>
      <c r="AI131" s="125"/>
    </row>
    <row r="132" customFormat="false" ht="18.75" hidden="false" customHeight="false" outlineLevel="0" collapsed="false">
      <c r="A132" s="35" t="s">
        <v>163</v>
      </c>
      <c r="B132" s="35" t="n">
        <v>0</v>
      </c>
      <c r="C132" s="44" t="n">
        <f aca="false">B132</f>
        <v>0</v>
      </c>
      <c r="D132" s="35" t="n">
        <v>0</v>
      </c>
      <c r="E132" s="44" t="n">
        <f aca="false">D132</f>
        <v>0</v>
      </c>
      <c r="F132" s="35" t="n">
        <v>0</v>
      </c>
      <c r="G132" s="44" t="n">
        <f aca="false">F132</f>
        <v>0</v>
      </c>
      <c r="H132" s="37"/>
      <c r="J132" s="35" t="s">
        <v>163</v>
      </c>
      <c r="K132" s="35" t="n">
        <f aca="false">B5</f>
        <v>0</v>
      </c>
      <c r="L132" s="44" t="n">
        <v>0</v>
      </c>
      <c r="M132" s="35" t="n">
        <f aca="false">D5</f>
        <v>0</v>
      </c>
      <c r="N132" s="44" t="n">
        <f aca="false">M132</f>
        <v>0</v>
      </c>
      <c r="O132" s="35" t="str">
        <f aca="false">F5</f>
        <v> </v>
      </c>
      <c r="P132" s="44" t="str">
        <f aca="false">O132</f>
        <v> </v>
      </c>
      <c r="Q132" s="37"/>
      <c r="S132" s="35" t="s">
        <v>163</v>
      </c>
      <c r="T132" s="35" t="n">
        <f aca="false">B5</f>
        <v>0</v>
      </c>
      <c r="U132" s="44" t="n">
        <v>0</v>
      </c>
      <c r="V132" s="35" t="n">
        <f aca="false">D5</f>
        <v>0</v>
      </c>
      <c r="W132" s="44" t="n">
        <f aca="false">V132</f>
        <v>0</v>
      </c>
      <c r="X132" s="35" t="str">
        <f aca="false">F5</f>
        <v> </v>
      </c>
      <c r="Y132" s="44" t="str">
        <f aca="false">X132</f>
        <v> </v>
      </c>
      <c r="Z132" s="37"/>
      <c r="AB132" s="35" t="s">
        <v>163</v>
      </c>
      <c r="AC132" s="35" t="n">
        <f aca="false">B5</f>
        <v>0</v>
      </c>
      <c r="AD132" s="44" t="n">
        <v>0</v>
      </c>
      <c r="AE132" s="35" t="n">
        <f aca="false">D5</f>
        <v>0</v>
      </c>
      <c r="AF132" s="44" t="n">
        <f aca="false">AE132</f>
        <v>0</v>
      </c>
      <c r="AG132" s="35" t="str">
        <f aca="false">F5</f>
        <v> </v>
      </c>
      <c r="AH132" s="44" t="str">
        <f aca="false">AG132</f>
        <v> </v>
      </c>
      <c r="AI132" s="37"/>
    </row>
    <row r="133" customFormat="false" ht="18.75" hidden="false" customHeight="false" outlineLevel="0" collapsed="false">
      <c r="A133" s="35" t="s">
        <v>164</v>
      </c>
      <c r="B133" s="35" t="n">
        <f aca="false">(B130*B131)+B132</f>
        <v>0</v>
      </c>
      <c r="C133" s="31" t="n">
        <f aca="false">(C130*C131/100)+C132</f>
        <v>0</v>
      </c>
      <c r="D133" s="35" t="n">
        <f aca="false">(D130*D131)+D132</f>
        <v>0</v>
      </c>
      <c r="E133" s="31" t="n">
        <f aca="false">(E130*E131/100)+E132</f>
        <v>0</v>
      </c>
      <c r="F133" s="35" t="n">
        <f aca="false">(F130*F131)+F132</f>
        <v>0</v>
      </c>
      <c r="G133" s="31" t="n">
        <f aca="false">(G130*G131/100)+G132</f>
        <v>0</v>
      </c>
      <c r="H133" s="37"/>
      <c r="J133" s="35" t="s">
        <v>164</v>
      </c>
      <c r="K133" s="35" t="n">
        <f aca="false">(K130*K131)+K132</f>
        <v>0</v>
      </c>
      <c r="L133" s="31" t="n">
        <f aca="false">(L130*L131)+L132</f>
        <v>0</v>
      </c>
      <c r="M133" s="35" t="n">
        <f aca="false">(M130*M131)+M132</f>
        <v>0</v>
      </c>
      <c r="N133" s="31" t="n">
        <f aca="false">(N130*N131)+N132</f>
        <v>0</v>
      </c>
      <c r="O133" s="35" t="e">
        <f aca="false">(O130*O131)+O132</f>
        <v>#VALUE!</v>
      </c>
      <c r="P133" s="31" t="e">
        <f aca="false">(P130*P131)+P132</f>
        <v>#VALUE!</v>
      </c>
      <c r="Q133" s="37"/>
      <c r="S133" s="35" t="s">
        <v>164</v>
      </c>
      <c r="T133" s="35" t="n">
        <f aca="false">(T130*T131)+T132</f>
        <v>0</v>
      </c>
      <c r="U133" s="31" t="n">
        <f aca="false">(U130*U131)+U132</f>
        <v>0</v>
      </c>
      <c r="V133" s="35" t="n">
        <f aca="false">(V130*V131)+V132</f>
        <v>0</v>
      </c>
      <c r="W133" s="31" t="n">
        <f aca="false">(W130*W131)+W132</f>
        <v>0</v>
      </c>
      <c r="X133" s="35" t="e">
        <f aca="false">(X130*X131)+X132</f>
        <v>#VALUE!</v>
      </c>
      <c r="Y133" s="31" t="e">
        <f aca="false">(Y130*Y131)+Y132</f>
        <v>#VALUE!</v>
      </c>
      <c r="Z133" s="37"/>
      <c r="AB133" s="35" t="s">
        <v>164</v>
      </c>
      <c r="AC133" s="35" t="n">
        <f aca="false">(AC130*AC131)+AC132</f>
        <v>0</v>
      </c>
      <c r="AD133" s="31" t="n">
        <f aca="false">(AD130*AD131)+AD132</f>
        <v>0</v>
      </c>
      <c r="AE133" s="35" t="n">
        <f aca="false">(AE130*AE131)+AE132</f>
        <v>0</v>
      </c>
      <c r="AF133" s="31" t="n">
        <f aca="false">(AF130*AF131)+AF132</f>
        <v>0</v>
      </c>
      <c r="AG133" s="35" t="e">
        <f aca="false">(AG130*AG131)+AG132</f>
        <v>#VALUE!</v>
      </c>
      <c r="AH133" s="31" t="e">
        <f aca="false">(AH130*AH131)+AH132</f>
        <v>#VALUE!</v>
      </c>
      <c r="AI133" s="37"/>
    </row>
    <row r="134" customFormat="false" ht="18.75" hidden="false" customHeight="false" outlineLevel="0" collapsed="false">
      <c r="A134" s="60" t="s">
        <v>165</v>
      </c>
      <c r="B134" s="60" t="n">
        <f aca="false">B130-B133</f>
        <v>16850.004</v>
      </c>
      <c r="C134" s="69" t="n">
        <f aca="false">C130-C133</f>
        <v>16125</v>
      </c>
      <c r="D134" s="60" t="n">
        <f aca="false">D130-D133</f>
        <v>0</v>
      </c>
      <c r="E134" s="69" t="n">
        <f aca="false">E130-E133</f>
        <v>0</v>
      </c>
      <c r="F134" s="60" t="n">
        <f aca="false">F130-F133</f>
        <v>0</v>
      </c>
      <c r="G134" s="69" t="n">
        <f aca="false">G130-G133</f>
        <v>0</v>
      </c>
      <c r="H134" s="69"/>
      <c r="J134" s="60" t="s">
        <v>165</v>
      </c>
      <c r="K134" s="60" t="n">
        <f aca="false">K130-K133</f>
        <v>0</v>
      </c>
      <c r="L134" s="69" t="n">
        <f aca="false">L130-L133</f>
        <v>28629.17</v>
      </c>
      <c r="M134" s="60" t="n">
        <f aca="false">M130-M133</f>
        <v>0</v>
      </c>
      <c r="N134" s="69" t="n">
        <f aca="false">N130-N133</f>
        <v>0</v>
      </c>
      <c r="O134" s="60" t="e">
        <f aca="false">O130-O133</f>
        <v>#VALUE!</v>
      </c>
      <c r="P134" s="69" t="e">
        <f aca="false">P130-P133</f>
        <v>#VALUE!</v>
      </c>
      <c r="Q134" s="69"/>
      <c r="S134" s="60" t="s">
        <v>165</v>
      </c>
      <c r="T134" s="60" t="n">
        <f aca="false">T130-T133</f>
        <v>0</v>
      </c>
      <c r="U134" s="69" t="n">
        <f aca="false">U130-U133</f>
        <v>0</v>
      </c>
      <c r="V134" s="60" t="n">
        <f aca="false">V130-V133</f>
        <v>0</v>
      </c>
      <c r="W134" s="69" t="n">
        <f aca="false">W130-W133</f>
        <v>0</v>
      </c>
      <c r="X134" s="60" t="e">
        <f aca="false">X130-X133</f>
        <v>#VALUE!</v>
      </c>
      <c r="Y134" s="69" t="e">
        <f aca="false">Y130-Y133</f>
        <v>#VALUE!</v>
      </c>
      <c r="Z134" s="69"/>
      <c r="AB134" s="60" t="s">
        <v>165</v>
      </c>
      <c r="AC134" s="60" t="n">
        <f aca="false">AC130-AC133</f>
        <v>0</v>
      </c>
      <c r="AD134" s="69" t="n">
        <f aca="false">AD130-AD133</f>
        <v>0</v>
      </c>
      <c r="AE134" s="60" t="n">
        <f aca="false">AE130-AE133</f>
        <v>0</v>
      </c>
      <c r="AF134" s="69" t="n">
        <f aca="false">AF130-AF133</f>
        <v>0</v>
      </c>
      <c r="AG134" s="60" t="e">
        <f aca="false">AG130-AG133</f>
        <v>#VALUE!</v>
      </c>
      <c r="AH134" s="69" t="e">
        <f aca="false">AH130-AH133</f>
        <v>#VALUE!</v>
      </c>
      <c r="AI134" s="69"/>
    </row>
    <row r="135" customFormat="false" ht="18.75" hidden="false" customHeight="false" outlineLevel="0" collapsed="false">
      <c r="A135" s="35"/>
      <c r="B135" s="36"/>
      <c r="C135" s="36"/>
      <c r="D135" s="36"/>
      <c r="E135" s="36"/>
      <c r="F135" s="36"/>
      <c r="G135" s="36"/>
      <c r="H135" s="37"/>
      <c r="J135" s="35"/>
      <c r="K135" s="36"/>
      <c r="L135" s="36"/>
      <c r="M135" s="36"/>
      <c r="N135" s="36"/>
      <c r="O135" s="36"/>
      <c r="P135" s="36"/>
      <c r="Q135" s="37"/>
      <c r="S135" s="35"/>
      <c r="T135" s="36"/>
      <c r="U135" s="36"/>
      <c r="V135" s="36"/>
      <c r="W135" s="36"/>
      <c r="X135" s="36"/>
      <c r="Y135" s="36"/>
      <c r="Z135" s="37"/>
      <c r="AB135" s="35"/>
      <c r="AC135" s="36"/>
      <c r="AD135" s="36"/>
      <c r="AE135" s="36"/>
      <c r="AF135" s="36"/>
      <c r="AG135" s="36"/>
      <c r="AH135" s="36"/>
      <c r="AI135" s="37"/>
    </row>
    <row r="136" customFormat="false" ht="19.7" hidden="false" customHeight="false" outlineLevel="0" collapsed="false">
      <c r="A136" s="127"/>
      <c r="B136" s="128"/>
      <c r="C136" s="128"/>
      <c r="D136" s="128"/>
      <c r="E136" s="128"/>
      <c r="F136" s="128"/>
      <c r="G136" s="129" t="s">
        <v>159</v>
      </c>
      <c r="H136" s="130" t="s">
        <v>160</v>
      </c>
      <c r="J136" s="127"/>
      <c r="K136" s="128"/>
      <c r="L136" s="128"/>
      <c r="M136" s="128"/>
      <c r="N136" s="128"/>
      <c r="O136" s="128"/>
      <c r="P136" s="129" t="s">
        <v>159</v>
      </c>
      <c r="Q136" s="130" t="s">
        <v>160</v>
      </c>
      <c r="S136" s="127"/>
      <c r="T136" s="128"/>
      <c r="U136" s="128"/>
      <c r="V136" s="128"/>
      <c r="W136" s="128"/>
      <c r="X136" s="128"/>
      <c r="Y136" s="129" t="s">
        <v>159</v>
      </c>
      <c r="Z136" s="130" t="s">
        <v>160</v>
      </c>
      <c r="AB136" s="127"/>
      <c r="AC136" s="128"/>
      <c r="AD136" s="128"/>
      <c r="AE136" s="128"/>
      <c r="AF136" s="128"/>
      <c r="AG136" s="128"/>
      <c r="AH136" s="129" t="s">
        <v>159</v>
      </c>
      <c r="AI136" s="130" t="s">
        <v>160</v>
      </c>
    </row>
    <row r="137" customFormat="false" ht="18.75" hidden="false" customHeight="false" outlineLevel="0" collapsed="false">
      <c r="A137" s="131" t="s">
        <v>166</v>
      </c>
      <c r="B137" s="132"/>
      <c r="C137" s="132"/>
      <c r="D137" s="132"/>
      <c r="E137" s="132"/>
      <c r="F137" s="132"/>
      <c r="G137" s="133" t="n">
        <f aca="false">H130</f>
        <v>0</v>
      </c>
      <c r="H137" s="134" t="n">
        <f aca="false">SUM(H140:H142)</f>
        <v>0</v>
      </c>
      <c r="J137" s="131" t="s">
        <v>166</v>
      </c>
      <c r="K137" s="132"/>
      <c r="L137" s="132"/>
      <c r="M137" s="132"/>
      <c r="N137" s="132"/>
      <c r="O137" s="132"/>
      <c r="P137" s="133" t="n">
        <f aca="false">Q130</f>
        <v>0</v>
      </c>
      <c r="Q137" s="134" t="n">
        <f aca="false">SUM(Q140:Q142)</f>
        <v>0</v>
      </c>
      <c r="S137" s="131" t="s">
        <v>166</v>
      </c>
      <c r="T137" s="132"/>
      <c r="U137" s="132"/>
      <c r="V137" s="132"/>
      <c r="W137" s="132"/>
      <c r="X137" s="132"/>
      <c r="Y137" s="133" t="n">
        <f aca="false">Z130</f>
        <v>0</v>
      </c>
      <c r="Z137" s="134" t="n">
        <f aca="false">SUM(Z140:Z142)</f>
        <v>0</v>
      </c>
      <c r="AB137" s="131" t="s">
        <v>166</v>
      </c>
      <c r="AC137" s="132"/>
      <c r="AD137" s="132"/>
      <c r="AE137" s="132"/>
      <c r="AF137" s="132"/>
      <c r="AG137" s="132"/>
      <c r="AH137" s="133" t="n">
        <f aca="false">AI130</f>
        <v>0</v>
      </c>
      <c r="AI137" s="134" t="n">
        <f aca="false">SUM(AI140:AI142)</f>
        <v>0</v>
      </c>
    </row>
    <row r="138" customFormat="false" ht="18.75" hidden="false" customHeight="false" outlineLevel="0" collapsed="false">
      <c r="A138" s="35"/>
      <c r="B138" s="36"/>
      <c r="C138" s="36"/>
      <c r="D138" s="36"/>
      <c r="E138" s="36"/>
      <c r="F138" s="36"/>
      <c r="G138" s="135"/>
      <c r="H138" s="136"/>
      <c r="J138" s="35"/>
      <c r="K138" s="36"/>
      <c r="L138" s="36"/>
      <c r="M138" s="36"/>
      <c r="N138" s="36"/>
      <c r="O138" s="36"/>
      <c r="P138" s="135"/>
      <c r="Q138" s="136"/>
      <c r="S138" s="35"/>
      <c r="T138" s="36"/>
      <c r="U138" s="36"/>
      <c r="V138" s="36"/>
      <c r="W138" s="36"/>
      <c r="X138" s="36"/>
      <c r="Y138" s="135"/>
      <c r="Z138" s="136"/>
      <c r="AB138" s="35"/>
      <c r="AC138" s="36"/>
      <c r="AD138" s="36"/>
      <c r="AE138" s="36"/>
      <c r="AF138" s="36"/>
      <c r="AG138" s="36"/>
      <c r="AH138" s="135"/>
      <c r="AI138" s="136"/>
    </row>
    <row r="139" customFormat="false" ht="18.75" hidden="false" customHeight="false" outlineLevel="0" collapsed="false">
      <c r="A139" s="137" t="s">
        <v>167</v>
      </c>
      <c r="B139" s="138" t="s">
        <v>168</v>
      </c>
      <c r="C139" s="138"/>
      <c r="D139" s="138" t="s">
        <v>169</v>
      </c>
      <c r="E139" s="138"/>
      <c r="F139" s="138" t="s">
        <v>163</v>
      </c>
      <c r="G139" s="138"/>
      <c r="H139" s="136" t="s">
        <v>160</v>
      </c>
      <c r="J139" s="137" t="s">
        <v>167</v>
      </c>
      <c r="K139" s="139" t="s">
        <v>168</v>
      </c>
      <c r="L139" s="139"/>
      <c r="M139" s="138" t="s">
        <v>169</v>
      </c>
      <c r="N139" s="138"/>
      <c r="O139" s="138" t="s">
        <v>163</v>
      </c>
      <c r="P139" s="138"/>
      <c r="Q139" s="136" t="s">
        <v>160</v>
      </c>
      <c r="S139" s="137" t="s">
        <v>167</v>
      </c>
      <c r="T139" s="138" t="s">
        <v>168</v>
      </c>
      <c r="U139" s="138"/>
      <c r="V139" s="138" t="s">
        <v>169</v>
      </c>
      <c r="W139" s="138"/>
      <c r="X139" s="138" t="s">
        <v>163</v>
      </c>
      <c r="Y139" s="138"/>
      <c r="Z139" s="136" t="s">
        <v>160</v>
      </c>
      <c r="AB139" s="137" t="s">
        <v>167</v>
      </c>
      <c r="AC139" s="138" t="s">
        <v>168</v>
      </c>
      <c r="AD139" s="138"/>
      <c r="AE139" s="138" t="s">
        <v>169</v>
      </c>
      <c r="AF139" s="138"/>
      <c r="AG139" s="138" t="s">
        <v>163</v>
      </c>
      <c r="AH139" s="138"/>
      <c r="AI139" s="136" t="s">
        <v>160</v>
      </c>
    </row>
    <row r="140" customFormat="false" ht="18.75" hidden="false" customHeight="false" outlineLevel="0" collapsed="false">
      <c r="A140" s="35" t="s">
        <v>170</v>
      </c>
      <c r="B140" s="140" t="n">
        <f aca="false">G137</f>
        <v>0</v>
      </c>
      <c r="C140" s="140"/>
      <c r="D140" s="141" t="n">
        <v>0</v>
      </c>
      <c r="E140" s="141"/>
      <c r="F140" s="140" t="n">
        <v>0</v>
      </c>
      <c r="G140" s="140"/>
      <c r="H140" s="142" t="n">
        <f aca="false">(B140-(B140*D140))-F140</f>
        <v>0</v>
      </c>
      <c r="J140" s="35" t="s">
        <v>170</v>
      </c>
      <c r="K140" s="140" t="n">
        <f aca="false">P137</f>
        <v>0</v>
      </c>
      <c r="L140" s="140"/>
      <c r="M140" s="141" t="n">
        <v>0</v>
      </c>
      <c r="N140" s="141"/>
      <c r="O140" s="140" t="n">
        <v>0</v>
      </c>
      <c r="P140" s="140"/>
      <c r="Q140" s="142" t="n">
        <f aca="false">(K140-(K140*M140))-O140</f>
        <v>0</v>
      </c>
      <c r="S140" s="35" t="s">
        <v>170</v>
      </c>
      <c r="T140" s="140" t="n">
        <f aca="false">Y137</f>
        <v>0</v>
      </c>
      <c r="U140" s="140"/>
      <c r="V140" s="141" t="n">
        <v>0</v>
      </c>
      <c r="W140" s="141"/>
      <c r="X140" s="140" t="n">
        <v>0</v>
      </c>
      <c r="Y140" s="140"/>
      <c r="Z140" s="142" t="n">
        <f aca="false">(T140-(T140*V140))-X140</f>
        <v>0</v>
      </c>
      <c r="AB140" s="35" t="s">
        <v>170</v>
      </c>
      <c r="AC140" s="140" t="n">
        <f aca="false">AH137</f>
        <v>0</v>
      </c>
      <c r="AD140" s="140"/>
      <c r="AE140" s="141" t="n">
        <v>0</v>
      </c>
      <c r="AF140" s="141"/>
      <c r="AG140" s="140" t="n">
        <v>0</v>
      </c>
      <c r="AH140" s="140"/>
      <c r="AI140" s="142" t="n">
        <f aca="false">(AC140-(AC140*AE140))-AG140</f>
        <v>0</v>
      </c>
    </row>
    <row r="141" customFormat="false" ht="18.75" hidden="false" customHeight="false" outlineLevel="0" collapsed="false">
      <c r="A141" s="35" t="s">
        <v>171</v>
      </c>
      <c r="B141" s="140" t="n">
        <v>0</v>
      </c>
      <c r="C141" s="140"/>
      <c r="D141" s="141" t="n">
        <v>0</v>
      </c>
      <c r="E141" s="141"/>
      <c r="F141" s="140" t="n">
        <v>0</v>
      </c>
      <c r="G141" s="140"/>
      <c r="H141" s="142" t="n">
        <f aca="false">(B141-(B141*D141))-F141</f>
        <v>0</v>
      </c>
      <c r="J141" s="35" t="s">
        <v>171</v>
      </c>
      <c r="K141" s="140" t="n">
        <v>0</v>
      </c>
      <c r="L141" s="140"/>
      <c r="M141" s="141" t="n">
        <v>0</v>
      </c>
      <c r="N141" s="141"/>
      <c r="O141" s="140" t="n">
        <v>0</v>
      </c>
      <c r="P141" s="140"/>
      <c r="Q141" s="142" t="n">
        <f aca="false">(K141-(K141*M141))-O141</f>
        <v>0</v>
      </c>
      <c r="S141" s="35" t="s">
        <v>171</v>
      </c>
      <c r="T141" s="140" t="n">
        <v>0</v>
      </c>
      <c r="U141" s="140"/>
      <c r="V141" s="141" t="n">
        <v>0</v>
      </c>
      <c r="W141" s="141"/>
      <c r="X141" s="140" t="n">
        <v>0</v>
      </c>
      <c r="Y141" s="140"/>
      <c r="Z141" s="142" t="n">
        <f aca="false">(T141-(T141*V141))-X141</f>
        <v>0</v>
      </c>
      <c r="AB141" s="35" t="s">
        <v>171</v>
      </c>
      <c r="AC141" s="140" t="n">
        <v>0</v>
      </c>
      <c r="AD141" s="140"/>
      <c r="AE141" s="141" t="n">
        <v>0</v>
      </c>
      <c r="AF141" s="141"/>
      <c r="AG141" s="140" t="n">
        <v>0</v>
      </c>
      <c r="AH141" s="140"/>
      <c r="AI141" s="142" t="n">
        <f aca="false">(AC141-(AC141*AE141))-AG141</f>
        <v>0</v>
      </c>
    </row>
    <row r="142" customFormat="false" ht="18.75" hidden="false" customHeight="false" outlineLevel="0" collapsed="false">
      <c r="A142" s="35" t="s">
        <v>172</v>
      </c>
      <c r="B142" s="140" t="n">
        <v>0</v>
      </c>
      <c r="C142" s="140"/>
      <c r="D142" s="141" t="n">
        <v>0</v>
      </c>
      <c r="E142" s="141"/>
      <c r="F142" s="140" t="n">
        <v>0</v>
      </c>
      <c r="G142" s="140"/>
      <c r="H142" s="142" t="n">
        <f aca="false">(B142-(B142*D142))-F142</f>
        <v>0</v>
      </c>
      <c r="J142" s="35" t="s">
        <v>172</v>
      </c>
      <c r="K142" s="140" t="n">
        <v>0</v>
      </c>
      <c r="L142" s="140"/>
      <c r="M142" s="141" t="n">
        <v>0</v>
      </c>
      <c r="N142" s="141"/>
      <c r="O142" s="140" t="n">
        <v>0</v>
      </c>
      <c r="P142" s="140"/>
      <c r="Q142" s="142" t="n">
        <f aca="false">(K142-(K142*M142))-O142</f>
        <v>0</v>
      </c>
      <c r="S142" s="35" t="s">
        <v>172</v>
      </c>
      <c r="T142" s="140" t="n">
        <v>0</v>
      </c>
      <c r="U142" s="140"/>
      <c r="V142" s="141" t="n">
        <v>0</v>
      </c>
      <c r="W142" s="141"/>
      <c r="X142" s="140" t="n">
        <v>0</v>
      </c>
      <c r="Y142" s="140"/>
      <c r="Z142" s="142" t="n">
        <f aca="false">(T142-(T142*V142))-X142</f>
        <v>0</v>
      </c>
      <c r="AB142" s="35" t="s">
        <v>172</v>
      </c>
      <c r="AC142" s="140" t="n">
        <v>0</v>
      </c>
      <c r="AD142" s="140"/>
      <c r="AE142" s="141" t="n">
        <v>0</v>
      </c>
      <c r="AF142" s="141"/>
      <c r="AG142" s="140" t="n">
        <v>0</v>
      </c>
      <c r="AH142" s="140"/>
      <c r="AI142" s="142" t="n">
        <f aca="false">(AC142-(AC142*AE142))-AG142</f>
        <v>0</v>
      </c>
    </row>
    <row r="143" customFormat="false" ht="18.75" hidden="false" customHeight="false" outlineLevel="0" collapsed="false">
      <c r="A143" s="35"/>
      <c r="B143" s="36"/>
      <c r="C143" s="36"/>
      <c r="D143" s="36"/>
      <c r="E143" s="36"/>
      <c r="F143" s="36"/>
      <c r="G143" s="135"/>
      <c r="H143" s="136"/>
      <c r="J143" s="35"/>
      <c r="K143" s="36"/>
      <c r="L143" s="36"/>
      <c r="M143" s="36"/>
      <c r="N143" s="36"/>
      <c r="O143" s="36"/>
      <c r="P143" s="135"/>
      <c r="Q143" s="136"/>
      <c r="S143" s="35"/>
      <c r="T143" s="36"/>
      <c r="U143" s="36"/>
      <c r="V143" s="36"/>
      <c r="W143" s="36"/>
      <c r="X143" s="36"/>
      <c r="Y143" s="135"/>
      <c r="Z143" s="136"/>
      <c r="AB143" s="35"/>
      <c r="AC143" s="36"/>
      <c r="AD143" s="36"/>
      <c r="AE143" s="36"/>
      <c r="AF143" s="36"/>
      <c r="AG143" s="36"/>
      <c r="AH143" s="135"/>
      <c r="AI143" s="136"/>
    </row>
    <row r="144" customFormat="false" ht="19.7" hidden="false" customHeight="false" outlineLevel="0" collapsed="false">
      <c r="A144" s="143" t="s">
        <v>173</v>
      </c>
      <c r="B144" s="143"/>
      <c r="C144" s="143"/>
      <c r="D144" s="143"/>
      <c r="E144" s="143"/>
      <c r="F144" s="143"/>
      <c r="G144" s="129" t="n">
        <f aca="false">E21</f>
        <v>14041.67</v>
      </c>
      <c r="H144" s="144" t="n">
        <f aca="false">C134+E134+G134+H137</f>
        <v>16125</v>
      </c>
      <c r="J144" s="143" t="s">
        <v>173</v>
      </c>
      <c r="K144" s="143"/>
      <c r="L144" s="143"/>
      <c r="M144" s="143"/>
      <c r="N144" s="143"/>
      <c r="O144" s="143"/>
      <c r="P144" s="129" t="n">
        <f aca="false">H9</f>
        <v>0</v>
      </c>
      <c r="Q144" s="144" t="e">
        <f aca="false">L134+N134+P134+Q137</f>
        <v>#VALUE!</v>
      </c>
      <c r="S144" s="143" t="s">
        <v>173</v>
      </c>
      <c r="T144" s="143"/>
      <c r="U144" s="143"/>
      <c r="V144" s="143"/>
      <c r="W144" s="143"/>
      <c r="X144" s="143"/>
      <c r="Y144" s="129" t="n">
        <f aca="false">H9</f>
        <v>0</v>
      </c>
      <c r="Z144" s="144" t="e">
        <f aca="false">U134+W134+Y134+Z137</f>
        <v>#VALUE!</v>
      </c>
      <c r="AB144" s="143" t="s">
        <v>173</v>
      </c>
      <c r="AC144" s="143"/>
      <c r="AD144" s="143"/>
      <c r="AE144" s="143"/>
      <c r="AF144" s="143"/>
      <c r="AG144" s="143"/>
      <c r="AH144" s="129" t="n">
        <f aca="false">H9</f>
        <v>0</v>
      </c>
      <c r="AI144" s="144" t="e">
        <f aca="false">AD134+AF134+AH134+AI137</f>
        <v>#VALUE!</v>
      </c>
    </row>
    <row r="145" customFormat="false" ht="18.75" hidden="false" customHeight="false" outlineLevel="0" collapsed="false">
      <c r="A145" s="145" t="s">
        <v>174</v>
      </c>
      <c r="B145" s="145"/>
      <c r="C145" s="145"/>
      <c r="D145" s="145"/>
      <c r="E145" s="145"/>
      <c r="F145" s="145"/>
      <c r="G145" s="146" t="n">
        <f aca="false">H19</f>
        <v>0</v>
      </c>
      <c r="H145" s="37" t="n">
        <f aca="false">G145</f>
        <v>0</v>
      </c>
      <c r="J145" s="145" t="s">
        <v>174</v>
      </c>
      <c r="K145" s="145"/>
      <c r="L145" s="145"/>
      <c r="M145" s="145"/>
      <c r="N145" s="145"/>
      <c r="O145" s="145"/>
      <c r="P145" s="146" t="n">
        <f aca="false">H10</f>
        <v>0</v>
      </c>
      <c r="Q145" s="37" t="n">
        <f aca="false">P145</f>
        <v>0</v>
      </c>
      <c r="S145" s="145" t="s">
        <v>174</v>
      </c>
      <c r="T145" s="145"/>
      <c r="U145" s="145"/>
      <c r="V145" s="145"/>
      <c r="W145" s="145"/>
      <c r="X145" s="145"/>
      <c r="Y145" s="146" t="n">
        <f aca="false">H10</f>
        <v>0</v>
      </c>
      <c r="Z145" s="37" t="n">
        <f aca="false">Y145</f>
        <v>0</v>
      </c>
      <c r="AB145" s="145" t="s">
        <v>174</v>
      </c>
      <c r="AC145" s="145"/>
      <c r="AD145" s="145"/>
      <c r="AE145" s="145"/>
      <c r="AF145" s="145"/>
      <c r="AG145" s="145"/>
      <c r="AH145" s="146" t="n">
        <f aca="false">H10</f>
        <v>0</v>
      </c>
      <c r="AI145" s="37" t="n">
        <f aca="false">AH145</f>
        <v>0</v>
      </c>
    </row>
    <row r="146" customFormat="false" ht="18.75" hidden="false" customHeight="false" outlineLevel="0" collapsed="false">
      <c r="A146" s="145" t="s">
        <v>175</v>
      </c>
      <c r="B146" s="145"/>
      <c r="C146" s="145"/>
      <c r="D146" s="145"/>
      <c r="E146" s="145"/>
      <c r="F146" s="145"/>
      <c r="G146" s="37" t="n">
        <f aca="false">(G144+G145)*20%</f>
        <v>2808.334</v>
      </c>
      <c r="H146" s="37" t="n">
        <f aca="false">(H144+H145)*20%</f>
        <v>3225</v>
      </c>
      <c r="J146" s="145" t="s">
        <v>175</v>
      </c>
      <c r="K146" s="145"/>
      <c r="L146" s="145"/>
      <c r="M146" s="145"/>
      <c r="N146" s="145"/>
      <c r="O146" s="145"/>
      <c r="P146" s="146" t="n">
        <f aca="false">H11</f>
        <v>0</v>
      </c>
      <c r="Q146" s="37" t="e">
        <f aca="false">(Q144+Q145)*20%</f>
        <v>#VALUE!</v>
      </c>
      <c r="S146" s="145" t="s">
        <v>175</v>
      </c>
      <c r="T146" s="145"/>
      <c r="U146" s="145"/>
      <c r="V146" s="145"/>
      <c r="W146" s="145"/>
      <c r="X146" s="145"/>
      <c r="Y146" s="146" t="n">
        <f aca="false">H11</f>
        <v>0</v>
      </c>
      <c r="Z146" s="37" t="e">
        <f aca="false">(Z144+Z145)*20%</f>
        <v>#VALUE!</v>
      </c>
      <c r="AB146" s="145" t="s">
        <v>175</v>
      </c>
      <c r="AC146" s="145"/>
      <c r="AD146" s="145"/>
      <c r="AE146" s="145"/>
      <c r="AF146" s="145"/>
      <c r="AG146" s="145"/>
      <c r="AH146" s="146" t="n">
        <f aca="false">H11</f>
        <v>0</v>
      </c>
      <c r="AI146" s="37" t="e">
        <f aca="false">(AI144+AI145)*20%</f>
        <v>#VALUE!</v>
      </c>
    </row>
    <row r="147" customFormat="false" ht="18.75" hidden="false" customHeight="false" outlineLevel="0" collapsed="false">
      <c r="A147" s="145" t="s">
        <v>176</v>
      </c>
      <c r="B147" s="145"/>
      <c r="C147" s="145"/>
      <c r="D147" s="145"/>
      <c r="E147" s="145"/>
      <c r="F147" s="145"/>
      <c r="G147" s="146" t="n">
        <f aca="false">H21</f>
        <v>0</v>
      </c>
      <c r="H147" s="37" t="n">
        <v>0</v>
      </c>
      <c r="J147" s="145" t="s">
        <v>176</v>
      </c>
      <c r="K147" s="145"/>
      <c r="L147" s="145"/>
      <c r="M147" s="145"/>
      <c r="N147" s="145"/>
      <c r="O147" s="145"/>
      <c r="P147" s="146" t="n">
        <f aca="false">H12</f>
        <v>0</v>
      </c>
      <c r="Q147" s="37" t="n">
        <f aca="false">P147</f>
        <v>0</v>
      </c>
      <c r="S147" s="145" t="s">
        <v>176</v>
      </c>
      <c r="T147" s="145"/>
      <c r="U147" s="145"/>
      <c r="V147" s="145"/>
      <c r="W147" s="145"/>
      <c r="X147" s="145"/>
      <c r="Y147" s="146" t="n">
        <f aca="false">H12</f>
        <v>0</v>
      </c>
      <c r="Z147" s="37" t="n">
        <f aca="false">Y147</f>
        <v>0</v>
      </c>
      <c r="AB147" s="145" t="s">
        <v>176</v>
      </c>
      <c r="AC147" s="145"/>
      <c r="AD147" s="145"/>
      <c r="AE147" s="145"/>
      <c r="AF147" s="145"/>
      <c r="AG147" s="145"/>
      <c r="AH147" s="146" t="n">
        <f aca="false">H12</f>
        <v>0</v>
      </c>
      <c r="AI147" s="37" t="n">
        <f aca="false">AH147</f>
        <v>0</v>
      </c>
    </row>
    <row r="148" customFormat="false" ht="18.75" hidden="false" customHeight="false" outlineLevel="0" collapsed="false">
      <c r="A148" s="145" t="s">
        <v>177</v>
      </c>
      <c r="B148" s="145"/>
      <c r="C148" s="145"/>
      <c r="D148" s="145"/>
      <c r="E148" s="145"/>
      <c r="F148" s="145"/>
      <c r="G148" s="146" t="n">
        <f aca="false">H22</f>
        <v>0</v>
      </c>
      <c r="H148" s="37" t="n">
        <f aca="false">G148</f>
        <v>0</v>
      </c>
      <c r="J148" s="145" t="s">
        <v>177</v>
      </c>
      <c r="K148" s="145"/>
      <c r="L148" s="145"/>
      <c r="M148" s="145"/>
      <c r="N148" s="145"/>
      <c r="O148" s="145"/>
      <c r="P148" s="146" t="n">
        <f aca="false">H13</f>
        <v>0</v>
      </c>
      <c r="Q148" s="37" t="n">
        <f aca="false">P148</f>
        <v>0</v>
      </c>
      <c r="S148" s="145" t="s">
        <v>177</v>
      </c>
      <c r="T148" s="145"/>
      <c r="U148" s="145"/>
      <c r="V148" s="145"/>
      <c r="W148" s="145"/>
      <c r="X148" s="145"/>
      <c r="Y148" s="146" t="n">
        <f aca="false">H13</f>
        <v>0</v>
      </c>
      <c r="Z148" s="37" t="n">
        <f aca="false">Y148</f>
        <v>0</v>
      </c>
      <c r="AB148" s="145" t="s">
        <v>177</v>
      </c>
      <c r="AC148" s="145"/>
      <c r="AD148" s="145"/>
      <c r="AE148" s="145"/>
      <c r="AF148" s="145"/>
      <c r="AG148" s="145"/>
      <c r="AH148" s="146" t="n">
        <f aca="false">H13</f>
        <v>0</v>
      </c>
      <c r="AI148" s="37" t="n">
        <f aca="false">AH148</f>
        <v>0</v>
      </c>
    </row>
    <row r="149" customFormat="false" ht="18.75" hidden="false" customHeight="false" outlineLevel="0" collapsed="false">
      <c r="A149" s="145" t="s">
        <v>178</v>
      </c>
      <c r="B149" s="145"/>
      <c r="C149" s="145"/>
      <c r="D149" s="145"/>
      <c r="E149" s="145"/>
      <c r="F149" s="145"/>
      <c r="G149" s="146" t="n">
        <f aca="false">H23</f>
        <v>0</v>
      </c>
      <c r="H149" s="37" t="n">
        <f aca="false">G149</f>
        <v>0</v>
      </c>
      <c r="J149" s="145" t="s">
        <v>178</v>
      </c>
      <c r="K149" s="145"/>
      <c r="L149" s="145"/>
      <c r="M149" s="145"/>
      <c r="N149" s="145"/>
      <c r="O149" s="145"/>
      <c r="P149" s="146" t="n">
        <f aca="false">H14</f>
        <v>0</v>
      </c>
      <c r="Q149" s="37" t="n">
        <v>55</v>
      </c>
      <c r="S149" s="145" t="s">
        <v>178</v>
      </c>
      <c r="T149" s="145"/>
      <c r="U149" s="145"/>
      <c r="V149" s="145"/>
      <c r="W149" s="145"/>
      <c r="X149" s="145"/>
      <c r="Y149" s="146" t="n">
        <f aca="false">H14</f>
        <v>0</v>
      </c>
      <c r="Z149" s="37" t="n">
        <v>55</v>
      </c>
      <c r="AB149" s="145" t="s">
        <v>178</v>
      </c>
      <c r="AC149" s="145"/>
      <c r="AD149" s="145"/>
      <c r="AE149" s="145"/>
      <c r="AF149" s="145"/>
      <c r="AG149" s="145"/>
      <c r="AH149" s="146" t="n">
        <f aca="false">H14</f>
        <v>0</v>
      </c>
      <c r="AI149" s="37" t="n">
        <v>55</v>
      </c>
    </row>
    <row r="150" customFormat="false" ht="19.7" hidden="false" customHeight="false" outlineLevel="0" collapsed="false">
      <c r="A150" s="145" t="s">
        <v>179</v>
      </c>
      <c r="B150" s="145"/>
      <c r="C150" s="145"/>
      <c r="D150" s="145"/>
      <c r="E150" s="145"/>
      <c r="F150" s="145"/>
      <c r="G150" s="147" t="n">
        <f aca="false">(G144+G145+G148+G149+G146)-G147</f>
        <v>16850.004</v>
      </c>
      <c r="H150" s="147" t="n">
        <f aca="false">(H144+H145+H148+H149+H146)-H147</f>
        <v>19350</v>
      </c>
      <c r="J150" s="145" t="s">
        <v>179</v>
      </c>
      <c r="K150" s="145"/>
      <c r="L150" s="145"/>
      <c r="M150" s="145"/>
      <c r="N150" s="145"/>
      <c r="O150" s="145"/>
      <c r="P150" s="148" t="n">
        <f aca="false">H15</f>
        <v>0</v>
      </c>
      <c r="Q150" s="147" t="e">
        <f aca="false">(Q144+Q145+Q148+Q149+Q146)-Q147</f>
        <v>#VALUE!</v>
      </c>
      <c r="S150" s="145" t="s">
        <v>179</v>
      </c>
      <c r="T150" s="145"/>
      <c r="U150" s="145"/>
      <c r="V150" s="145"/>
      <c r="W150" s="145"/>
      <c r="X150" s="145"/>
      <c r="Y150" s="148" t="n">
        <f aca="false">H15</f>
        <v>0</v>
      </c>
      <c r="Z150" s="147" t="e">
        <f aca="false">(Z144+Z145+Z148+Z149+Z146)-Z147</f>
        <v>#VALUE!</v>
      </c>
      <c r="AB150" s="145" t="s">
        <v>179</v>
      </c>
      <c r="AC150" s="145"/>
      <c r="AD150" s="145"/>
      <c r="AE150" s="145"/>
      <c r="AF150" s="145"/>
      <c r="AG150" s="145"/>
      <c r="AH150" s="148" t="n">
        <f aca="false">H15</f>
        <v>0</v>
      </c>
      <c r="AI150" s="147" t="e">
        <f aca="false">(AI144+AI145+AI148+AI149+AI146)-AI147</f>
        <v>#VALUE!</v>
      </c>
    </row>
    <row r="151" customFormat="false" ht="18.75" hidden="false" customHeight="false" outlineLevel="0" collapsed="false">
      <c r="A151" s="145" t="s">
        <v>180</v>
      </c>
      <c r="B151" s="145"/>
      <c r="C151" s="145"/>
      <c r="D151" s="145"/>
      <c r="E151" s="145"/>
      <c r="F151" s="145"/>
      <c r="G151" s="44" t="n">
        <f aca="false">F151</f>
        <v>0</v>
      </c>
      <c r="H151" s="44" t="n">
        <f aca="false">G151</f>
        <v>0</v>
      </c>
      <c r="J151" s="145" t="s">
        <v>180</v>
      </c>
      <c r="K151" s="145"/>
      <c r="L151" s="145"/>
      <c r="M151" s="145"/>
      <c r="N151" s="145"/>
      <c r="O151" s="145"/>
      <c r="P151" s="146" t="n">
        <f aca="false">H16</f>
        <v>0</v>
      </c>
      <c r="Q151" s="44" t="n">
        <f aca="false">P151</f>
        <v>0</v>
      </c>
      <c r="S151" s="145" t="s">
        <v>180</v>
      </c>
      <c r="T151" s="145"/>
      <c r="U151" s="145"/>
      <c r="V151" s="145"/>
      <c r="W151" s="145"/>
      <c r="X151" s="145"/>
      <c r="Y151" s="146" t="n">
        <f aca="false">H16</f>
        <v>0</v>
      </c>
      <c r="Z151" s="44" t="n">
        <f aca="false">Y151</f>
        <v>0</v>
      </c>
      <c r="AB151" s="145" t="s">
        <v>180</v>
      </c>
      <c r="AC151" s="145"/>
      <c r="AD151" s="145"/>
      <c r="AE151" s="145"/>
      <c r="AF151" s="145"/>
      <c r="AG151" s="145"/>
      <c r="AH151" s="146" t="n">
        <f aca="false">H16</f>
        <v>0</v>
      </c>
      <c r="AI151" s="44" t="n">
        <f aca="false">AH151</f>
        <v>0</v>
      </c>
    </row>
    <row r="152" customFormat="false" ht="18.75" hidden="false" customHeight="false" outlineLevel="0" collapsed="false">
      <c r="A152" s="113" t="s">
        <v>181</v>
      </c>
      <c r="B152" s="113"/>
      <c r="C152" s="113"/>
      <c r="D152" s="113"/>
      <c r="E152" s="113" t="n">
        <v>0</v>
      </c>
      <c r="F152" s="113"/>
      <c r="G152" s="37" t="n">
        <v>0</v>
      </c>
      <c r="H152" s="37"/>
      <c r="J152" s="149" t="s">
        <v>181</v>
      </c>
      <c r="K152" s="149"/>
      <c r="L152" s="149"/>
      <c r="M152" s="149"/>
      <c r="N152" s="149"/>
      <c r="O152" s="149"/>
      <c r="P152" s="42"/>
      <c r="Q152" s="37"/>
      <c r="S152" s="113" t="s">
        <v>181</v>
      </c>
      <c r="T152" s="113"/>
      <c r="U152" s="113"/>
      <c r="V152" s="113"/>
      <c r="W152" s="113"/>
      <c r="X152" s="113"/>
      <c r="Y152" s="42"/>
      <c r="Z152" s="37"/>
      <c r="AB152" s="113" t="s">
        <v>181</v>
      </c>
      <c r="AC152" s="113"/>
      <c r="AD152" s="113"/>
      <c r="AE152" s="113"/>
      <c r="AF152" s="113"/>
      <c r="AG152" s="113"/>
      <c r="AH152" s="42"/>
      <c r="AI152" s="37"/>
    </row>
    <row r="153" customFormat="false" ht="18.75" hidden="false" customHeight="false" outlineLevel="0" collapsed="false">
      <c r="A153" s="150" t="s">
        <v>26</v>
      </c>
      <c r="B153" s="151" t="n">
        <v>0</v>
      </c>
      <c r="C153" s="151"/>
      <c r="D153" s="151"/>
      <c r="E153" s="151"/>
      <c r="F153" s="151"/>
      <c r="G153" s="44" t="n">
        <v>0</v>
      </c>
      <c r="H153" s="44" t="n">
        <v>0</v>
      </c>
      <c r="J153" s="150" t="s">
        <v>26</v>
      </c>
      <c r="K153" s="151" t="s">
        <v>182</v>
      </c>
      <c r="L153" s="151"/>
      <c r="M153" s="151"/>
      <c r="N153" s="151"/>
      <c r="O153" s="151"/>
      <c r="P153" s="146" t="n">
        <f aca="false">H18</f>
        <v>0</v>
      </c>
      <c r="Q153" s="44" t="n">
        <f aca="false">P153</f>
        <v>0</v>
      </c>
      <c r="S153" s="150" t="s">
        <v>26</v>
      </c>
      <c r="T153" s="151" t="s">
        <v>182</v>
      </c>
      <c r="U153" s="151"/>
      <c r="V153" s="151"/>
      <c r="W153" s="151"/>
      <c r="X153" s="151"/>
      <c r="Y153" s="146" t="n">
        <f aca="false">H18</f>
        <v>0</v>
      </c>
      <c r="Z153" s="44" t="n">
        <f aca="false">Y153</f>
        <v>0</v>
      </c>
      <c r="AB153" s="150" t="s">
        <v>26</v>
      </c>
      <c r="AC153" s="151" t="s">
        <v>182</v>
      </c>
      <c r="AD153" s="151"/>
      <c r="AE153" s="151"/>
      <c r="AF153" s="151"/>
      <c r="AG153" s="151"/>
      <c r="AH153" s="146" t="n">
        <f aca="false">H18</f>
        <v>0</v>
      </c>
      <c r="AI153" s="44" t="n">
        <f aca="false">AH153</f>
        <v>0</v>
      </c>
    </row>
    <row r="154" customFormat="false" ht="18.75" hidden="false" customHeight="false" outlineLevel="0" collapsed="false">
      <c r="A154" s="150" t="s">
        <v>28</v>
      </c>
      <c r="B154" s="151" t="s">
        <v>182</v>
      </c>
      <c r="C154" s="151"/>
      <c r="D154" s="151"/>
      <c r="E154" s="151"/>
      <c r="F154" s="151"/>
      <c r="G154" s="44" t="n">
        <v>0</v>
      </c>
      <c r="H154" s="44" t="n">
        <v>0</v>
      </c>
      <c r="I154" s="6" t="n">
        <f aca="false">(G151+G154+G155+G153)</f>
        <v>0</v>
      </c>
      <c r="J154" s="150" t="s">
        <v>28</v>
      </c>
      <c r="K154" s="151" t="s">
        <v>182</v>
      </c>
      <c r="L154" s="151"/>
      <c r="M154" s="151"/>
      <c r="N154" s="151"/>
      <c r="O154" s="151"/>
      <c r="P154" s="146" t="n">
        <f aca="false">H19</f>
        <v>0</v>
      </c>
      <c r="Q154" s="44" t="n">
        <f aca="false">P154</f>
        <v>0</v>
      </c>
      <c r="S154" s="150" t="s">
        <v>28</v>
      </c>
      <c r="T154" s="151" t="s">
        <v>182</v>
      </c>
      <c r="U154" s="151"/>
      <c r="V154" s="151"/>
      <c r="W154" s="151"/>
      <c r="X154" s="151"/>
      <c r="Y154" s="146" t="n">
        <f aca="false">H19</f>
        <v>0</v>
      </c>
      <c r="Z154" s="44" t="n">
        <f aca="false">Y154</f>
        <v>0</v>
      </c>
      <c r="AB154" s="150" t="s">
        <v>28</v>
      </c>
      <c r="AC154" s="151" t="s">
        <v>182</v>
      </c>
      <c r="AD154" s="151"/>
      <c r="AE154" s="151"/>
      <c r="AF154" s="151"/>
      <c r="AG154" s="151"/>
      <c r="AH154" s="146" t="n">
        <f aca="false">H19</f>
        <v>0</v>
      </c>
      <c r="AI154" s="44" t="n">
        <f aca="false">AH154</f>
        <v>0</v>
      </c>
    </row>
    <row r="155" customFormat="false" ht="18.75" hidden="false" customHeight="false" outlineLevel="0" collapsed="false">
      <c r="A155" s="152" t="s">
        <v>29</v>
      </c>
      <c r="B155" s="153" t="s">
        <v>182</v>
      </c>
      <c r="C155" s="153"/>
      <c r="D155" s="153"/>
      <c r="E155" s="153"/>
      <c r="F155" s="153"/>
      <c r="G155" s="44" t="n">
        <v>0</v>
      </c>
      <c r="H155" s="44" t="n">
        <v>0</v>
      </c>
      <c r="I155" s="6" t="n">
        <f aca="false">(H151+H153+H154+H155)</f>
        <v>0</v>
      </c>
      <c r="J155" s="152" t="s">
        <v>29</v>
      </c>
      <c r="K155" s="153" t="s">
        <v>182</v>
      </c>
      <c r="L155" s="153"/>
      <c r="M155" s="153"/>
      <c r="N155" s="153"/>
      <c r="O155" s="153"/>
      <c r="P155" s="146" t="n">
        <f aca="false">H20</f>
        <v>0</v>
      </c>
      <c r="Q155" s="44" t="n">
        <f aca="false">P155</f>
        <v>0</v>
      </c>
      <c r="S155" s="152" t="s">
        <v>29</v>
      </c>
      <c r="T155" s="153" t="s">
        <v>182</v>
      </c>
      <c r="U155" s="153"/>
      <c r="V155" s="153"/>
      <c r="W155" s="153"/>
      <c r="X155" s="153"/>
      <c r="Y155" s="146" t="n">
        <f aca="false">H20</f>
        <v>0</v>
      </c>
      <c r="Z155" s="44" t="n">
        <f aca="false">Y155</f>
        <v>0</v>
      </c>
      <c r="AB155" s="152" t="s">
        <v>29</v>
      </c>
      <c r="AC155" s="153" t="s">
        <v>182</v>
      </c>
      <c r="AD155" s="153"/>
      <c r="AE155" s="153"/>
      <c r="AF155" s="153"/>
      <c r="AG155" s="153"/>
      <c r="AH155" s="146" t="n">
        <f aca="false">H20</f>
        <v>0</v>
      </c>
      <c r="AI155" s="44" t="n">
        <f aca="false">AH155</f>
        <v>0</v>
      </c>
    </row>
    <row r="156" customFormat="false" ht="19.7" hidden="false" customHeight="false" outlineLevel="0" collapsed="false">
      <c r="A156" s="145" t="s">
        <v>183</v>
      </c>
      <c r="B156" s="145"/>
      <c r="C156" s="145"/>
      <c r="D156" s="145"/>
      <c r="E156" s="145"/>
      <c r="F156" s="145"/>
      <c r="G156" s="154" t="n">
        <f aca="false">G150-((G153*1.2)+(G154*1.2)+(G155*1.2)+(G151*1.2))</f>
        <v>16850.004</v>
      </c>
      <c r="H156" s="154" t="n">
        <f aca="false">H150-((H153*1.2)+(H154*1.2)+(H155*1.2)+(H151*1.2))</f>
        <v>19350</v>
      </c>
      <c r="J156" s="155" t="s">
        <v>183</v>
      </c>
      <c r="K156" s="155"/>
      <c r="L156" s="155"/>
      <c r="M156" s="155"/>
      <c r="N156" s="155"/>
      <c r="O156" s="155"/>
      <c r="P156" s="148" t="n">
        <f aca="false">P150-((P153*1.2)+(P154*1.2)+(P155*1.2)+(P151*1.2))</f>
        <v>0</v>
      </c>
      <c r="Q156" s="154" t="e">
        <f aca="false">Q150-((Q153*1.2)+(Q154*1.2)+(Q155*1.2)+(Q151*1.2))</f>
        <v>#VALUE!</v>
      </c>
      <c r="S156" s="145" t="s">
        <v>183</v>
      </c>
      <c r="T156" s="145"/>
      <c r="U156" s="145"/>
      <c r="V156" s="145"/>
      <c r="W156" s="145"/>
      <c r="X156" s="145"/>
      <c r="Y156" s="148" t="n">
        <f aca="false">Y150-((Y153*1.2)+(Y154*1.2)+(Y155*1.2)+(Y151*1.2))</f>
        <v>0</v>
      </c>
      <c r="Z156" s="154" t="e">
        <f aca="false">Z150-((Z153*1.2)+(Z154*1.2)+(Z155*1.2)+(Z151*1.2))</f>
        <v>#VALUE!</v>
      </c>
      <c r="AB156" s="145" t="s">
        <v>183</v>
      </c>
      <c r="AC156" s="145"/>
      <c r="AD156" s="145"/>
      <c r="AE156" s="145"/>
      <c r="AF156" s="145"/>
      <c r="AG156" s="145"/>
      <c r="AH156" s="148" t="n">
        <f aca="false">AH150-((AH153*1.2)+(AH154*1.2)+(AH155*1.2)+(AH151*1.2))</f>
        <v>0</v>
      </c>
      <c r="AI156" s="154" t="e">
        <f aca="false">AI150-((AI153*1.2)+(AI154*1.2)+(AI155*1.2)+(AI151*1.2))</f>
        <v>#VALUE!</v>
      </c>
    </row>
    <row r="157" customFormat="false" ht="18.75" hidden="false" customHeight="false" outlineLevel="0" collapsed="false">
      <c r="A157" s="145" t="s">
        <v>184</v>
      </c>
      <c r="B157" s="145"/>
      <c r="C157" s="145"/>
      <c r="D157" s="145"/>
      <c r="E157" s="145"/>
      <c r="F157" s="145"/>
      <c r="G157" s="146"/>
      <c r="H157" s="44" t="n">
        <f aca="false">((H156-G156)-(H146-G146))+((I155-I154)*0.2)</f>
        <v>2083.33</v>
      </c>
      <c r="I157" s="6" t="n">
        <f aca="false">(H157-G90)/1.2</f>
        <v>-11472.2283333333</v>
      </c>
      <c r="J157" s="145" t="s">
        <v>184</v>
      </c>
      <c r="K157" s="145"/>
      <c r="L157" s="145"/>
      <c r="M157" s="145"/>
      <c r="N157" s="145"/>
      <c r="O157" s="145"/>
      <c r="P157" s="146"/>
      <c r="Q157" s="44" t="e">
        <f aca="false">Q156-P156</f>
        <v>#VALUE!</v>
      </c>
      <c r="S157" s="145" t="s">
        <v>184</v>
      </c>
      <c r="T157" s="145"/>
      <c r="U157" s="145"/>
      <c r="V157" s="145"/>
      <c r="W157" s="145"/>
      <c r="X157" s="145"/>
      <c r="Y157" s="146"/>
      <c r="Z157" s="44" t="e">
        <f aca="false">Z156-Y156</f>
        <v>#VALUE!</v>
      </c>
      <c r="AB157" s="145" t="s">
        <v>184</v>
      </c>
      <c r="AC157" s="145"/>
      <c r="AD157" s="145"/>
      <c r="AE157" s="145"/>
      <c r="AF157" s="145"/>
      <c r="AG157" s="145"/>
      <c r="AH157" s="146"/>
      <c r="AI157" s="44" t="e">
        <f aca="false">AI156-AH156</f>
        <v>#VALUE!</v>
      </c>
    </row>
    <row r="158" customFormat="false" ht="18.75" hidden="false" customHeight="false" outlineLevel="0" collapsed="false">
      <c r="A158" s="35"/>
      <c r="B158" s="36"/>
      <c r="C158" s="36"/>
      <c r="D158" s="36"/>
      <c r="E158" s="27"/>
      <c r="F158" s="27"/>
      <c r="G158" s="27"/>
      <c r="H158" s="37"/>
      <c r="J158" s="35"/>
      <c r="K158" s="36"/>
      <c r="L158" s="36"/>
      <c r="M158" s="36"/>
      <c r="N158" s="27"/>
      <c r="O158" s="27"/>
      <c r="P158" s="27"/>
      <c r="Q158" s="37"/>
      <c r="S158" s="35"/>
      <c r="T158" s="36"/>
      <c r="U158" s="36"/>
      <c r="V158" s="36"/>
      <c r="W158" s="27"/>
      <c r="X158" s="27"/>
      <c r="Y158" s="27"/>
      <c r="Z158" s="37"/>
      <c r="AB158" s="35"/>
      <c r="AC158" s="36"/>
      <c r="AD158" s="36"/>
      <c r="AE158" s="36"/>
      <c r="AF158" s="27"/>
      <c r="AG158" s="27"/>
      <c r="AH158" s="27"/>
      <c r="AI158" s="37"/>
    </row>
    <row r="159" customFormat="false" ht="22.05" hidden="false" customHeight="false" outlineLevel="0" collapsed="false">
      <c r="A159" s="32" t="s">
        <v>185</v>
      </c>
      <c r="B159" s="32"/>
      <c r="C159" s="32"/>
      <c r="D159" s="32"/>
      <c r="E159" s="32"/>
      <c r="F159" s="32"/>
      <c r="G159" s="32"/>
      <c r="H159" s="32"/>
      <c r="J159" s="32" t="s">
        <v>185</v>
      </c>
      <c r="K159" s="32"/>
      <c r="L159" s="32"/>
      <c r="M159" s="32"/>
      <c r="N159" s="32"/>
      <c r="O159" s="32"/>
      <c r="P159" s="32"/>
      <c r="Q159" s="32"/>
      <c r="S159" s="32" t="s">
        <v>185</v>
      </c>
      <c r="T159" s="32"/>
      <c r="U159" s="32"/>
      <c r="V159" s="32"/>
      <c r="W159" s="32"/>
      <c r="X159" s="32"/>
      <c r="Y159" s="32"/>
      <c r="Z159" s="32"/>
      <c r="AB159" s="32" t="s">
        <v>185</v>
      </c>
      <c r="AC159" s="32"/>
      <c r="AD159" s="32"/>
      <c r="AE159" s="32"/>
      <c r="AF159" s="32"/>
      <c r="AG159" s="32"/>
      <c r="AH159" s="32"/>
      <c r="AI159" s="32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 t="s">
        <v>186</v>
      </c>
      <c r="B161" s="36"/>
      <c r="C161" s="36"/>
      <c r="D161" s="27"/>
      <c r="E161" s="109" t="n">
        <v>0</v>
      </c>
      <c r="F161" s="109"/>
      <c r="G161" s="109" t="n">
        <v>0</v>
      </c>
      <c r="H161" s="109"/>
      <c r="J161" s="35" t="s">
        <v>186</v>
      </c>
      <c r="K161" s="36"/>
      <c r="L161" s="36"/>
      <c r="M161" s="27"/>
      <c r="N161" s="109" t="n">
        <v>10000</v>
      </c>
      <c r="O161" s="109"/>
      <c r="P161" s="109" t="n">
        <v>5000</v>
      </c>
      <c r="Q161" s="109"/>
      <c r="S161" s="35" t="s">
        <v>186</v>
      </c>
      <c r="T161" s="36"/>
      <c r="U161" s="36"/>
      <c r="V161" s="27"/>
      <c r="W161" s="109" t="n">
        <v>10000</v>
      </c>
      <c r="X161" s="109"/>
      <c r="Y161" s="109" t="n">
        <v>5000</v>
      </c>
      <c r="Z161" s="109"/>
      <c r="AB161" s="35" t="s">
        <v>186</v>
      </c>
      <c r="AC161" s="36"/>
      <c r="AD161" s="36"/>
      <c r="AE161" s="27"/>
      <c r="AF161" s="109" t="n">
        <v>10000</v>
      </c>
      <c r="AG161" s="109"/>
      <c r="AH161" s="109" t="n">
        <v>5000</v>
      </c>
      <c r="AI161" s="109"/>
    </row>
    <row r="162" customFormat="false" ht="18.75" hidden="false" customHeight="false" outlineLevel="0" collapsed="false">
      <c r="A162" s="35" t="s">
        <v>187</v>
      </c>
      <c r="B162" s="36"/>
      <c r="C162" s="36"/>
      <c r="D162" s="27"/>
      <c r="E162" s="156" t="n">
        <f aca="false">G162</f>
        <v>0</v>
      </c>
      <c r="F162" s="156"/>
      <c r="G162" s="109" t="n">
        <v>0</v>
      </c>
      <c r="H162" s="109"/>
      <c r="J162" s="35" t="s">
        <v>187</v>
      </c>
      <c r="K162" s="36"/>
      <c r="L162" s="36"/>
      <c r="M162" s="27"/>
      <c r="N162" s="156" t="n">
        <f aca="false">P162</f>
        <v>7000</v>
      </c>
      <c r="O162" s="156"/>
      <c r="P162" s="109" t="n">
        <v>7000</v>
      </c>
      <c r="Q162" s="109"/>
      <c r="S162" s="35" t="s">
        <v>187</v>
      </c>
      <c r="T162" s="36"/>
      <c r="U162" s="36"/>
      <c r="V162" s="27"/>
      <c r="W162" s="156" t="n">
        <f aca="false">Y162</f>
        <v>7000</v>
      </c>
      <c r="X162" s="156"/>
      <c r="Y162" s="109" t="n">
        <v>7000</v>
      </c>
      <c r="Z162" s="109"/>
      <c r="AB162" s="35" t="s">
        <v>187</v>
      </c>
      <c r="AC162" s="36"/>
      <c r="AD162" s="36"/>
      <c r="AE162" s="27"/>
      <c r="AF162" s="156" t="n">
        <f aca="false">AH162</f>
        <v>7000</v>
      </c>
      <c r="AG162" s="156"/>
      <c r="AH162" s="109" t="n">
        <v>7000</v>
      </c>
      <c r="AI162" s="109"/>
    </row>
    <row r="163" customFormat="false" ht="18.75" hidden="false" customHeight="false" outlineLevel="0" collapsed="false">
      <c r="A163" s="35" t="s">
        <v>188</v>
      </c>
      <c r="B163" s="36"/>
      <c r="C163" s="36"/>
      <c r="D163" s="27"/>
      <c r="E163" s="156" t="n">
        <f aca="false">E161-E162</f>
        <v>0</v>
      </c>
      <c r="F163" s="156"/>
      <c r="G163" s="157" t="n">
        <f aca="false">G161-G162</f>
        <v>0</v>
      </c>
      <c r="H163" s="157"/>
      <c r="J163" s="35" t="s">
        <v>188</v>
      </c>
      <c r="K163" s="36"/>
      <c r="L163" s="36"/>
      <c r="M163" s="27"/>
      <c r="N163" s="156" t="n">
        <f aca="false">N161-N162</f>
        <v>3000</v>
      </c>
      <c r="O163" s="156"/>
      <c r="P163" s="157" t="n">
        <f aca="false">P161-P162</f>
        <v>-2000</v>
      </c>
      <c r="Q163" s="157"/>
      <c r="S163" s="35" t="s">
        <v>188</v>
      </c>
      <c r="T163" s="36"/>
      <c r="U163" s="36"/>
      <c r="V163" s="27"/>
      <c r="W163" s="156" t="n">
        <f aca="false">W161-W162</f>
        <v>3000</v>
      </c>
      <c r="X163" s="156"/>
      <c r="Y163" s="157" t="n">
        <f aca="false">Y161-Y162</f>
        <v>-2000</v>
      </c>
      <c r="Z163" s="157"/>
      <c r="AB163" s="35" t="s">
        <v>188</v>
      </c>
      <c r="AC163" s="36"/>
      <c r="AD163" s="36"/>
      <c r="AE163" s="27"/>
      <c r="AF163" s="156" t="n">
        <f aca="false">AF161-AF162</f>
        <v>3000</v>
      </c>
      <c r="AG163" s="156"/>
      <c r="AH163" s="157" t="n">
        <f aca="false">AH161-AH162</f>
        <v>-2000</v>
      </c>
      <c r="AI163" s="157"/>
    </row>
    <row r="164" customFormat="false" ht="18.75" hidden="false" customHeight="false" outlineLevel="0" collapsed="false">
      <c r="A164" s="35" t="s">
        <v>189</v>
      </c>
      <c r="B164" s="36"/>
      <c r="C164" s="36"/>
      <c r="D164" s="27"/>
      <c r="E164" s="156" t="n">
        <f aca="false">E163-G163</f>
        <v>0</v>
      </c>
      <c r="F164" s="156"/>
      <c r="G164" s="27"/>
      <c r="H164" s="37"/>
      <c r="J164" s="35" t="s">
        <v>189</v>
      </c>
      <c r="K164" s="36"/>
      <c r="L164" s="36"/>
      <c r="M164" s="27"/>
      <c r="N164" s="156" t="n">
        <f aca="false">N163-P163</f>
        <v>5000</v>
      </c>
      <c r="O164" s="156"/>
      <c r="P164" s="27"/>
      <c r="Q164" s="37"/>
      <c r="S164" s="35" t="s">
        <v>189</v>
      </c>
      <c r="T164" s="36"/>
      <c r="U164" s="36"/>
      <c r="V164" s="27"/>
      <c r="W164" s="156" t="n">
        <f aca="false">W163-Y163</f>
        <v>5000</v>
      </c>
      <c r="X164" s="156"/>
      <c r="Y164" s="27"/>
      <c r="Z164" s="37"/>
      <c r="AB164" s="35" t="s">
        <v>189</v>
      </c>
      <c r="AC164" s="36"/>
      <c r="AD164" s="36"/>
      <c r="AE164" s="27"/>
      <c r="AF164" s="156" t="n">
        <f aca="false">AF163-AH163</f>
        <v>5000</v>
      </c>
      <c r="AG164" s="156"/>
      <c r="AH164" s="27"/>
      <c r="AI164" s="37"/>
    </row>
    <row r="165" customFormat="false" ht="18.75" hidden="false" customHeight="false" outlineLevel="0" collapsed="false">
      <c r="A165" s="35" t="s">
        <v>190</v>
      </c>
      <c r="B165" s="36"/>
      <c r="C165" s="36"/>
      <c r="D165" s="27"/>
      <c r="E165" s="36"/>
      <c r="F165" s="27"/>
      <c r="G165" s="27"/>
      <c r="H165" s="44" t="n">
        <v>1150</v>
      </c>
      <c r="J165" s="35"/>
      <c r="K165" s="36"/>
      <c r="L165" s="36"/>
      <c r="M165" s="27"/>
      <c r="N165" s="36"/>
      <c r="O165" s="27"/>
      <c r="P165" s="27"/>
      <c r="Q165" s="37"/>
      <c r="S165" s="35"/>
      <c r="T165" s="36"/>
      <c r="U165" s="36"/>
      <c r="V165" s="27"/>
      <c r="W165" s="36"/>
      <c r="X165" s="27"/>
      <c r="Y165" s="27"/>
      <c r="Z165" s="37"/>
      <c r="AB165" s="35"/>
      <c r="AC165" s="36"/>
      <c r="AD165" s="36"/>
      <c r="AE165" s="27"/>
      <c r="AF165" s="36"/>
      <c r="AG165" s="27"/>
      <c r="AH165" s="27"/>
      <c r="AI165" s="37"/>
    </row>
    <row r="166" customFormat="false" ht="18.75" hidden="false" customHeight="false" outlineLevel="0" collapsed="false">
      <c r="A166" s="29" t="s">
        <v>191</v>
      </c>
      <c r="B166" s="30"/>
      <c r="C166" s="30"/>
      <c r="D166" s="79"/>
      <c r="E166" s="30"/>
      <c r="F166" s="79"/>
      <c r="G166" s="158" t="n">
        <f aca="false">B120</f>
        <v>0</v>
      </c>
      <c r="H166" s="158"/>
      <c r="J166" s="29" t="s">
        <v>191</v>
      </c>
      <c r="K166" s="30"/>
      <c r="L166" s="30"/>
      <c r="M166" s="79"/>
      <c r="N166" s="30"/>
      <c r="O166" s="79"/>
      <c r="P166" s="158" t="n">
        <f aca="false">K120</f>
        <v>1000</v>
      </c>
      <c r="Q166" s="158"/>
      <c r="S166" s="29" t="s">
        <v>191</v>
      </c>
      <c r="T166" s="30"/>
      <c r="U166" s="30"/>
      <c r="V166" s="79"/>
      <c r="W166" s="30"/>
      <c r="X166" s="79"/>
      <c r="Y166" s="158" t="n">
        <f aca="false">T120</f>
        <v>1000</v>
      </c>
      <c r="Z166" s="158"/>
      <c r="AB166" s="29" t="s">
        <v>191</v>
      </c>
      <c r="AC166" s="30"/>
      <c r="AD166" s="30"/>
      <c r="AE166" s="79"/>
      <c r="AF166" s="30"/>
      <c r="AG166" s="79"/>
      <c r="AH166" s="158" t="n">
        <f aca="false">AC120</f>
        <v>1000</v>
      </c>
      <c r="AI166" s="158"/>
    </row>
    <row r="167" customFormat="false" ht="19.7" hidden="false" customHeight="false" outlineLevel="0" collapsed="false">
      <c r="A167" s="159" t="s">
        <v>192</v>
      </c>
      <c r="B167" s="36"/>
      <c r="C167" s="36"/>
      <c r="D167" s="27"/>
      <c r="E167" s="36"/>
      <c r="F167" s="27"/>
      <c r="G167" s="160" t="n">
        <f aca="false">H156-G163-G166+H165</f>
        <v>20500</v>
      </c>
      <c r="H167" s="160"/>
      <c r="J167" s="159" t="s">
        <v>192</v>
      </c>
      <c r="K167" s="36"/>
      <c r="L167" s="36"/>
      <c r="M167" s="27"/>
      <c r="N167" s="36"/>
      <c r="O167" s="27"/>
      <c r="P167" s="160" t="e">
        <f aca="false">Q156-P163-P166</f>
        <v>#VALUE!</v>
      </c>
      <c r="Q167" s="160"/>
      <c r="S167" s="159" t="s">
        <v>192</v>
      </c>
      <c r="T167" s="36"/>
      <c r="U167" s="36"/>
      <c r="V167" s="27"/>
      <c r="W167" s="36"/>
      <c r="X167" s="27"/>
      <c r="Y167" s="160" t="e">
        <f aca="false">Z156-Y163-Y166</f>
        <v>#VALUE!</v>
      </c>
      <c r="Z167" s="160"/>
      <c r="AB167" s="159" t="s">
        <v>192</v>
      </c>
      <c r="AC167" s="36"/>
      <c r="AD167" s="36"/>
      <c r="AE167" s="27"/>
      <c r="AF167" s="36"/>
      <c r="AG167" s="27"/>
      <c r="AH167" s="160" t="e">
        <f aca="false">AI156-AH163-AH166</f>
        <v>#VALUE!</v>
      </c>
      <c r="AI167" s="160"/>
    </row>
    <row r="168" customFormat="false" ht="18.75" hidden="false" customHeight="false" outlineLevel="0" collapsed="false">
      <c r="A168" s="60" t="s">
        <v>66</v>
      </c>
      <c r="B168" s="61"/>
      <c r="C168" s="61"/>
      <c r="D168" s="101"/>
      <c r="E168" s="61"/>
      <c r="F168" s="101"/>
      <c r="G168" s="161" t="n">
        <f aca="false">B123</f>
        <v>199.991666666667</v>
      </c>
      <c r="H168" s="161"/>
      <c r="J168" s="60" t="s">
        <v>66</v>
      </c>
      <c r="K168" s="61"/>
      <c r="L168" s="61"/>
      <c r="M168" s="101"/>
      <c r="N168" s="61"/>
      <c r="O168" s="101"/>
      <c r="P168" s="161" t="n">
        <f aca="false">K123</f>
        <v>239.99</v>
      </c>
      <c r="Q168" s="161"/>
      <c r="S168" s="60" t="s">
        <v>66</v>
      </c>
      <c r="T168" s="61"/>
      <c r="U168" s="61"/>
      <c r="V168" s="101"/>
      <c r="W168" s="61"/>
      <c r="X168" s="101"/>
      <c r="Y168" s="161" t="n">
        <f aca="false">T123</f>
        <v>199.99</v>
      </c>
      <c r="Z168" s="161"/>
      <c r="AB168" s="60" t="s">
        <v>66</v>
      </c>
      <c r="AC168" s="61"/>
      <c r="AD168" s="61"/>
      <c r="AE168" s="101"/>
      <c r="AF168" s="61"/>
      <c r="AG168" s="101"/>
      <c r="AH168" s="161" t="n">
        <f aca="false">AC123</f>
        <v>239.99</v>
      </c>
      <c r="AI168" s="161"/>
    </row>
    <row r="169" customFormat="false" ht="18.75" hidden="false" customHeight="false" outlineLevel="0" collapsed="false">
      <c r="A169" s="35"/>
      <c r="B169" s="36"/>
      <c r="C169" s="36"/>
      <c r="D169" s="36"/>
      <c r="E169" s="27"/>
      <c r="F169" s="27"/>
      <c r="G169" s="27"/>
      <c r="H169" s="37"/>
      <c r="J169" s="35"/>
      <c r="K169" s="36"/>
      <c r="L169" s="36"/>
      <c r="M169" s="36"/>
      <c r="N169" s="27"/>
      <c r="O169" s="27"/>
      <c r="P169" s="27"/>
      <c r="Q169" s="37"/>
      <c r="S169" s="35"/>
      <c r="T169" s="36"/>
      <c r="U169" s="36"/>
      <c r="V169" s="36"/>
      <c r="W169" s="27"/>
      <c r="X169" s="27"/>
      <c r="Y169" s="27"/>
      <c r="Z169" s="37"/>
      <c r="AB169" s="35"/>
      <c r="AC169" s="36"/>
      <c r="AD169" s="36"/>
      <c r="AE169" s="36"/>
      <c r="AF169" s="27"/>
      <c r="AG169" s="27"/>
      <c r="AH169" s="27"/>
      <c r="AI169" s="37"/>
    </row>
    <row r="170" customFormat="false" ht="18.75" hidden="false" customHeight="false" outlineLevel="0" collapsed="false">
      <c r="A170" s="35"/>
      <c r="B170" s="36"/>
      <c r="C170" s="36"/>
      <c r="D170" s="36"/>
      <c r="E170" s="27" t="n">
        <v>7200</v>
      </c>
      <c r="F170" s="27"/>
      <c r="G170" s="27"/>
      <c r="H170" s="37"/>
      <c r="J170" s="35"/>
      <c r="K170" s="36"/>
      <c r="L170" s="36"/>
      <c r="M170" s="36"/>
      <c r="N170" s="27"/>
      <c r="O170" s="27"/>
      <c r="P170" s="27"/>
      <c r="Q170" s="37"/>
      <c r="S170" s="35"/>
      <c r="T170" s="36"/>
      <c r="U170" s="36"/>
      <c r="V170" s="36"/>
      <c r="W170" s="27"/>
      <c r="X170" s="27"/>
      <c r="Y170" s="27"/>
      <c r="Z170" s="37"/>
      <c r="AB170" s="35"/>
      <c r="AC170" s="36"/>
      <c r="AD170" s="36"/>
      <c r="AE170" s="36"/>
      <c r="AF170" s="27"/>
      <c r="AG170" s="27"/>
      <c r="AH170" s="27"/>
      <c r="AI170" s="37"/>
    </row>
    <row r="171" customFormat="false" ht="22.05" hidden="false" customHeight="false" outlineLevel="0" collapsed="false">
      <c r="A171" s="32" t="s">
        <v>193</v>
      </c>
      <c r="B171" s="32"/>
      <c r="C171" s="32"/>
      <c r="D171" s="32"/>
      <c r="E171" s="32"/>
      <c r="F171" s="32"/>
      <c r="G171" s="32"/>
      <c r="H171" s="32"/>
      <c r="J171" s="32" t="s">
        <v>193</v>
      </c>
      <c r="K171" s="32"/>
      <c r="L171" s="32"/>
      <c r="M171" s="32"/>
      <c r="N171" s="32"/>
      <c r="O171" s="32"/>
      <c r="P171" s="32"/>
      <c r="Q171" s="32"/>
      <c r="S171" s="32" t="s">
        <v>193</v>
      </c>
      <c r="T171" s="32"/>
      <c r="U171" s="32"/>
      <c r="V171" s="32"/>
      <c r="W171" s="32"/>
      <c r="X171" s="32"/>
      <c r="Y171" s="32"/>
      <c r="Z171" s="32"/>
      <c r="AB171" s="32" t="s">
        <v>193</v>
      </c>
      <c r="AC171" s="32"/>
      <c r="AD171" s="32"/>
      <c r="AE171" s="32"/>
      <c r="AF171" s="32"/>
      <c r="AG171" s="32"/>
      <c r="AH171" s="32"/>
      <c r="AI171" s="32"/>
    </row>
    <row r="172" customFormat="false" ht="18.75" hidden="false" customHeight="false" outlineLevel="0" collapsed="false">
      <c r="A172" s="35"/>
      <c r="B172" s="36"/>
      <c r="C172" s="36"/>
      <c r="D172" s="36"/>
      <c r="E172" s="27"/>
      <c r="F172" s="27"/>
      <c r="G172" s="27"/>
      <c r="H172" s="37"/>
      <c r="J172" s="35"/>
      <c r="K172" s="36"/>
      <c r="L172" s="36"/>
      <c r="M172" s="36"/>
      <c r="N172" s="27"/>
      <c r="O172" s="27"/>
      <c r="P172" s="27"/>
      <c r="Q172" s="37"/>
      <c r="S172" s="35"/>
      <c r="T172" s="36"/>
      <c r="U172" s="36"/>
      <c r="V172" s="36"/>
      <c r="W172" s="27"/>
      <c r="X172" s="27"/>
      <c r="Y172" s="27"/>
      <c r="Z172" s="37"/>
      <c r="AB172" s="35"/>
      <c r="AC172" s="36"/>
      <c r="AD172" s="36"/>
      <c r="AE172" s="36"/>
      <c r="AF172" s="27"/>
      <c r="AG172" s="27"/>
      <c r="AH172" s="27"/>
      <c r="AI172" s="37"/>
    </row>
    <row r="173" customFormat="false" ht="18.75" hidden="false" customHeight="false" outlineLevel="0" collapsed="false">
      <c r="A173" s="35" t="s">
        <v>194</v>
      </c>
      <c r="B173" s="162" t="n">
        <v>0</v>
      </c>
      <c r="C173" s="162"/>
      <c r="D173" s="36"/>
      <c r="E173" s="27"/>
      <c r="F173" s="27"/>
      <c r="G173" s="27"/>
      <c r="H173" s="37"/>
      <c r="J173" s="35" t="s">
        <v>194</v>
      </c>
      <c r="K173" s="162" t="n">
        <v>0</v>
      </c>
      <c r="L173" s="162"/>
      <c r="M173" s="36"/>
      <c r="N173" s="27"/>
      <c r="O173" s="27"/>
      <c r="P173" s="27"/>
      <c r="Q173" s="37"/>
      <c r="S173" s="35" t="s">
        <v>194</v>
      </c>
      <c r="T173" s="162" t="n">
        <v>0</v>
      </c>
      <c r="U173" s="162"/>
      <c r="V173" s="36"/>
      <c r="W173" s="27"/>
      <c r="X173" s="27"/>
      <c r="Y173" s="27"/>
      <c r="Z173" s="37"/>
      <c r="AB173" s="35" t="s">
        <v>194</v>
      </c>
      <c r="AC173" s="162" t="n">
        <v>0</v>
      </c>
      <c r="AD173" s="162"/>
      <c r="AE173" s="36"/>
      <c r="AF173" s="27"/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36"/>
      <c r="E174" s="27"/>
      <c r="F174" s="27"/>
      <c r="G174" s="27"/>
      <c r="H174" s="37"/>
      <c r="J174" s="35"/>
      <c r="K174" s="36"/>
      <c r="L174" s="36"/>
      <c r="M174" s="36"/>
      <c r="N174" s="27"/>
      <c r="O174" s="27"/>
      <c r="P174" s="27"/>
      <c r="Q174" s="37"/>
      <c r="S174" s="35"/>
      <c r="T174" s="36"/>
      <c r="U174" s="36"/>
      <c r="V174" s="36"/>
      <c r="W174" s="27"/>
      <c r="X174" s="27"/>
      <c r="Y174" s="27"/>
      <c r="Z174" s="37"/>
      <c r="AB174" s="35"/>
      <c r="AC174" s="36"/>
      <c r="AD174" s="36"/>
      <c r="AE174" s="36"/>
      <c r="AF174" s="27"/>
      <c r="AG174" s="27"/>
      <c r="AH174" s="27"/>
      <c r="AI174" s="37"/>
    </row>
    <row r="175" customFormat="false" ht="18.75" hidden="false" customHeight="false" outlineLevel="0" collapsed="false">
      <c r="A175" s="163" t="s">
        <v>195</v>
      </c>
      <c r="B175" s="164" t="s">
        <v>196</v>
      </c>
      <c r="C175" s="164"/>
      <c r="D175" s="164"/>
      <c r="E175" s="164" t="s">
        <v>197</v>
      </c>
      <c r="F175" s="27"/>
      <c r="G175" s="27" t="s">
        <v>198</v>
      </c>
      <c r="H175" s="37"/>
      <c r="J175" s="163" t="s">
        <v>195</v>
      </c>
      <c r="K175" s="164" t="s">
        <v>196</v>
      </c>
      <c r="L175" s="164"/>
      <c r="M175" s="164"/>
      <c r="N175" s="164" t="s">
        <v>197</v>
      </c>
      <c r="O175" s="27"/>
      <c r="P175" s="27"/>
      <c r="Q175" s="37"/>
      <c r="S175" s="163" t="s">
        <v>195</v>
      </c>
      <c r="T175" s="164" t="s">
        <v>196</v>
      </c>
      <c r="U175" s="164"/>
      <c r="V175" s="164"/>
      <c r="W175" s="164" t="s">
        <v>197</v>
      </c>
      <c r="X175" s="27"/>
      <c r="Y175" s="27"/>
      <c r="Z175" s="37"/>
      <c r="AB175" s="163" t="s">
        <v>195</v>
      </c>
      <c r="AC175" s="164" t="s">
        <v>196</v>
      </c>
      <c r="AD175" s="164"/>
      <c r="AE175" s="164"/>
      <c r="AF175" s="164" t="s">
        <v>197</v>
      </c>
      <c r="AG175" s="27"/>
      <c r="AH175" s="27"/>
      <c r="AI175" s="37"/>
    </row>
    <row r="176" customFormat="false" ht="18.75" hidden="false" customHeight="false" outlineLevel="0" collapsed="false">
      <c r="A176" s="165" t="n">
        <f aca="false">B104</f>
        <v>918.291503442686</v>
      </c>
      <c r="B176" s="166" t="n">
        <f aca="false">B103</f>
        <v>0</v>
      </c>
      <c r="C176" s="164"/>
      <c r="D176" s="164"/>
      <c r="E176" s="166" t="n">
        <f aca="false">B105</f>
        <v>918.291503442686</v>
      </c>
      <c r="F176" s="27"/>
      <c r="G176" s="27" t="n">
        <f aca="false">ROUND(G104,2)</f>
        <v>854.58</v>
      </c>
      <c r="H176" s="37"/>
      <c r="J176" s="165" t="e">
        <f aca="false">K104</f>
        <v>#VALUE!</v>
      </c>
      <c r="K176" s="166" t="n">
        <f aca="false">K103</f>
        <v>0</v>
      </c>
      <c r="L176" s="164"/>
      <c r="M176" s="164"/>
      <c r="N176" s="166" t="e">
        <f aca="false">K105</f>
        <v>#VALUE!</v>
      </c>
      <c r="O176" s="27"/>
      <c r="P176" s="27"/>
      <c r="Q176" s="37"/>
      <c r="S176" s="165" t="e">
        <f aca="false">T104</f>
        <v>#VALUE!</v>
      </c>
      <c r="T176" s="166" t="n">
        <f aca="false">T103</f>
        <v>0</v>
      </c>
      <c r="U176" s="164"/>
      <c r="V176" s="164"/>
      <c r="W176" s="166" t="e">
        <f aca="false">T105</f>
        <v>#VALUE!</v>
      </c>
      <c r="X176" s="27"/>
      <c r="Y176" s="27"/>
      <c r="Z176" s="37"/>
      <c r="AB176" s="165" t="e">
        <f aca="false">AC104</f>
        <v>#VALUE!</v>
      </c>
      <c r="AC176" s="166" t="n">
        <f aca="false">AC103</f>
        <v>0</v>
      </c>
      <c r="AD176" s="164"/>
      <c r="AE176" s="164"/>
      <c r="AF176" s="166" t="e">
        <f aca="false">AC105</f>
        <v>#VALUE!</v>
      </c>
      <c r="AG176" s="27"/>
      <c r="AH176" s="27"/>
      <c r="AI176" s="37"/>
    </row>
    <row r="177" customFormat="false" ht="18.75" hidden="false" customHeight="false" outlineLevel="0" collapsed="false">
      <c r="A177" s="35"/>
      <c r="B177" s="36"/>
      <c r="C177" s="36"/>
      <c r="D177" s="36"/>
      <c r="E177" s="27"/>
      <c r="F177" s="27"/>
      <c r="G177" s="27"/>
      <c r="H177" s="37"/>
      <c r="J177" s="35"/>
      <c r="K177" s="36"/>
      <c r="L177" s="36"/>
      <c r="M177" s="36"/>
      <c r="N177" s="27"/>
      <c r="O177" s="27"/>
      <c r="P177" s="27"/>
      <c r="Q177" s="37"/>
      <c r="S177" s="35"/>
      <c r="T177" s="36"/>
      <c r="U177" s="36"/>
      <c r="V177" s="36"/>
      <c r="W177" s="27"/>
      <c r="X177" s="27"/>
      <c r="Y177" s="27"/>
      <c r="Z177" s="37"/>
      <c r="AB177" s="35"/>
      <c r="AC177" s="36"/>
      <c r="AD177" s="36"/>
      <c r="AE177" s="36"/>
      <c r="AF177" s="27"/>
      <c r="AG177" s="27"/>
      <c r="AH177" s="27"/>
      <c r="AI177" s="37"/>
    </row>
    <row r="178" customFormat="false" ht="18.75" hidden="false" customHeight="false" outlineLevel="0" collapsed="false">
      <c r="A178" s="35" t="s">
        <v>95</v>
      </c>
      <c r="B178" s="36" t="s">
        <v>96</v>
      </c>
      <c r="C178" s="36"/>
      <c r="D178" s="27"/>
      <c r="E178" s="36" t="s">
        <v>199</v>
      </c>
      <c r="F178" s="27"/>
      <c r="G178" s="27"/>
      <c r="H178" s="37"/>
      <c r="J178" s="35" t="s">
        <v>95</v>
      </c>
      <c r="K178" s="36" t="s">
        <v>96</v>
      </c>
      <c r="L178" s="36"/>
      <c r="M178" s="27"/>
      <c r="N178" s="36" t="s">
        <v>199</v>
      </c>
      <c r="O178" s="27"/>
      <c r="P178" s="27"/>
      <c r="Q178" s="37"/>
      <c r="S178" s="35" t="s">
        <v>95</v>
      </c>
      <c r="T178" s="36" t="s">
        <v>96</v>
      </c>
      <c r="U178" s="36"/>
      <c r="V178" s="27"/>
      <c r="W178" s="36" t="s">
        <v>199</v>
      </c>
      <c r="X178" s="27"/>
      <c r="Y178" s="27"/>
      <c r="Z178" s="37"/>
      <c r="AB178" s="35" t="s">
        <v>95</v>
      </c>
      <c r="AC178" s="36" t="s">
        <v>96</v>
      </c>
      <c r="AD178" s="36"/>
      <c r="AE178" s="27"/>
      <c r="AF178" s="36" t="s">
        <v>199</v>
      </c>
      <c r="AG178" s="27"/>
      <c r="AH178" s="27"/>
      <c r="AI178" s="37"/>
    </row>
    <row r="179" customFormat="false" ht="18.75" hidden="false" customHeight="false" outlineLevel="0" collapsed="false">
      <c r="A179" s="167" t="str">
        <f aca="false">K29</f>
        <v>12</v>
      </c>
      <c r="B179" s="168" t="str">
        <f aca="false">K30</f>
        <v>5000</v>
      </c>
      <c r="C179" s="169"/>
      <c r="D179" s="27"/>
      <c r="E179" s="170" t="n">
        <f aca="false">B91</f>
        <v>7200</v>
      </c>
      <c r="F179" s="27"/>
      <c r="G179" s="27"/>
      <c r="H179" s="37"/>
      <c r="J179" s="167" t="str">
        <f aca="false">K29</f>
        <v>12</v>
      </c>
      <c r="K179" s="168" t="str">
        <f aca="false">K30</f>
        <v>5000</v>
      </c>
      <c r="L179" s="169"/>
      <c r="M179" s="27"/>
      <c r="N179" s="170" t="str">
        <f aca="false">IF(A120="YES",A40,0)</f>
        <v>12</v>
      </c>
      <c r="O179" s="27"/>
      <c r="P179" s="27"/>
      <c r="Q179" s="37"/>
      <c r="S179" s="167" t="str">
        <f aca="false">K29</f>
        <v>12</v>
      </c>
      <c r="T179" s="168" t="str">
        <f aca="false">K30</f>
        <v>5000</v>
      </c>
      <c r="U179" s="169"/>
      <c r="V179" s="27"/>
      <c r="W179" s="170" t="str">
        <f aca="false">IF(A120="YES",A40,0)</f>
        <v>12</v>
      </c>
      <c r="X179" s="27"/>
      <c r="Y179" s="27"/>
      <c r="Z179" s="37"/>
      <c r="AB179" s="167" t="str">
        <f aca="false">K29</f>
        <v>12</v>
      </c>
      <c r="AC179" s="168" t="str">
        <f aca="false">K30</f>
        <v>5000</v>
      </c>
      <c r="AD179" s="169"/>
      <c r="AE179" s="27"/>
      <c r="AF179" s="170" t="str">
        <f aca="false">IF(A120="YES",A40,0)</f>
        <v>12</v>
      </c>
      <c r="AG179" s="27"/>
      <c r="AH179" s="27"/>
      <c r="AI179" s="3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200</v>
      </c>
      <c r="B181" s="36" t="s">
        <v>201</v>
      </c>
      <c r="C181" s="36"/>
      <c r="D181" s="27"/>
      <c r="E181" s="36" t="s">
        <v>202</v>
      </c>
      <c r="F181" s="27"/>
      <c r="G181" s="27"/>
      <c r="H181" s="37"/>
      <c r="J181" s="35" t="s">
        <v>200</v>
      </c>
      <c r="K181" s="36" t="s">
        <v>201</v>
      </c>
      <c r="L181" s="36"/>
      <c r="M181" s="27"/>
      <c r="N181" s="36" t="s">
        <v>202</v>
      </c>
      <c r="O181" s="27"/>
      <c r="P181" s="27"/>
      <c r="Q181" s="37"/>
      <c r="S181" s="35" t="s">
        <v>200</v>
      </c>
      <c r="T181" s="36" t="s">
        <v>201</v>
      </c>
      <c r="U181" s="36"/>
      <c r="V181" s="27"/>
      <c r="W181" s="36" t="s">
        <v>202</v>
      </c>
      <c r="X181" s="27"/>
      <c r="Y181" s="27"/>
      <c r="Z181" s="37"/>
      <c r="AB181" s="35" t="s">
        <v>200</v>
      </c>
      <c r="AC181" s="36" t="s">
        <v>201</v>
      </c>
      <c r="AD181" s="36"/>
      <c r="AE181" s="27"/>
      <c r="AF181" s="36" t="s">
        <v>202</v>
      </c>
      <c r="AG181" s="27"/>
      <c r="AH181" s="27"/>
      <c r="AI181" s="37"/>
    </row>
    <row r="182" customFormat="false" ht="18.75" hidden="false" customHeight="false" outlineLevel="0" collapsed="false">
      <c r="A182" s="171" t="n">
        <f aca="false">H150-H146-H148-H149</f>
        <v>16125</v>
      </c>
      <c r="B182" s="42" t="n">
        <f aca="false">H146</f>
        <v>3225</v>
      </c>
      <c r="C182" s="47"/>
      <c r="D182" s="27"/>
      <c r="E182" s="170" t="n">
        <f aca="false">H148+H149</f>
        <v>0</v>
      </c>
      <c r="F182" s="27"/>
      <c r="G182" s="27"/>
      <c r="H182" s="37"/>
      <c r="J182" s="171" t="e">
        <f aca="false">Q150-Q146-Q148-Q149</f>
        <v>#VALUE!</v>
      </c>
      <c r="K182" s="42" t="e">
        <f aca="false">Q146</f>
        <v>#VALUE!</v>
      </c>
      <c r="L182" s="47"/>
      <c r="M182" s="27"/>
      <c r="N182" s="170" t="n">
        <f aca="false">Q148+Q149</f>
        <v>55</v>
      </c>
      <c r="O182" s="27"/>
      <c r="P182" s="27"/>
      <c r="Q182" s="37"/>
      <c r="S182" s="171" t="e">
        <f aca="false">Z150-Z146-Z148-Z149</f>
        <v>#VALUE!</v>
      </c>
      <c r="T182" s="42" t="e">
        <f aca="false">Z146</f>
        <v>#VALUE!</v>
      </c>
      <c r="U182" s="47"/>
      <c r="V182" s="27"/>
      <c r="W182" s="170" t="n">
        <f aca="false">Z148+Z149</f>
        <v>55</v>
      </c>
      <c r="X182" s="27"/>
      <c r="Y182" s="27"/>
      <c r="Z182" s="37"/>
      <c r="AB182" s="171" t="e">
        <f aca="false">AI150-AI146-AI148-AI149</f>
        <v>#VALUE!</v>
      </c>
      <c r="AC182" s="42" t="e">
        <f aca="false">AI146</f>
        <v>#VALUE!</v>
      </c>
      <c r="AD182" s="47"/>
      <c r="AE182" s="27"/>
      <c r="AF182" s="170" t="n">
        <f aca="false">AI148+AI149</f>
        <v>55</v>
      </c>
      <c r="AG182" s="27"/>
      <c r="AH182" s="27"/>
      <c r="AI182" s="3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203</v>
      </c>
      <c r="B184" s="36" t="s">
        <v>149</v>
      </c>
      <c r="C184" s="36"/>
      <c r="D184" s="27"/>
      <c r="E184" s="36" t="s">
        <v>150</v>
      </c>
      <c r="F184" s="27"/>
      <c r="G184" s="27"/>
      <c r="H184" s="37"/>
      <c r="J184" s="35" t="s">
        <v>203</v>
      </c>
      <c r="K184" s="36" t="s">
        <v>149</v>
      </c>
      <c r="L184" s="36"/>
      <c r="M184" s="27"/>
      <c r="N184" s="36" t="s">
        <v>150</v>
      </c>
      <c r="O184" s="27"/>
      <c r="P184" s="27"/>
      <c r="Q184" s="37"/>
      <c r="S184" s="35" t="s">
        <v>203</v>
      </c>
      <c r="T184" s="36" t="s">
        <v>149</v>
      </c>
      <c r="U184" s="36"/>
      <c r="V184" s="27"/>
      <c r="W184" s="36" t="s">
        <v>150</v>
      </c>
      <c r="X184" s="27"/>
      <c r="Y184" s="27"/>
      <c r="Z184" s="37"/>
      <c r="AB184" s="35" t="s">
        <v>203</v>
      </c>
      <c r="AC184" s="36" t="s">
        <v>149</v>
      </c>
      <c r="AD184" s="36"/>
      <c r="AE184" s="27"/>
      <c r="AF184" s="36" t="s">
        <v>150</v>
      </c>
      <c r="AG184" s="27"/>
      <c r="AH184" s="27"/>
      <c r="AI184" s="37"/>
    </row>
    <row r="185" customFormat="false" ht="18.75" hidden="false" customHeight="false" outlineLevel="0" collapsed="false">
      <c r="A185" s="171" t="n">
        <f aca="false">H150</f>
        <v>19350</v>
      </c>
      <c r="B185" s="42" t="n">
        <f aca="false">B120</f>
        <v>0</v>
      </c>
      <c r="C185" s="42"/>
      <c r="D185" s="27"/>
      <c r="E185" s="42" t="n">
        <f aca="false">E120</f>
        <v>0</v>
      </c>
      <c r="F185" s="27"/>
      <c r="G185" s="27"/>
      <c r="H185" s="107"/>
      <c r="J185" s="171" t="e">
        <f aca="false">Q150</f>
        <v>#VALUE!</v>
      </c>
      <c r="K185" s="42" t="n">
        <f aca="false">K120</f>
        <v>1000</v>
      </c>
      <c r="L185" s="42"/>
      <c r="M185" s="27"/>
      <c r="N185" s="42" t="n">
        <f aca="false">N120</f>
        <v>0</v>
      </c>
      <c r="O185" s="27"/>
      <c r="P185" s="27"/>
      <c r="Q185" s="107"/>
      <c r="S185" s="171" t="e">
        <f aca="false">Z150</f>
        <v>#VALUE!</v>
      </c>
      <c r="T185" s="42" t="n">
        <f aca="false">T120</f>
        <v>1000</v>
      </c>
      <c r="U185" s="42"/>
      <c r="V185" s="27"/>
      <c r="W185" s="42" t="n">
        <f aca="false">W120</f>
        <v>0</v>
      </c>
      <c r="X185" s="27"/>
      <c r="Y185" s="27"/>
      <c r="Z185" s="107"/>
      <c r="AB185" s="171" t="e">
        <f aca="false">AI150</f>
        <v>#VALUE!</v>
      </c>
      <c r="AC185" s="42" t="n">
        <f aca="false">AC120</f>
        <v>1000</v>
      </c>
      <c r="AD185" s="42"/>
      <c r="AE185" s="27"/>
      <c r="AF185" s="42" t="n">
        <f aca="false">AF120</f>
        <v>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27"/>
      <c r="E186" s="36"/>
      <c r="F186" s="27"/>
      <c r="G186" s="27"/>
      <c r="H186" s="37"/>
      <c r="J186" s="35"/>
      <c r="K186" s="36"/>
      <c r="L186" s="36"/>
      <c r="M186" s="27"/>
      <c r="N186" s="36"/>
      <c r="O186" s="27"/>
      <c r="P186" s="27"/>
      <c r="Q186" s="37"/>
      <c r="S186" s="35"/>
      <c r="T186" s="36"/>
      <c r="U186" s="36"/>
      <c r="V186" s="27"/>
      <c r="W186" s="36"/>
      <c r="X186" s="27"/>
      <c r="Y186" s="27"/>
      <c r="Z186" s="37"/>
      <c r="AB186" s="35"/>
      <c r="AC186" s="36"/>
      <c r="AD186" s="36"/>
      <c r="AE186" s="27"/>
      <c r="AF186" s="36"/>
      <c r="AG186" s="27"/>
      <c r="AH186" s="27"/>
      <c r="AI186" s="37"/>
    </row>
    <row r="187" customFormat="false" ht="18.75" hidden="false" customHeight="false" outlineLevel="0" collapsed="false">
      <c r="A187" s="35" t="s">
        <v>151</v>
      </c>
      <c r="B187" s="36" t="s">
        <v>186</v>
      </c>
      <c r="C187" s="36"/>
      <c r="D187" s="27"/>
      <c r="E187" s="36" t="s">
        <v>192</v>
      </c>
      <c r="F187" s="27"/>
      <c r="G187" s="27"/>
      <c r="H187" s="37"/>
      <c r="J187" s="35" t="s">
        <v>151</v>
      </c>
      <c r="K187" s="36" t="s">
        <v>186</v>
      </c>
      <c r="L187" s="36"/>
      <c r="M187" s="27"/>
      <c r="N187" s="36" t="s">
        <v>192</v>
      </c>
      <c r="O187" s="27"/>
      <c r="P187" s="27"/>
      <c r="Q187" s="37"/>
      <c r="S187" s="35" t="s">
        <v>151</v>
      </c>
      <c r="T187" s="36" t="s">
        <v>186</v>
      </c>
      <c r="U187" s="36"/>
      <c r="V187" s="27"/>
      <c r="W187" s="36" t="s">
        <v>192</v>
      </c>
      <c r="X187" s="27"/>
      <c r="Y187" s="27"/>
      <c r="Z187" s="37"/>
      <c r="AB187" s="35" t="s">
        <v>151</v>
      </c>
      <c r="AC187" s="36" t="s">
        <v>186</v>
      </c>
      <c r="AD187" s="36"/>
      <c r="AE187" s="27"/>
      <c r="AF187" s="36" t="s">
        <v>192</v>
      </c>
      <c r="AG187" s="27"/>
      <c r="AH187" s="27"/>
      <c r="AI187" s="37"/>
    </row>
    <row r="188" customFormat="false" ht="18.75" hidden="false" customHeight="false" outlineLevel="0" collapsed="false">
      <c r="A188" s="113" t="n">
        <f aca="false">B185+E185</f>
        <v>0</v>
      </c>
      <c r="B188" s="42" t="n">
        <f aca="false">G163</f>
        <v>0</v>
      </c>
      <c r="C188" s="42"/>
      <c r="D188" s="27"/>
      <c r="E188" s="42" t="n">
        <f aca="false">G167</f>
        <v>20500</v>
      </c>
      <c r="F188" s="27"/>
      <c r="G188" s="27"/>
      <c r="H188" s="107"/>
      <c r="J188" s="113" t="n">
        <f aca="false">K185+N185</f>
        <v>1000</v>
      </c>
      <c r="K188" s="42" t="n">
        <f aca="false">P163</f>
        <v>-2000</v>
      </c>
      <c r="L188" s="42"/>
      <c r="M188" s="27"/>
      <c r="N188" s="42" t="e">
        <f aca="false">J185-J188-K188</f>
        <v>#VALUE!</v>
      </c>
      <c r="O188" s="27"/>
      <c r="P188" s="27"/>
      <c r="Q188" s="107"/>
      <c r="S188" s="113" t="n">
        <f aca="false">T185+W185</f>
        <v>1000</v>
      </c>
      <c r="T188" s="42" t="n">
        <f aca="false">Y163</f>
        <v>-2000</v>
      </c>
      <c r="U188" s="42"/>
      <c r="V188" s="27"/>
      <c r="W188" s="42" t="e">
        <f aca="false">S185-S188-T188</f>
        <v>#VALUE!</v>
      </c>
      <c r="X188" s="27"/>
      <c r="Y188" s="27"/>
      <c r="Z188" s="107"/>
      <c r="AB188" s="113" t="n">
        <f aca="false">AC185+AF185</f>
        <v>1000</v>
      </c>
      <c r="AC188" s="42" t="n">
        <f aca="false">AH163</f>
        <v>-2000</v>
      </c>
      <c r="AD188" s="42"/>
      <c r="AE188" s="27"/>
      <c r="AF188" s="42" t="e">
        <f aca="false">AB185-AB188-AC188</f>
        <v>#VALUE!</v>
      </c>
      <c r="AG188" s="27"/>
      <c r="AH188" s="27"/>
      <c r="AI188" s="107"/>
    </row>
    <row r="189" customFormat="false" ht="18.75" hidden="false" customHeight="false" outlineLevel="0" collapsed="false">
      <c r="A189" s="35"/>
      <c r="B189" s="36"/>
      <c r="C189" s="36"/>
      <c r="D189" s="27"/>
      <c r="E189" s="36"/>
      <c r="F189" s="27"/>
      <c r="G189" s="27"/>
      <c r="H189" s="37"/>
      <c r="J189" s="35"/>
      <c r="K189" s="36"/>
      <c r="L189" s="36"/>
      <c r="M189" s="27"/>
      <c r="N189" s="36"/>
      <c r="O189" s="27"/>
      <c r="P189" s="27"/>
      <c r="Q189" s="37"/>
      <c r="S189" s="35"/>
      <c r="T189" s="36"/>
      <c r="U189" s="36"/>
      <c r="V189" s="27"/>
      <c r="W189" s="36"/>
      <c r="X189" s="27"/>
      <c r="Y189" s="27"/>
      <c r="Z189" s="37"/>
      <c r="AB189" s="35"/>
      <c r="AC189" s="36"/>
      <c r="AD189" s="36"/>
      <c r="AE189" s="27"/>
      <c r="AF189" s="36"/>
      <c r="AG189" s="27"/>
      <c r="AH189" s="27"/>
      <c r="AI189" s="37"/>
    </row>
    <row r="190" customFormat="false" ht="18.75" hidden="false" customHeight="false" outlineLevel="0" collapsed="false">
      <c r="A190" s="35" t="s">
        <v>204</v>
      </c>
      <c r="B190" s="36" t="s">
        <v>66</v>
      </c>
      <c r="C190" s="36"/>
      <c r="D190" s="27"/>
      <c r="E190" s="36" t="s">
        <v>205</v>
      </c>
      <c r="F190" s="27"/>
      <c r="G190" s="27"/>
      <c r="H190" s="37"/>
      <c r="J190" s="35" t="s">
        <v>204</v>
      </c>
      <c r="K190" s="36" t="s">
        <v>66</v>
      </c>
      <c r="L190" s="36"/>
      <c r="M190" s="27"/>
      <c r="N190" s="36" t="s">
        <v>205</v>
      </c>
      <c r="O190" s="27"/>
      <c r="P190" s="27"/>
      <c r="Q190" s="37"/>
      <c r="S190" s="35" t="s">
        <v>204</v>
      </c>
      <c r="T190" s="36" t="s">
        <v>66</v>
      </c>
      <c r="U190" s="36"/>
      <c r="V190" s="27"/>
      <c r="W190" s="36" t="s">
        <v>205</v>
      </c>
      <c r="X190" s="27"/>
      <c r="Y190" s="27"/>
      <c r="Z190" s="37"/>
      <c r="AB190" s="35" t="s">
        <v>204</v>
      </c>
      <c r="AC190" s="36" t="s">
        <v>66</v>
      </c>
      <c r="AD190" s="36"/>
      <c r="AE190" s="27"/>
      <c r="AF190" s="36" t="s">
        <v>205</v>
      </c>
      <c r="AG190" s="27"/>
      <c r="AH190" s="27"/>
      <c r="AI190" s="37"/>
    </row>
    <row r="191" customFormat="false" ht="18.75" hidden="false" customHeight="false" outlineLevel="0" collapsed="false">
      <c r="A191" s="113" t="n">
        <f aca="false">(A176*B68)+E194-E188-A194</f>
        <v>-3198.79346213046</v>
      </c>
      <c r="B191" s="42" t="n">
        <f aca="false">B123</f>
        <v>199.991666666667</v>
      </c>
      <c r="C191" s="42"/>
      <c r="D191" s="27"/>
      <c r="E191" s="42" t="n">
        <f aca="false">E188+A191+(B191*1.2)+A194</f>
        <v>17551.1965378695</v>
      </c>
      <c r="F191" s="27"/>
      <c r="G191" s="27"/>
      <c r="H191" s="107"/>
      <c r="J191" s="113" t="e">
        <f aca="false">(J176*K68)+N194-N188-J194</f>
        <v>#VALUE!</v>
      </c>
      <c r="K191" s="42" t="n">
        <f aca="false">K123</f>
        <v>239.99</v>
      </c>
      <c r="L191" s="42"/>
      <c r="M191" s="27"/>
      <c r="N191" s="42" t="e">
        <f aca="false">N188+J191+K191+J194</f>
        <v>#VALUE!</v>
      </c>
      <c r="O191" s="27"/>
      <c r="P191" s="27"/>
      <c r="Q191" s="107"/>
      <c r="S191" s="113" t="e">
        <f aca="false">(S176*T68)+W194-W188-S194</f>
        <v>#VALUE!</v>
      </c>
      <c r="T191" s="42" t="n">
        <f aca="false">T123</f>
        <v>199.99</v>
      </c>
      <c r="U191" s="42"/>
      <c r="V191" s="27"/>
      <c r="W191" s="42" t="e">
        <f aca="false">W188+S191+T191+S194</f>
        <v>#VALUE!</v>
      </c>
      <c r="X191" s="27"/>
      <c r="Y191" s="27"/>
      <c r="Z191" s="107"/>
      <c r="AB191" s="113" t="e">
        <f aca="false">(AB176*AC68)+AF194-AF188-AB194</f>
        <v>#VALUE!</v>
      </c>
      <c r="AC191" s="42" t="n">
        <f aca="false">AC123</f>
        <v>239.99</v>
      </c>
      <c r="AD191" s="42"/>
      <c r="AE191" s="27"/>
      <c r="AF191" s="42" t="e">
        <f aca="false">AF188+AB191+AC191+AB194</f>
        <v>#VALUE!</v>
      </c>
      <c r="AG191" s="27"/>
      <c r="AH191" s="27"/>
      <c r="AI191" s="107"/>
    </row>
    <row r="192" customFormat="false" ht="18.75" hidden="false" customHeight="false" outlineLevel="0" collapsed="false">
      <c r="A192" s="35"/>
      <c r="B192" s="36"/>
      <c r="C192" s="36"/>
      <c r="D192" s="27"/>
      <c r="E192" s="36"/>
      <c r="F192" s="27"/>
      <c r="G192" s="27"/>
      <c r="H192" s="37"/>
      <c r="J192" s="35"/>
      <c r="K192" s="36"/>
      <c r="L192" s="36"/>
      <c r="M192" s="27"/>
      <c r="N192" s="36"/>
      <c r="O192" s="27"/>
      <c r="P192" s="27"/>
      <c r="Q192" s="37"/>
      <c r="S192" s="35"/>
      <c r="T192" s="36"/>
      <c r="U192" s="36"/>
      <c r="V192" s="27"/>
      <c r="W192" s="36"/>
      <c r="X192" s="27"/>
      <c r="Y192" s="27"/>
      <c r="Z192" s="37"/>
      <c r="AB192" s="35"/>
      <c r="AC192" s="36"/>
      <c r="AD192" s="36"/>
      <c r="AE192" s="27"/>
      <c r="AF192" s="36"/>
      <c r="AG192" s="27"/>
      <c r="AH192" s="27"/>
      <c r="AI192" s="37"/>
    </row>
    <row r="193" customFormat="false" ht="18.75" hidden="false" customHeight="false" outlineLevel="0" collapsed="false">
      <c r="A193" s="35" t="s">
        <v>206</v>
      </c>
      <c r="B193" s="36" t="s">
        <v>207</v>
      </c>
      <c r="C193" s="36"/>
      <c r="D193" s="27"/>
      <c r="E193" s="36" t="s">
        <v>208</v>
      </c>
      <c r="F193" s="27"/>
      <c r="G193" s="27"/>
      <c r="H193" s="37"/>
      <c r="J193" s="35" t="s">
        <v>206</v>
      </c>
      <c r="K193" s="36" t="s">
        <v>207</v>
      </c>
      <c r="L193" s="36"/>
      <c r="M193" s="27"/>
      <c r="N193" s="36" t="s">
        <v>208</v>
      </c>
      <c r="O193" s="27"/>
      <c r="P193" s="27"/>
      <c r="Q193" s="37"/>
      <c r="S193" s="35" t="s">
        <v>206</v>
      </c>
      <c r="T193" s="36" t="s">
        <v>207</v>
      </c>
      <c r="U193" s="36"/>
      <c r="V193" s="27"/>
      <c r="W193" s="36" t="s">
        <v>208</v>
      </c>
      <c r="X193" s="27"/>
      <c r="Y193" s="27"/>
      <c r="Z193" s="37"/>
      <c r="AB193" s="35" t="s">
        <v>206</v>
      </c>
      <c r="AC193" s="36" t="s">
        <v>207</v>
      </c>
      <c r="AD193" s="36"/>
      <c r="AE193" s="27"/>
      <c r="AF193" s="36" t="s">
        <v>208</v>
      </c>
      <c r="AG193" s="27"/>
      <c r="AH193" s="27"/>
      <c r="AI193" s="37"/>
    </row>
    <row r="194" customFormat="false" ht="18.75" hidden="false" customHeight="false" outlineLevel="0" collapsed="false">
      <c r="A194" s="113" t="n">
        <f aca="false">B69</f>
        <v>10</v>
      </c>
      <c r="B194" s="42" t="n">
        <f aca="false">A188+B191*1.2</f>
        <v>239.99</v>
      </c>
      <c r="C194" s="42"/>
      <c r="D194" s="27"/>
      <c r="E194" s="42" t="n">
        <f aca="false">IF( E179=0, A194+E176, E179+A194)</f>
        <v>7210</v>
      </c>
      <c r="F194" s="27"/>
      <c r="G194" s="27"/>
      <c r="H194" s="107"/>
      <c r="J194" s="113" t="n">
        <f aca="false">K69</f>
        <v>20</v>
      </c>
      <c r="K194" s="42" t="n">
        <f aca="false">J188+K191</f>
        <v>1239.99</v>
      </c>
      <c r="L194" s="42"/>
      <c r="M194" s="27"/>
      <c r="N194" s="42" t="n">
        <f aca="false">N179+J194</f>
        <v>32</v>
      </c>
      <c r="O194" s="27"/>
      <c r="P194" s="27"/>
      <c r="Q194" s="107"/>
      <c r="S194" s="113" t="n">
        <f aca="false">T69</f>
        <v>10</v>
      </c>
      <c r="T194" s="42" t="n">
        <f aca="false">S188+T191</f>
        <v>1199.99</v>
      </c>
      <c r="U194" s="42"/>
      <c r="V194" s="27"/>
      <c r="W194" s="42" t="n">
        <f aca="false">W179+S194</f>
        <v>22</v>
      </c>
      <c r="X194" s="27"/>
      <c r="Y194" s="27"/>
      <c r="Z194" s="107"/>
      <c r="AB194" s="113" t="n">
        <f aca="false">AC69</f>
        <v>10</v>
      </c>
      <c r="AC194" s="42" t="n">
        <f aca="false">AB188+AC191</f>
        <v>1239.99</v>
      </c>
      <c r="AD194" s="42"/>
      <c r="AE194" s="27"/>
      <c r="AF194" s="42" t="n">
        <f aca="false">AF179+AB194</f>
        <v>22</v>
      </c>
      <c r="AG194" s="27"/>
      <c r="AH194" s="27"/>
      <c r="AI194" s="107"/>
    </row>
    <row r="195" customFormat="false" ht="18.75" hidden="false" customHeight="false" outlineLevel="0" collapsed="false">
      <c r="A195" s="35"/>
      <c r="B195" s="36"/>
      <c r="C195" s="36"/>
      <c r="D195" s="36"/>
      <c r="E195" s="27"/>
      <c r="F195" s="27"/>
      <c r="G195" s="27"/>
      <c r="H195" s="37"/>
      <c r="J195" s="35"/>
      <c r="K195" s="36"/>
      <c r="L195" s="36"/>
      <c r="M195" s="36"/>
      <c r="N195" s="27"/>
      <c r="O195" s="27"/>
      <c r="P195" s="27"/>
      <c r="Q195" s="37"/>
      <c r="S195" s="35"/>
      <c r="T195" s="36"/>
      <c r="U195" s="36"/>
      <c r="V195" s="36"/>
      <c r="W195" s="27"/>
      <c r="X195" s="36"/>
      <c r="Y195" s="36"/>
      <c r="Z195" s="37"/>
      <c r="AB195" s="35"/>
      <c r="AC195" s="36"/>
      <c r="AD195" s="36"/>
      <c r="AE195" s="36"/>
      <c r="AF195" s="27"/>
      <c r="AG195" s="27"/>
      <c r="AH195" s="27"/>
      <c r="AI195" s="37"/>
    </row>
    <row r="196" customFormat="false" ht="18.75" hidden="false" customHeight="false" outlineLevel="0" collapsed="false">
      <c r="A196" s="35" t="s">
        <v>209</v>
      </c>
      <c r="B196" s="36" t="s">
        <v>210</v>
      </c>
      <c r="C196" s="36"/>
      <c r="D196" s="36"/>
      <c r="E196" s="43" t="s">
        <v>211</v>
      </c>
      <c r="F196" s="27"/>
      <c r="G196" s="27"/>
      <c r="H196" s="37"/>
      <c r="J196" s="35" t="s">
        <v>209</v>
      </c>
      <c r="K196" s="36" t="s">
        <v>210</v>
      </c>
      <c r="L196" s="36"/>
      <c r="M196" s="36"/>
      <c r="N196" s="43" t="s">
        <v>211</v>
      </c>
      <c r="O196" s="27"/>
      <c r="P196" s="27"/>
      <c r="Q196" s="37"/>
      <c r="S196" s="35" t="s">
        <v>209</v>
      </c>
      <c r="T196" s="36" t="s">
        <v>210</v>
      </c>
      <c r="U196" s="36"/>
      <c r="V196" s="36"/>
      <c r="W196" s="43" t="s">
        <v>211</v>
      </c>
      <c r="X196" s="36"/>
      <c r="Y196" s="36"/>
      <c r="Z196" s="37"/>
      <c r="AB196" s="35" t="s">
        <v>209</v>
      </c>
      <c r="AC196" s="36" t="s">
        <v>210</v>
      </c>
      <c r="AD196" s="36"/>
      <c r="AE196" s="36"/>
      <c r="AF196" s="43" t="s">
        <v>211</v>
      </c>
      <c r="AG196" s="36"/>
      <c r="AH196" s="36"/>
      <c r="AI196" s="37"/>
    </row>
    <row r="197" customFormat="false" ht="18.75" hidden="false" customHeight="false" outlineLevel="0" collapsed="false">
      <c r="A197" s="113" t="n">
        <f aca="false">J18*0.000002*100</f>
        <v>8.1052</v>
      </c>
      <c r="B197" s="42" t="n">
        <f aca="false">(G167*B76)</f>
        <v>102.5</v>
      </c>
      <c r="C197" s="36"/>
      <c r="D197" s="36"/>
      <c r="E197" s="42" t="n">
        <f aca="false">IF(E114="YES",(K55*A117*0.1),0)</f>
        <v>0</v>
      </c>
      <c r="F197" s="27"/>
      <c r="G197" s="27"/>
      <c r="H197" s="37"/>
      <c r="J197" s="113" t="n">
        <f aca="false">IF(N114="YES",H15*0.000002,0)</f>
        <v>0</v>
      </c>
      <c r="K197" s="42" t="e">
        <f aca="false">(P167*K76)/1.2</f>
        <v>#VALUE!</v>
      </c>
      <c r="L197" s="36"/>
      <c r="M197" s="36"/>
      <c r="N197" s="42" t="n">
        <f aca="false">(E40*J117)*0.1</f>
        <v>0</v>
      </c>
      <c r="O197" s="27"/>
      <c r="P197" s="27"/>
      <c r="Q197" s="37"/>
      <c r="S197" s="113" t="n">
        <f aca="false">IF(W114="YES",Z15*0.000002,0)</f>
        <v>0</v>
      </c>
      <c r="T197" s="42" t="e">
        <f aca="false">(Y167*T76)/1.2</f>
        <v>#VALUE!</v>
      </c>
      <c r="U197" s="36"/>
      <c r="V197" s="36"/>
      <c r="W197" s="42" t="n">
        <f aca="false">(E40*S117)*0.1</f>
        <v>0</v>
      </c>
      <c r="X197" s="36"/>
      <c r="Y197" s="36"/>
      <c r="Z197" s="37"/>
      <c r="AB197" s="113" t="n">
        <f aca="false">IF(AF114="YES",AI15*0.000002,0)</f>
        <v>0</v>
      </c>
      <c r="AC197" s="42" t="e">
        <f aca="false">(AH167*AC76)/1.2</f>
        <v>#VALUE!</v>
      </c>
      <c r="AD197" s="36"/>
      <c r="AE197" s="36"/>
      <c r="AF197" s="42" t="n">
        <f aca="false">(E40*AB117)*0.1</f>
        <v>0</v>
      </c>
      <c r="AG197" s="36"/>
      <c r="AH197" s="36"/>
      <c r="AI197" s="37"/>
    </row>
    <row r="198" customFormat="false" ht="18.75" hidden="false" customHeight="false" outlineLevel="0" collapsed="false">
      <c r="A198" s="113"/>
      <c r="B198" s="42"/>
      <c r="C198" s="36"/>
      <c r="D198" s="36"/>
      <c r="E198" s="27"/>
      <c r="F198" s="27"/>
      <c r="G198" s="27"/>
      <c r="H198" s="37"/>
      <c r="J198" s="113"/>
      <c r="K198" s="42"/>
      <c r="L198" s="36"/>
      <c r="M198" s="36"/>
      <c r="N198" s="27"/>
      <c r="O198" s="27"/>
      <c r="P198" s="27"/>
      <c r="Q198" s="37"/>
      <c r="S198" s="113"/>
      <c r="T198" s="42"/>
      <c r="U198" s="36"/>
      <c r="V198" s="36"/>
      <c r="W198" s="27"/>
      <c r="X198" s="36"/>
      <c r="Y198" s="36"/>
      <c r="Z198" s="37"/>
      <c r="AB198" s="113"/>
      <c r="AC198" s="42"/>
      <c r="AD198" s="36"/>
      <c r="AE198" s="36"/>
      <c r="AF198" s="27"/>
      <c r="AG198" s="36"/>
      <c r="AH198" s="36"/>
      <c r="AI198" s="37"/>
    </row>
    <row r="199" customFormat="false" ht="18.75" hidden="false" customHeight="false" outlineLevel="0" collapsed="false">
      <c r="A199" s="64" t="s">
        <v>212</v>
      </c>
      <c r="B199" s="43" t="s">
        <v>213</v>
      </c>
      <c r="C199" s="36"/>
      <c r="D199" s="36"/>
      <c r="E199" s="43" t="s">
        <v>214</v>
      </c>
      <c r="F199" s="27"/>
      <c r="G199" s="27"/>
      <c r="H199" s="37"/>
      <c r="J199" s="64" t="s">
        <v>212</v>
      </c>
      <c r="K199" s="43" t="s">
        <v>213</v>
      </c>
      <c r="L199" s="36"/>
      <c r="M199" s="36"/>
      <c r="N199" s="43" t="s">
        <v>214</v>
      </c>
      <c r="O199" s="27"/>
      <c r="P199" s="27"/>
      <c r="Q199" s="37"/>
      <c r="S199" s="64" t="s">
        <v>212</v>
      </c>
      <c r="T199" s="43" t="s">
        <v>213</v>
      </c>
      <c r="U199" s="36"/>
      <c r="V199" s="36"/>
      <c r="W199" s="43" t="s">
        <v>214</v>
      </c>
      <c r="X199" s="36"/>
      <c r="Y199" s="36"/>
      <c r="Z199" s="37"/>
      <c r="AB199" s="64" t="s">
        <v>212</v>
      </c>
      <c r="AC199" s="43" t="s">
        <v>213</v>
      </c>
      <c r="AD199" s="36"/>
      <c r="AE199" s="36"/>
      <c r="AF199" s="43" t="s">
        <v>214</v>
      </c>
      <c r="AG199" s="36"/>
      <c r="AH199" s="36"/>
      <c r="AI199" s="37"/>
    </row>
    <row r="200" customFormat="false" ht="18.75" hidden="false" customHeight="false" outlineLevel="0" collapsed="false">
      <c r="A200" s="113" t="n">
        <v>20</v>
      </c>
      <c r="B200" s="42" t="n">
        <f aca="false">B197+E197+A200</f>
        <v>122.5</v>
      </c>
      <c r="C200" s="36"/>
      <c r="D200" s="36"/>
      <c r="E200" s="42" t="n">
        <f aca="false">H157</f>
        <v>2083.33</v>
      </c>
      <c r="F200" s="27"/>
      <c r="G200" s="27"/>
      <c r="H200" s="37"/>
      <c r="J200" s="113" t="n">
        <f aca="false">K194-100</f>
        <v>1139.99</v>
      </c>
      <c r="K200" s="42" t="e">
        <f aca="false">K197+N197+J200</f>
        <v>#VALUE!</v>
      </c>
      <c r="L200" s="36"/>
      <c r="M200" s="36"/>
      <c r="N200" s="42" t="e">
        <f aca="false">Q157</f>
        <v>#VALUE!</v>
      </c>
      <c r="O200" s="27"/>
      <c r="P200" s="27"/>
      <c r="Q200" s="37"/>
      <c r="S200" s="113" t="n">
        <f aca="false">T194-100</f>
        <v>1099.99</v>
      </c>
      <c r="T200" s="42" t="e">
        <f aca="false">T197+W197+S200</f>
        <v>#VALUE!</v>
      </c>
      <c r="U200" s="36"/>
      <c r="V200" s="36"/>
      <c r="W200" s="42" t="e">
        <f aca="false">Z157</f>
        <v>#VALUE!</v>
      </c>
      <c r="X200" s="36"/>
      <c r="Y200" s="36"/>
      <c r="Z200" s="37"/>
      <c r="AB200" s="113" t="n">
        <f aca="false">AC194-100</f>
        <v>1139.99</v>
      </c>
      <c r="AC200" s="42" t="e">
        <f aca="false">AC197+AF197+AB200</f>
        <v>#VALUE!</v>
      </c>
      <c r="AD200" s="36"/>
      <c r="AE200" s="36"/>
      <c r="AF200" s="42" t="e">
        <f aca="false">AI157</f>
        <v>#VALUE!</v>
      </c>
      <c r="AG200" s="36"/>
      <c r="AH200" s="36"/>
      <c r="AI200" s="37"/>
    </row>
    <row r="201" customFormat="false" ht="18.75" hidden="false" customHeight="false" outlineLevel="0" collapsed="false">
      <c r="A201" s="35"/>
      <c r="B201" s="36"/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70" t="s">
        <v>215</v>
      </c>
      <c r="B202" s="36"/>
      <c r="C202" s="36"/>
      <c r="D202" s="71"/>
      <c r="E202" s="71"/>
      <c r="F202" s="71"/>
      <c r="G202" s="71"/>
      <c r="H202" s="72"/>
      <c r="J202" s="70" t="s">
        <v>215</v>
      </c>
      <c r="K202" s="36"/>
      <c r="L202" s="36"/>
      <c r="M202" s="71"/>
      <c r="N202" s="71"/>
      <c r="O202" s="71"/>
      <c r="P202" s="71"/>
      <c r="Q202" s="72"/>
      <c r="S202" s="70" t="s">
        <v>215</v>
      </c>
      <c r="T202" s="36"/>
      <c r="U202" s="36"/>
      <c r="V202" s="71"/>
      <c r="W202" s="71"/>
      <c r="X202" s="71"/>
      <c r="Y202" s="71"/>
      <c r="Z202" s="72"/>
      <c r="AB202" s="70" t="s">
        <v>215</v>
      </c>
      <c r="AC202" s="36"/>
      <c r="AD202" s="36"/>
      <c r="AE202" s="71"/>
      <c r="AF202" s="71"/>
      <c r="AG202" s="71"/>
      <c r="AH202" s="71"/>
      <c r="AI202" s="72"/>
    </row>
    <row r="203" customFormat="false" ht="18.75" hidden="false" customHeight="false" outlineLevel="0" collapsed="false">
      <c r="A203" s="35"/>
      <c r="B203" s="73"/>
      <c r="C203" s="73"/>
      <c r="D203" s="36"/>
      <c r="E203" s="27"/>
      <c r="F203" s="27"/>
      <c r="G203" s="27"/>
      <c r="H203" s="37"/>
      <c r="J203" s="35"/>
      <c r="K203" s="73"/>
      <c r="L203" s="73"/>
      <c r="M203" s="36"/>
      <c r="N203" s="27"/>
      <c r="O203" s="27"/>
      <c r="P203" s="27"/>
      <c r="Q203" s="37"/>
      <c r="S203" s="35"/>
      <c r="T203" s="73"/>
      <c r="U203" s="73"/>
      <c r="V203" s="36"/>
      <c r="W203" s="27"/>
      <c r="X203" s="27"/>
      <c r="Y203" s="27"/>
      <c r="Z203" s="37"/>
      <c r="AB203" s="35"/>
      <c r="AC203" s="73"/>
      <c r="AD203" s="73"/>
      <c r="AE203" s="36"/>
      <c r="AF203" s="27"/>
      <c r="AG203" s="27"/>
      <c r="AH203" s="27"/>
      <c r="AI203" s="37"/>
    </row>
    <row r="204" customFormat="false" ht="19.7" hidden="false" customHeight="false" outlineLevel="0" collapsed="false">
      <c r="A204" s="172" t="s">
        <v>95</v>
      </c>
      <c r="B204" s="75" t="s">
        <v>96</v>
      </c>
      <c r="C204" s="75"/>
      <c r="D204" s="75"/>
      <c r="E204" s="27"/>
      <c r="F204" s="27"/>
      <c r="G204" s="27"/>
      <c r="H204" s="37"/>
      <c r="J204" s="172" t="s">
        <v>95</v>
      </c>
      <c r="K204" s="173" t="s">
        <v>96</v>
      </c>
      <c r="L204" s="173"/>
      <c r="M204" s="173"/>
      <c r="N204" s="27"/>
      <c r="O204" s="27"/>
      <c r="P204" s="27"/>
      <c r="Q204" s="37"/>
      <c r="S204" s="172" t="s">
        <v>95</v>
      </c>
      <c r="T204" s="75" t="s">
        <v>96</v>
      </c>
      <c r="U204" s="75"/>
      <c r="V204" s="75"/>
      <c r="W204" s="27"/>
      <c r="X204" s="27"/>
      <c r="Y204" s="27"/>
      <c r="Z204" s="37"/>
      <c r="AB204" s="172" t="s">
        <v>95</v>
      </c>
      <c r="AC204" s="75" t="s">
        <v>96</v>
      </c>
      <c r="AD204" s="75"/>
      <c r="AE204" s="75"/>
      <c r="AF204" s="27"/>
      <c r="AG204" s="27"/>
      <c r="AH204" s="27"/>
      <c r="AI204" s="37"/>
    </row>
    <row r="205" customFormat="false" ht="19.5" hidden="false" customHeight="true" outlineLevel="0" collapsed="false">
      <c r="A205" s="172"/>
      <c r="B205" s="76" t="str">
        <f aca="false">K30</f>
        <v>5000</v>
      </c>
      <c r="C205" s="76"/>
      <c r="D205" s="76"/>
      <c r="E205" s="27"/>
      <c r="F205" s="27"/>
      <c r="G205" s="27"/>
      <c r="H205" s="37"/>
      <c r="J205" s="172"/>
      <c r="K205" s="174" t="str">
        <f aca="false">K30</f>
        <v>5000</v>
      </c>
      <c r="L205" s="174"/>
      <c r="M205" s="174"/>
      <c r="N205" s="27"/>
      <c r="O205" s="27"/>
      <c r="P205" s="27"/>
      <c r="Q205" s="37"/>
      <c r="S205" s="172"/>
      <c r="T205" s="76" t="str">
        <f aca="false">K30</f>
        <v>5000</v>
      </c>
      <c r="U205" s="76"/>
      <c r="V205" s="76"/>
      <c r="W205" s="27"/>
      <c r="X205" s="27"/>
      <c r="Y205" s="27"/>
      <c r="Z205" s="37"/>
      <c r="AB205" s="172"/>
      <c r="AC205" s="76" t="str">
        <f aca="false">K30</f>
        <v>5000</v>
      </c>
      <c r="AD205" s="76"/>
      <c r="AE205" s="76"/>
      <c r="AF205" s="27"/>
      <c r="AG205" s="27"/>
      <c r="AH205" s="27"/>
      <c r="AI205" s="37"/>
    </row>
    <row r="206" customFormat="false" ht="18.75" hidden="false" customHeight="false" outlineLevel="0" collapsed="false">
      <c r="A206" s="77" t="str">
        <f aca="false">K29</f>
        <v>12</v>
      </c>
      <c r="B206" s="78" t="n">
        <f aca="false">B105</f>
        <v>918.291503442686</v>
      </c>
      <c r="C206" s="78"/>
      <c r="D206" s="78"/>
      <c r="E206" s="27"/>
      <c r="F206" s="27"/>
      <c r="G206" s="27"/>
      <c r="H206" s="37"/>
      <c r="J206" s="77" t="str">
        <f aca="false">K29</f>
        <v>12</v>
      </c>
      <c r="K206" s="78" t="e">
        <f aca="false">K105</f>
        <v>#VALUE!</v>
      </c>
      <c r="L206" s="78"/>
      <c r="M206" s="78"/>
      <c r="N206" s="27"/>
      <c r="O206" s="27"/>
      <c r="P206" s="27"/>
      <c r="Q206" s="37"/>
      <c r="S206" s="77" t="str">
        <f aca="false">K29</f>
        <v>12</v>
      </c>
      <c r="T206" s="78" t="e">
        <f aca="false">T105</f>
        <v>#VALUE!</v>
      </c>
      <c r="U206" s="78"/>
      <c r="V206" s="78"/>
      <c r="W206" s="27"/>
      <c r="X206" s="27"/>
      <c r="Y206" s="27"/>
      <c r="Z206" s="37"/>
      <c r="AB206" s="77" t="str">
        <f aca="false">K29</f>
        <v>12</v>
      </c>
      <c r="AC206" s="78" t="e">
        <f aca="false">AC105</f>
        <v>#VALUE!</v>
      </c>
      <c r="AD206" s="78"/>
      <c r="AE206" s="78"/>
      <c r="AF206" s="27"/>
      <c r="AG206" s="27"/>
      <c r="AH206" s="27"/>
      <c r="AI206" s="37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  <c r="J207" s="35"/>
      <c r="K207" s="36"/>
      <c r="L207" s="36"/>
      <c r="M207" s="36"/>
      <c r="N207" s="27"/>
      <c r="O207" s="27"/>
      <c r="P207" s="27"/>
      <c r="Q207" s="37"/>
      <c r="S207" s="35"/>
      <c r="T207" s="36"/>
      <c r="U207" s="36"/>
      <c r="V207" s="36"/>
      <c r="W207" s="27"/>
      <c r="X207" s="27"/>
      <c r="Y207" s="27"/>
      <c r="Z207" s="37"/>
      <c r="AB207" s="35"/>
      <c r="AC207" s="36"/>
      <c r="AD207" s="36"/>
      <c r="AE207" s="36"/>
      <c r="AF207" s="27"/>
      <c r="AG207" s="27"/>
      <c r="AH207" s="27"/>
      <c r="AI207" s="37"/>
    </row>
    <row r="208" customFormat="false" ht="18.75" hidden="false" customHeight="false" outlineLevel="0" collapsed="false">
      <c r="A208" s="35"/>
      <c r="B208" s="36"/>
      <c r="C208" s="36"/>
      <c r="D208" s="36"/>
      <c r="E208" s="27"/>
      <c r="F208" s="27"/>
      <c r="G208" s="27"/>
      <c r="H208" s="37"/>
      <c r="J208" s="35"/>
      <c r="K208" s="36"/>
      <c r="L208" s="36"/>
      <c r="M208" s="36"/>
      <c r="N208" s="27"/>
      <c r="O208" s="27"/>
      <c r="P208" s="27"/>
      <c r="Q208" s="37"/>
      <c r="S208" s="35"/>
      <c r="T208" s="36"/>
      <c r="U208" s="36"/>
      <c r="V208" s="36"/>
      <c r="W208" s="27"/>
      <c r="X208" s="27"/>
      <c r="Y208" s="27"/>
      <c r="Z208" s="37"/>
      <c r="AB208" s="35"/>
      <c r="AC208" s="36"/>
      <c r="AD208" s="36"/>
      <c r="AE208" s="36"/>
      <c r="AF208" s="27"/>
      <c r="AG208" s="27"/>
      <c r="AH208" s="27"/>
      <c r="AI208" s="37"/>
    </row>
    <row r="209" customFormat="false" ht="18.75" hidden="false" customHeight="false" outlineLevel="0" collapsed="false">
      <c r="A209" s="35" t="s">
        <v>216</v>
      </c>
      <c r="B209" s="36" t="s">
        <v>217</v>
      </c>
      <c r="C209" s="36"/>
      <c r="D209" s="36"/>
      <c r="E209" s="27"/>
      <c r="F209" s="27"/>
      <c r="G209" s="27"/>
      <c r="H209" s="37"/>
      <c r="J209" s="35"/>
      <c r="K209" s="36"/>
      <c r="L209" s="36"/>
      <c r="M209" s="36"/>
      <c r="N209" s="27"/>
      <c r="O209" s="27"/>
      <c r="P209" s="27"/>
      <c r="Q209" s="37"/>
      <c r="S209" s="35"/>
      <c r="T209" s="36"/>
      <c r="U209" s="36"/>
      <c r="V209" s="36"/>
      <c r="W209" s="27"/>
      <c r="X209" s="27"/>
      <c r="Y209" s="27"/>
      <c r="Z209" s="37"/>
      <c r="AB209" s="35"/>
      <c r="AC209" s="36"/>
      <c r="AD209" s="36"/>
      <c r="AE209" s="36"/>
      <c r="AF209" s="27"/>
      <c r="AG209" s="27"/>
      <c r="AH209" s="27"/>
      <c r="AI209" s="37"/>
    </row>
    <row r="210" customFormat="false" ht="18.75" hidden="false" customHeight="false" outlineLevel="0" collapsed="false">
      <c r="A210" s="40" t="n">
        <f aca="false">IF(A49=0,((G176*(B68+1))-E188),((G176*B68)+E194-E188-A194))</f>
        <v>-3899.62</v>
      </c>
      <c r="B210" s="47" t="n">
        <f aca="false">E188+A210+(B191*1.2)+A194</f>
        <v>16850.37</v>
      </c>
      <c r="C210" s="36"/>
      <c r="D210" s="36"/>
      <c r="E210" s="27"/>
      <c r="F210" s="27"/>
      <c r="G210" s="27"/>
      <c r="H210" s="37"/>
      <c r="J210" s="35"/>
      <c r="K210" s="36"/>
      <c r="L210" s="36"/>
      <c r="M210" s="36"/>
      <c r="N210" s="27"/>
      <c r="O210" s="27"/>
      <c r="P210" s="27"/>
      <c r="Q210" s="37"/>
      <c r="S210" s="35"/>
      <c r="T210" s="36"/>
      <c r="U210" s="36"/>
      <c r="V210" s="36"/>
      <c r="W210" s="27"/>
      <c r="X210" s="27"/>
      <c r="Y210" s="27"/>
      <c r="Z210" s="37"/>
      <c r="AB210" s="35"/>
      <c r="AC210" s="36"/>
      <c r="AD210" s="36"/>
      <c r="AE210" s="36"/>
      <c r="AF210" s="27"/>
      <c r="AG210" s="27"/>
      <c r="AH210" s="27"/>
      <c r="AI210" s="37"/>
    </row>
    <row r="211" customFormat="false" ht="18.75" hidden="false" customHeight="false" outlineLevel="0" collapsed="false">
      <c r="A211" s="60"/>
      <c r="B211" s="61"/>
      <c r="C211" s="61"/>
      <c r="D211" s="61"/>
      <c r="E211" s="61"/>
      <c r="F211" s="61"/>
      <c r="G211" s="61"/>
      <c r="H211" s="69"/>
      <c r="J211" s="60"/>
      <c r="K211" s="61"/>
      <c r="L211" s="61"/>
      <c r="M211" s="61"/>
      <c r="N211" s="61"/>
      <c r="O211" s="61"/>
      <c r="P211" s="61"/>
      <c r="Q211" s="69"/>
      <c r="S211" s="60"/>
      <c r="T211" s="61"/>
      <c r="U211" s="61"/>
      <c r="V211" s="61"/>
      <c r="W211" s="61"/>
      <c r="X211" s="61"/>
      <c r="Y211" s="61"/>
      <c r="Z211" s="69"/>
      <c r="AB211" s="60"/>
      <c r="AC211" s="61"/>
      <c r="AD211" s="61"/>
      <c r="AE211" s="61"/>
      <c r="AF211" s="61"/>
      <c r="AG211" s="61"/>
      <c r="AH211" s="61"/>
      <c r="AI211" s="69"/>
    </row>
    <row r="215" customFormat="false" ht="22.05" hidden="false" customHeight="false" outlineLevel="0" collapsed="false">
      <c r="A215" s="175" t="s">
        <v>193</v>
      </c>
      <c r="B215" s="175"/>
      <c r="C215" s="175"/>
      <c r="D215" s="175"/>
      <c r="E215" s="175"/>
      <c r="F215" s="175"/>
      <c r="G215" s="175"/>
      <c r="H215" s="175"/>
    </row>
    <row r="216" customFormat="false" ht="18.75" hidden="false" customHeight="false" outlineLevel="0" collapsed="false">
      <c r="A216" s="35"/>
      <c r="B216" s="36"/>
      <c r="C216" s="36"/>
      <c r="D216" s="36"/>
      <c r="E216" s="27"/>
      <c r="F216" s="27"/>
      <c r="G216" s="27"/>
      <c r="H216" s="37"/>
    </row>
    <row r="217" customFormat="false" ht="18.75" hidden="false" customHeight="false" outlineLevel="0" collapsed="false">
      <c r="A217" s="176" t="s">
        <v>138</v>
      </c>
      <c r="B217" s="177" t="s">
        <v>52</v>
      </c>
      <c r="C217" s="177"/>
      <c r="D217" s="177"/>
      <c r="E217" s="177" t="s">
        <v>53</v>
      </c>
      <c r="F217" s="178"/>
      <c r="G217" s="27"/>
      <c r="H217" s="37"/>
    </row>
    <row r="218" customFormat="false" ht="18.75" hidden="false" customHeight="false" outlineLevel="0" collapsed="false">
      <c r="A218" s="179" t="s">
        <v>218</v>
      </c>
      <c r="B218" s="164" t="str">
        <f aca="false">A206</f>
        <v>12</v>
      </c>
      <c r="C218" s="164"/>
      <c r="D218" s="164"/>
      <c r="E218" s="164" t="str">
        <f aca="false">B205</f>
        <v>5000</v>
      </c>
      <c r="F218" s="178"/>
      <c r="G218" s="27"/>
      <c r="H218" s="37"/>
    </row>
    <row r="219" customFormat="false" ht="18.75" hidden="false" customHeight="false" outlineLevel="0" collapsed="false">
      <c r="A219" s="35"/>
      <c r="B219" s="36"/>
      <c r="C219" s="36"/>
      <c r="D219" s="36"/>
      <c r="E219" s="27"/>
      <c r="F219" s="27"/>
      <c r="G219" s="27"/>
      <c r="H219" s="37"/>
    </row>
    <row r="220" customFormat="false" ht="18.75" hidden="false" customHeight="false" outlineLevel="0" collapsed="false">
      <c r="A220" s="176" t="s">
        <v>195</v>
      </c>
      <c r="B220" s="177" t="s">
        <v>196</v>
      </c>
      <c r="C220" s="177"/>
      <c r="D220" s="177"/>
      <c r="E220" s="177" t="s">
        <v>197</v>
      </c>
      <c r="F220" s="27"/>
      <c r="G220" s="27"/>
      <c r="H220" s="37"/>
    </row>
    <row r="221" customFormat="false" ht="18.75" hidden="false" customHeight="false" outlineLevel="0" collapsed="false">
      <c r="A221" s="165" t="n">
        <f aca="false">A176</f>
        <v>918.291503442686</v>
      </c>
      <c r="B221" s="166" t="n">
        <f aca="false">B176</f>
        <v>0</v>
      </c>
      <c r="C221" s="164"/>
      <c r="D221" s="164"/>
      <c r="E221" s="166" t="n">
        <f aca="false">E176</f>
        <v>918.291503442686</v>
      </c>
      <c r="F221" s="27"/>
      <c r="G221" s="27"/>
      <c r="H221" s="37"/>
    </row>
    <row r="222" customFormat="false" ht="18.75" hidden="false" customHeight="false" outlineLevel="0" collapsed="false">
      <c r="A222" s="35"/>
      <c r="B222" s="36"/>
      <c r="C222" s="36"/>
      <c r="D222" s="36"/>
      <c r="E222" s="27"/>
      <c r="F222" s="27"/>
      <c r="G222" s="27"/>
      <c r="H222" s="37"/>
    </row>
    <row r="223" customFormat="false" ht="18.75" hidden="false" customHeight="false" outlineLevel="0" collapsed="false">
      <c r="A223" s="35" t="s">
        <v>200</v>
      </c>
      <c r="B223" s="36" t="s">
        <v>201</v>
      </c>
      <c r="C223" s="36"/>
      <c r="D223" s="27"/>
      <c r="E223" s="36" t="s">
        <v>202</v>
      </c>
      <c r="F223" s="27"/>
      <c r="G223" s="27"/>
      <c r="H223" s="37"/>
    </row>
    <row r="224" customFormat="false" ht="18.75" hidden="false" customHeight="false" outlineLevel="0" collapsed="false">
      <c r="A224" s="171" t="n">
        <f aca="false">A182</f>
        <v>16125</v>
      </c>
      <c r="B224" s="42" t="n">
        <f aca="false">B182</f>
        <v>3225</v>
      </c>
      <c r="C224" s="47"/>
      <c r="D224" s="27"/>
      <c r="E224" s="170" t="n">
        <f aca="false">E182</f>
        <v>0</v>
      </c>
      <c r="F224" s="27"/>
      <c r="G224" s="27"/>
      <c r="H224" s="3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203</v>
      </c>
      <c r="B226" s="36" t="s">
        <v>149</v>
      </c>
      <c r="C226" s="36"/>
      <c r="D226" s="27"/>
      <c r="E226" s="36" t="s">
        <v>150</v>
      </c>
      <c r="F226" s="27"/>
      <c r="G226" s="27"/>
      <c r="H226" s="37"/>
    </row>
    <row r="227" customFormat="false" ht="18.75" hidden="false" customHeight="false" outlineLevel="0" collapsed="false">
      <c r="A227" s="171" t="n">
        <f aca="false">A185</f>
        <v>19350</v>
      </c>
      <c r="B227" s="42" t="n">
        <f aca="false">B185</f>
        <v>0</v>
      </c>
      <c r="C227" s="42"/>
      <c r="D227" s="27"/>
      <c r="E227" s="42" t="n">
        <f aca="false">E185</f>
        <v>0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27"/>
      <c r="E228" s="36"/>
      <c r="F228" s="27"/>
      <c r="G228" s="27"/>
      <c r="H228" s="37"/>
    </row>
    <row r="229" customFormat="false" ht="18.75" hidden="false" customHeight="false" outlineLevel="0" collapsed="false">
      <c r="A229" s="35" t="s">
        <v>151</v>
      </c>
      <c r="B229" s="36" t="s">
        <v>186</v>
      </c>
      <c r="C229" s="36"/>
      <c r="D229" s="27"/>
      <c r="E229" s="36" t="s">
        <v>192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A188</f>
        <v>0</v>
      </c>
      <c r="B230" s="42" t="n">
        <f aca="false">B188</f>
        <v>0</v>
      </c>
      <c r="C230" s="42"/>
      <c r="D230" s="27"/>
      <c r="E230" s="42" t="n">
        <f aca="false">E188</f>
        <v>20500</v>
      </c>
      <c r="F230" s="27"/>
      <c r="G230" s="27"/>
      <c r="H230" s="107"/>
    </row>
    <row r="231" customFormat="false" ht="18.75" hidden="false" customHeight="false" outlineLevel="0" collapsed="false">
      <c r="A231" s="35"/>
      <c r="B231" s="36"/>
      <c r="C231" s="36"/>
      <c r="D231" s="27"/>
      <c r="E231" s="36"/>
      <c r="F231" s="27"/>
      <c r="G231" s="27"/>
      <c r="H231" s="37"/>
    </row>
    <row r="232" customFormat="false" ht="18.75" hidden="false" customHeight="false" outlineLevel="0" collapsed="false">
      <c r="A232" s="35" t="s">
        <v>204</v>
      </c>
      <c r="B232" s="36" t="s">
        <v>66</v>
      </c>
      <c r="C232" s="36"/>
      <c r="D232" s="27"/>
      <c r="E232" s="36" t="s">
        <v>205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A191</f>
        <v>-3198.79346213046</v>
      </c>
      <c r="B233" s="42" t="n">
        <f aca="false">B191</f>
        <v>199.991666666667</v>
      </c>
      <c r="C233" s="42"/>
      <c r="D233" s="27"/>
      <c r="E233" s="42" t="n">
        <f aca="false">E191</f>
        <v>17551.1965378695</v>
      </c>
      <c r="F233" s="27"/>
      <c r="G233" s="27"/>
      <c r="H233" s="107"/>
    </row>
    <row r="234" customFormat="false" ht="18.75" hidden="false" customHeight="false" outlineLevel="0" collapsed="false">
      <c r="A234" s="35"/>
      <c r="B234" s="36"/>
      <c r="C234" s="36"/>
      <c r="D234" s="27"/>
      <c r="E234" s="36"/>
      <c r="F234" s="27"/>
      <c r="G234" s="27"/>
      <c r="H234" s="37"/>
    </row>
    <row r="235" customFormat="false" ht="18.75" hidden="false" customHeight="false" outlineLevel="0" collapsed="false">
      <c r="A235" s="35" t="s">
        <v>206</v>
      </c>
      <c r="B235" s="36" t="s">
        <v>207</v>
      </c>
      <c r="C235" s="36"/>
      <c r="D235" s="27"/>
      <c r="E235" s="36" t="s">
        <v>219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A194</f>
        <v>10</v>
      </c>
      <c r="B236" s="42" t="n">
        <f aca="false">B194</f>
        <v>239.99</v>
      </c>
      <c r="C236" s="42"/>
      <c r="D236" s="27"/>
      <c r="E236" s="42" t="n">
        <f aca="false">B68</f>
        <v>11</v>
      </c>
      <c r="F236" s="27"/>
      <c r="G236" s="27"/>
      <c r="H236" s="107"/>
    </row>
    <row r="237" customFormat="false" ht="18.75" hidden="false" customHeight="false" outlineLevel="0" collapsed="false">
      <c r="A237" s="35"/>
      <c r="B237" s="36"/>
      <c r="C237" s="36"/>
      <c r="D237" s="36"/>
      <c r="E237" s="27"/>
      <c r="F237" s="27"/>
      <c r="G237" s="27"/>
      <c r="H237" s="37"/>
    </row>
    <row r="238" customFormat="false" ht="18.75" hidden="false" customHeight="false" outlineLevel="0" collapsed="false">
      <c r="A238" s="35" t="s">
        <v>195</v>
      </c>
      <c r="B238" s="36" t="s">
        <v>196</v>
      </c>
      <c r="C238" s="36"/>
      <c r="D238" s="36"/>
      <c r="E238" s="36" t="s">
        <v>197</v>
      </c>
      <c r="F238" s="27"/>
      <c r="G238" s="27"/>
      <c r="H238" s="37"/>
    </row>
    <row r="239" customFormat="false" ht="18.75" hidden="false" customHeight="false" outlineLevel="0" collapsed="false">
      <c r="A239" s="113" t="n">
        <f aca="false">A176</f>
        <v>918.291503442686</v>
      </c>
      <c r="B239" s="42" t="n">
        <f aca="false">B176</f>
        <v>0</v>
      </c>
      <c r="C239" s="47"/>
      <c r="D239" s="47"/>
      <c r="E239" s="42" t="n">
        <f aca="false">E176</f>
        <v>918.291503442686</v>
      </c>
      <c r="F239" s="27"/>
      <c r="G239" s="27"/>
      <c r="H239" s="37"/>
    </row>
    <row r="240" customFormat="false" ht="18.75" hidden="false" customHeight="false" outlineLevel="0" collapsed="false">
      <c r="A240" s="35"/>
      <c r="B240" s="36"/>
      <c r="C240" s="36"/>
      <c r="D240" s="36"/>
      <c r="E240" s="27"/>
      <c r="F240" s="27"/>
      <c r="G240" s="27"/>
      <c r="H240" s="37"/>
    </row>
    <row r="241" customFormat="false" ht="18.75" hidden="false" customHeight="false" outlineLevel="0" collapsed="false">
      <c r="A241" s="35" t="s">
        <v>220</v>
      </c>
      <c r="B241" s="36" t="s">
        <v>221</v>
      </c>
      <c r="C241" s="36"/>
      <c r="D241" s="36"/>
      <c r="E241" s="36" t="s">
        <v>80</v>
      </c>
      <c r="F241" s="27"/>
      <c r="G241" s="27"/>
      <c r="H241" s="37"/>
    </row>
    <row r="242" customFormat="false" ht="18.75" hidden="false" customHeight="false" outlineLevel="0" collapsed="false">
      <c r="A242" s="113" t="n">
        <f aca="false">E179</f>
        <v>7200</v>
      </c>
      <c r="B242" s="42" t="n">
        <f aca="false">E194</f>
        <v>7210</v>
      </c>
      <c r="C242" s="36"/>
      <c r="D242" s="36"/>
      <c r="E242" s="42" t="n">
        <f aca="false">J18*0.000006*100</f>
        <v>24.3156</v>
      </c>
      <c r="F242" s="27"/>
      <c r="G242" s="27"/>
      <c r="H242" s="37"/>
    </row>
    <row r="243" customFormat="false" ht="18.75" hidden="false" customHeight="false" outlineLevel="0" collapsed="false">
      <c r="A243" s="113"/>
      <c r="B243" s="42"/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64" t="s">
        <v>222</v>
      </c>
      <c r="B244" s="43" t="s">
        <v>85</v>
      </c>
      <c r="C244" s="36"/>
      <c r="D244" s="36"/>
      <c r="E244" s="43" t="s">
        <v>143</v>
      </c>
      <c r="F244" s="27"/>
      <c r="G244" s="27"/>
      <c r="H244" s="37"/>
    </row>
    <row r="245" customFormat="false" ht="18.75" hidden="false" customHeight="false" outlineLevel="0" collapsed="false">
      <c r="A245" s="113" t="n">
        <f aca="false">A197</f>
        <v>8.1052</v>
      </c>
      <c r="B245" s="42" t="n">
        <f aca="false">E242+A245</f>
        <v>32.4208</v>
      </c>
      <c r="C245" s="36"/>
      <c r="D245" s="36"/>
      <c r="E245" s="42"/>
      <c r="F245" s="27"/>
      <c r="G245" s="27"/>
      <c r="H245" s="37"/>
    </row>
    <row r="246" customFormat="false" ht="18.75" hidden="false" customHeight="false" outlineLevel="0" collapsed="false">
      <c r="A246" s="113"/>
      <c r="B246" s="42"/>
      <c r="C246" s="36"/>
      <c r="D246" s="36"/>
      <c r="E246" s="42"/>
      <c r="F246" s="27"/>
      <c r="G246" s="27"/>
      <c r="H246" s="37"/>
    </row>
    <row r="247" customFormat="false" ht="22.05" hidden="false" customHeight="false" outlineLevel="0" collapsed="false">
      <c r="A247" s="180" t="s">
        <v>223</v>
      </c>
      <c r="B247" s="180"/>
      <c r="C247" s="180"/>
      <c r="D247" s="180"/>
      <c r="E247" s="180"/>
      <c r="F247" s="180"/>
      <c r="G247" s="180"/>
      <c r="H247" s="180"/>
    </row>
    <row r="248" customFormat="false" ht="18.75" hidden="false" customHeight="false" outlineLevel="0" collapsed="false">
      <c r="A248" s="35" t="s">
        <v>224</v>
      </c>
      <c r="B248" s="36" t="s">
        <v>210</v>
      </c>
      <c r="C248" s="36"/>
      <c r="D248" s="36"/>
      <c r="E248" s="43" t="s">
        <v>211</v>
      </c>
      <c r="F248" s="27"/>
      <c r="G248" s="27"/>
      <c r="H248" s="37"/>
    </row>
    <row r="249" customFormat="false" ht="18.75" hidden="false" customHeight="false" outlineLevel="0" collapsed="false">
      <c r="A249" s="113" t="n">
        <f aca="false">H157</f>
        <v>2083.33</v>
      </c>
      <c r="B249" s="42" t="n">
        <f aca="false">B197</f>
        <v>102.5</v>
      </c>
      <c r="C249" s="36"/>
      <c r="D249" s="36"/>
      <c r="E249" s="42" t="n">
        <f aca="false">E197</f>
        <v>0</v>
      </c>
      <c r="F249" s="27"/>
      <c r="G249" s="27"/>
      <c r="H249" s="37"/>
    </row>
    <row r="250" customFormat="false" ht="18.75" hidden="false" customHeight="false" outlineLevel="0" collapsed="false">
      <c r="A250" s="113"/>
      <c r="B250" s="42"/>
      <c r="C250" s="36"/>
      <c r="D250" s="36"/>
      <c r="E250" s="27"/>
      <c r="F250" s="27"/>
      <c r="G250" s="27"/>
      <c r="H250" s="37"/>
    </row>
    <row r="251" customFormat="false" ht="18.75" hidden="false" customHeight="false" outlineLevel="0" collapsed="false">
      <c r="A251" s="64" t="s">
        <v>212</v>
      </c>
      <c r="B251" s="43" t="s">
        <v>213</v>
      </c>
      <c r="C251" s="36"/>
      <c r="D251" s="36"/>
      <c r="E251" s="43"/>
      <c r="F251" s="27"/>
      <c r="G251" s="27"/>
      <c r="H251" s="37"/>
    </row>
    <row r="252" customFormat="false" ht="18.75" hidden="false" customHeight="false" outlineLevel="0" collapsed="false">
      <c r="A252" s="113" t="n">
        <f aca="false">A200</f>
        <v>20</v>
      </c>
      <c r="B252" s="42" t="n">
        <f aca="false">B249+E249+A252+A249-H165</f>
        <v>1055.83</v>
      </c>
      <c r="C252" s="36"/>
      <c r="D252" s="36"/>
      <c r="E252" s="42"/>
      <c r="F252" s="27"/>
      <c r="G252" s="27"/>
      <c r="H252" s="37"/>
    </row>
    <row r="253" customFormat="false" ht="18.75" hidden="false" customHeight="false" outlineLevel="0" collapsed="false">
      <c r="A253" s="35"/>
      <c r="B253" s="36"/>
      <c r="C253" s="36"/>
      <c r="D253" s="36"/>
      <c r="E253" s="27"/>
      <c r="F253" s="27"/>
      <c r="G253" s="27"/>
      <c r="H253" s="37"/>
    </row>
    <row r="254" customFormat="false" ht="18.75" hidden="false" customHeight="false" outlineLevel="0" collapsed="false">
      <c r="A254" s="60"/>
      <c r="B254" s="61"/>
      <c r="C254" s="61"/>
      <c r="D254" s="61"/>
      <c r="E254" s="61"/>
      <c r="F254" s="61"/>
      <c r="G254" s="61"/>
      <c r="H254" s="69"/>
    </row>
    <row r="260" customFormat="false" ht="22.05" hidden="false" customHeight="false" outlineLevel="0" collapsed="false">
      <c r="A260" s="175" t="s">
        <v>225</v>
      </c>
      <c r="B260" s="175"/>
      <c r="C260" s="175"/>
      <c r="D260" s="175"/>
      <c r="E260" s="175"/>
      <c r="F260" s="175"/>
      <c r="G260" s="175"/>
      <c r="H260" s="175"/>
    </row>
    <row r="261" customFormat="false" ht="18.75" hidden="false" customHeight="false" outlineLevel="0" collapsed="false">
      <c r="A261" s="35"/>
      <c r="B261" s="36"/>
      <c r="C261" s="36"/>
      <c r="D261" s="36"/>
      <c r="E261" s="27"/>
      <c r="F261" s="27"/>
      <c r="G261" s="27"/>
      <c r="H261" s="37"/>
    </row>
    <row r="262" customFormat="false" ht="18.75" hidden="false" customHeight="false" outlineLevel="0" collapsed="false">
      <c r="A262" s="176" t="s">
        <v>226</v>
      </c>
      <c r="B262" s="181" t="n">
        <f aca="false">B72</f>
        <v>0.065</v>
      </c>
      <c r="C262" s="182"/>
      <c r="D262" s="183" t="s">
        <v>227</v>
      </c>
      <c r="E262" s="183"/>
      <c r="F262" s="181" t="n">
        <f aca="false">B92</f>
        <v>0.1255</v>
      </c>
      <c r="G262" s="27"/>
      <c r="H262" s="37"/>
    </row>
    <row r="263" customFormat="false" ht="18.75" hidden="false" customHeight="false" outlineLevel="0" collapsed="false">
      <c r="A263" s="176" t="s">
        <v>228</v>
      </c>
      <c r="B263" s="185" t="n">
        <f aca="false">(E191-B191)-(B210-B191-A194)</f>
        <v>710.82653786954</v>
      </c>
      <c r="C263" s="182"/>
      <c r="D263" s="183" t="s">
        <v>229</v>
      </c>
      <c r="E263" s="183"/>
      <c r="F263" s="185" t="n">
        <f aca="false">F270+F276+F278+B279+B280</f>
        <v>102.5</v>
      </c>
      <c r="G263" s="27"/>
      <c r="H263" s="37"/>
    </row>
    <row r="264" customFormat="false" ht="18.75" hidden="false" customHeight="false" outlineLevel="0" collapsed="false">
      <c r="A264" s="176" t="s">
        <v>230</v>
      </c>
      <c r="B264" s="185" t="n">
        <f aca="false">F271+B272</f>
        <v>20</v>
      </c>
      <c r="C264" s="182"/>
      <c r="D264" s="183" t="s">
        <v>231</v>
      </c>
      <c r="E264" s="183"/>
      <c r="F264" s="185" t="n">
        <f aca="false">(B263-F263)+B264</f>
        <v>628.32653786954</v>
      </c>
      <c r="G264" s="27"/>
      <c r="H264" s="37"/>
    </row>
    <row r="265" customFormat="false" ht="18.75" hidden="false" customHeight="false" outlineLevel="0" collapsed="false">
      <c r="A265" s="186"/>
      <c r="B265" s="182"/>
      <c r="C265" s="187"/>
      <c r="D265" s="187"/>
      <c r="E265" s="187"/>
      <c r="F265" s="187"/>
      <c r="G265" s="188"/>
      <c r="H265" s="189"/>
    </row>
    <row r="266" customFormat="false" ht="18.75" hidden="false" customHeight="false" outlineLevel="0" collapsed="false">
      <c r="A266" s="35" t="s">
        <v>226</v>
      </c>
      <c r="B266" s="190" t="n">
        <f aca="false">B262</f>
        <v>0.065</v>
      </c>
      <c r="C266" s="182"/>
      <c r="D266" s="182"/>
      <c r="E266" s="182"/>
      <c r="F266" s="182"/>
      <c r="G266" s="27"/>
      <c r="H266" s="37"/>
    </row>
    <row r="267" customFormat="false" ht="18.75" hidden="false" customHeight="false" outlineLevel="0" collapsed="false">
      <c r="A267" s="191"/>
      <c r="B267" s="192"/>
      <c r="C267" s="193"/>
      <c r="D267" s="193"/>
      <c r="E267" s="188"/>
      <c r="F267" s="188"/>
      <c r="G267" s="188"/>
      <c r="H267" s="189"/>
    </row>
    <row r="268" customFormat="false" ht="18.75" hidden="false" customHeight="false" outlineLevel="0" collapsed="false">
      <c r="A268" s="35" t="s">
        <v>232</v>
      </c>
      <c r="B268" s="190" t="n">
        <f aca="false">B73</f>
        <v>0.05</v>
      </c>
      <c r="C268" s="36"/>
      <c r="D268" s="156" t="s">
        <v>233</v>
      </c>
      <c r="E268" s="156"/>
      <c r="F268" s="190" t="n">
        <v>0</v>
      </c>
      <c r="G268" s="27"/>
      <c r="H268" s="37"/>
    </row>
    <row r="269" customFormat="false" ht="18.75" hidden="false" customHeight="false" outlineLevel="0" collapsed="false">
      <c r="A269" s="112" t="s">
        <v>227</v>
      </c>
      <c r="B269" s="194" t="n">
        <f aca="false">B92</f>
        <v>0.1255</v>
      </c>
      <c r="C269" s="47"/>
      <c r="D269" s="156" t="s">
        <v>228</v>
      </c>
      <c r="E269" s="156"/>
      <c r="F269" s="135" t="n">
        <f aca="false">(B98*B68)-(C98*B68)</f>
        <v>10101.2065378695</v>
      </c>
      <c r="G269" s="27"/>
      <c r="H269" s="37"/>
    </row>
    <row r="270" customFormat="false" ht="18.75" hidden="false" customHeight="false" outlineLevel="0" collapsed="false">
      <c r="A270" s="35" t="s">
        <v>234</v>
      </c>
      <c r="B270" s="194" t="n">
        <f aca="false">B76</f>
        <v>0.005</v>
      </c>
      <c r="C270" s="36"/>
      <c r="D270" s="156" t="s">
        <v>234</v>
      </c>
      <c r="E270" s="156"/>
      <c r="F270" s="142" t="n">
        <f aca="false">B77</f>
        <v>102.5</v>
      </c>
      <c r="G270" s="27"/>
      <c r="H270" s="37"/>
    </row>
    <row r="271" customFormat="false" ht="18.75" hidden="false" customHeight="false" outlineLevel="0" collapsed="false">
      <c r="A271" s="35" t="s">
        <v>235</v>
      </c>
      <c r="B271" s="190" t="n">
        <f aca="false">A117</f>
        <v>0.2</v>
      </c>
      <c r="C271" s="36"/>
      <c r="D271" s="156" t="s">
        <v>235</v>
      </c>
      <c r="E271" s="156"/>
      <c r="F271" s="135" t="n">
        <f aca="false">E249*10</f>
        <v>0</v>
      </c>
      <c r="G271" s="27"/>
      <c r="H271" s="37"/>
    </row>
    <row r="272" customFormat="false" ht="18.75" hidden="false" customHeight="false" outlineLevel="0" collapsed="false">
      <c r="A272" s="35" t="s">
        <v>236</v>
      </c>
      <c r="B272" s="135" t="n">
        <f aca="false">A252</f>
        <v>20</v>
      </c>
      <c r="C272" s="36"/>
      <c r="D272" s="43" t="s">
        <v>231</v>
      </c>
      <c r="E272" s="43"/>
      <c r="F272" s="135" t="n">
        <f aca="false">(B263-F263)+B264</f>
        <v>628.32653786954</v>
      </c>
      <c r="G272" s="27"/>
      <c r="H272" s="37"/>
    </row>
    <row r="273" customFormat="false" ht="18.75" hidden="false" customHeight="false" outlineLevel="0" collapsed="false">
      <c r="A273" s="113"/>
      <c r="B273" s="42"/>
      <c r="C273" s="36"/>
      <c r="D273" s="36"/>
      <c r="E273" s="42"/>
      <c r="F273" s="27"/>
      <c r="G273" s="27"/>
      <c r="H273" s="37"/>
    </row>
    <row r="274" customFormat="false" ht="22.05" hidden="false" customHeight="false" outlineLevel="0" collapsed="false">
      <c r="A274" s="180" t="s">
        <v>237</v>
      </c>
      <c r="B274" s="180"/>
      <c r="C274" s="180"/>
      <c r="D274" s="180"/>
      <c r="E274" s="180"/>
      <c r="F274" s="180"/>
      <c r="G274" s="180"/>
      <c r="H274" s="180"/>
    </row>
    <row r="275" customFormat="false" ht="18.75" hidden="false" customHeight="false" outlineLevel="0" collapsed="false">
      <c r="A275" s="35" t="s">
        <v>238</v>
      </c>
      <c r="B275" s="142" t="n">
        <v>0</v>
      </c>
      <c r="C275" s="36"/>
      <c r="D275" s="195" t="s">
        <v>239</v>
      </c>
      <c r="E275" s="195"/>
      <c r="F275" s="142" t="n">
        <v>0</v>
      </c>
      <c r="G275" s="27"/>
      <c r="H275" s="37"/>
    </row>
    <row r="276" customFormat="false" ht="18.75" hidden="false" customHeight="false" outlineLevel="0" collapsed="false">
      <c r="A276" s="113"/>
      <c r="B276" s="135"/>
      <c r="C276" s="36"/>
      <c r="D276" s="156" t="s">
        <v>240</v>
      </c>
      <c r="E276" s="156"/>
      <c r="F276" s="135" t="n">
        <f aca="false">B275+F275*B218</f>
        <v>0</v>
      </c>
      <c r="G276" s="27"/>
      <c r="H276" s="37"/>
    </row>
    <row r="277" customFormat="false" ht="18.75" hidden="false" customHeight="false" outlineLevel="0" collapsed="false">
      <c r="A277" s="64" t="s">
        <v>241</v>
      </c>
      <c r="B277" s="196" t="s">
        <v>10</v>
      </c>
      <c r="C277" s="36"/>
      <c r="D277" s="156" t="s">
        <v>242</v>
      </c>
      <c r="E277" s="156"/>
      <c r="F277" s="196" t="n">
        <f aca="false">B79</f>
        <v>0</v>
      </c>
      <c r="G277" s="27"/>
      <c r="H277" s="37"/>
    </row>
    <row r="278" customFormat="false" ht="18.75" hidden="false" customHeight="false" outlineLevel="0" collapsed="false">
      <c r="A278" s="64"/>
      <c r="B278" s="146"/>
      <c r="C278" s="36"/>
      <c r="D278" s="156" t="s">
        <v>243</v>
      </c>
      <c r="E278" s="156"/>
      <c r="F278" s="135" t="n">
        <f aca="false">B100</f>
        <v>0</v>
      </c>
      <c r="G278" s="27"/>
      <c r="H278" s="37"/>
    </row>
    <row r="279" customFormat="false" ht="18.75" hidden="false" customHeight="false" outlineLevel="0" collapsed="false">
      <c r="A279" s="64" t="s">
        <v>244</v>
      </c>
      <c r="B279" s="142" t="n">
        <v>0</v>
      </c>
      <c r="C279" s="36"/>
      <c r="D279" s="36"/>
      <c r="E279" s="42"/>
      <c r="F279" s="27"/>
      <c r="G279" s="27"/>
      <c r="H279" s="37"/>
    </row>
    <row r="280" customFormat="false" ht="18.75" hidden="false" customHeight="false" outlineLevel="0" collapsed="false">
      <c r="A280" s="35" t="s">
        <v>245</v>
      </c>
      <c r="B280" s="142" t="n">
        <v>0</v>
      </c>
      <c r="C280" s="36"/>
      <c r="D280" s="36"/>
      <c r="E280" s="27"/>
      <c r="F280" s="27"/>
      <c r="G280" s="27"/>
      <c r="H280" s="37"/>
    </row>
    <row r="281" customFormat="false" ht="18.75" hidden="false" customHeight="false" outlineLevel="0" collapsed="false">
      <c r="A281" s="60"/>
      <c r="B281" s="61"/>
      <c r="C281" s="61"/>
      <c r="D281" s="61"/>
      <c r="E281" s="61"/>
      <c r="F281" s="61"/>
      <c r="G281" s="61"/>
      <c r="H281" s="69"/>
    </row>
  </sheetData>
  <mergeCells count="267">
    <mergeCell ref="A1:F1"/>
    <mergeCell ref="D7:E18"/>
    <mergeCell ref="A16:C18"/>
    <mergeCell ref="A19:D19"/>
    <mergeCell ref="A21:D21"/>
    <mergeCell ref="A24:H24"/>
    <mergeCell ref="A26:H26"/>
    <mergeCell ref="C31:D31"/>
    <mergeCell ref="F31:G31"/>
    <mergeCell ref="C34:D34"/>
    <mergeCell ref="F34:G34"/>
    <mergeCell ref="C37:D37"/>
    <mergeCell ref="J38:K38"/>
    <mergeCell ref="C40:D40"/>
    <mergeCell ref="F40:G40"/>
    <mergeCell ref="C43:D43"/>
    <mergeCell ref="F43:G43"/>
    <mergeCell ref="C46:D46"/>
    <mergeCell ref="F46:G46"/>
    <mergeCell ref="C53:E53"/>
    <mergeCell ref="A58:A59"/>
    <mergeCell ref="B58:D58"/>
    <mergeCell ref="B59:D59"/>
    <mergeCell ref="B60:D60"/>
    <mergeCell ref="A109:H109"/>
    <mergeCell ref="J109:Q109"/>
    <mergeCell ref="S109:Z109"/>
    <mergeCell ref="AB109:AI109"/>
    <mergeCell ref="A111:H111"/>
    <mergeCell ref="J111:Q111"/>
    <mergeCell ref="S111:Z111"/>
    <mergeCell ref="AB111:AI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B117:D117"/>
    <mergeCell ref="E117:G117"/>
    <mergeCell ref="K117:M117"/>
    <mergeCell ref="N117:P117"/>
    <mergeCell ref="T117:V117"/>
    <mergeCell ref="W117:Y117"/>
    <mergeCell ref="AC117:AE117"/>
    <mergeCell ref="AF117:AH117"/>
    <mergeCell ref="B120:D120"/>
    <mergeCell ref="E120:G120"/>
    <mergeCell ref="K120:M120"/>
    <mergeCell ref="N120:P120"/>
    <mergeCell ref="T120:V120"/>
    <mergeCell ref="W120:Y120"/>
    <mergeCell ref="AC120:AE120"/>
    <mergeCell ref="AF120:AH120"/>
    <mergeCell ref="B123:D123"/>
    <mergeCell ref="E123:G123"/>
    <mergeCell ref="K123:M123"/>
    <mergeCell ref="N123:P123"/>
    <mergeCell ref="T123:V123"/>
    <mergeCell ref="W123:Y123"/>
    <mergeCell ref="AC123:AE123"/>
    <mergeCell ref="AF123:AH123"/>
    <mergeCell ref="A126:H126"/>
    <mergeCell ref="J126:Q126"/>
    <mergeCell ref="S126:Z126"/>
    <mergeCell ref="AB126:AI126"/>
    <mergeCell ref="B128:C128"/>
    <mergeCell ref="D128:E128"/>
    <mergeCell ref="F128:G128"/>
    <mergeCell ref="K128:L128"/>
    <mergeCell ref="M128:N128"/>
    <mergeCell ref="O128:P128"/>
    <mergeCell ref="T128:U128"/>
    <mergeCell ref="V128:W128"/>
    <mergeCell ref="X128:Y128"/>
    <mergeCell ref="AC128:AD128"/>
    <mergeCell ref="AE128:AF128"/>
    <mergeCell ref="AG128:AH128"/>
    <mergeCell ref="B139:C139"/>
    <mergeCell ref="D139:E139"/>
    <mergeCell ref="F139:G139"/>
    <mergeCell ref="K139:L139"/>
    <mergeCell ref="M139:N139"/>
    <mergeCell ref="O139:P139"/>
    <mergeCell ref="T139:U139"/>
    <mergeCell ref="V139:W139"/>
    <mergeCell ref="X139:Y139"/>
    <mergeCell ref="AC139:AD139"/>
    <mergeCell ref="AE139:AF139"/>
    <mergeCell ref="AG139:AH139"/>
    <mergeCell ref="B140:C140"/>
    <mergeCell ref="D140:E140"/>
    <mergeCell ref="F140:G140"/>
    <mergeCell ref="K140:L140"/>
    <mergeCell ref="M140:N140"/>
    <mergeCell ref="O140:P140"/>
    <mergeCell ref="T140:U140"/>
    <mergeCell ref="V140:W140"/>
    <mergeCell ref="X140:Y140"/>
    <mergeCell ref="AC140:AD140"/>
    <mergeCell ref="AE140:AF140"/>
    <mergeCell ref="AG140:AH140"/>
    <mergeCell ref="B141:C141"/>
    <mergeCell ref="D141:E141"/>
    <mergeCell ref="F141:G141"/>
    <mergeCell ref="K141:L141"/>
    <mergeCell ref="M141:N141"/>
    <mergeCell ref="O141:P141"/>
    <mergeCell ref="T141:U141"/>
    <mergeCell ref="V141:W141"/>
    <mergeCell ref="X141:Y141"/>
    <mergeCell ref="AC141:AD141"/>
    <mergeCell ref="AE141:AF141"/>
    <mergeCell ref="AG141:AH141"/>
    <mergeCell ref="B142:C142"/>
    <mergeCell ref="D142:E142"/>
    <mergeCell ref="F142:G142"/>
    <mergeCell ref="K142:L142"/>
    <mergeCell ref="M142:N142"/>
    <mergeCell ref="O142:P142"/>
    <mergeCell ref="T142:U142"/>
    <mergeCell ref="V142:W142"/>
    <mergeCell ref="X142:Y142"/>
    <mergeCell ref="AC142:AD142"/>
    <mergeCell ref="AE142:AF142"/>
    <mergeCell ref="AG142:AH142"/>
    <mergeCell ref="A144:F144"/>
    <mergeCell ref="J144:O144"/>
    <mergeCell ref="S144:X144"/>
    <mergeCell ref="AB144:AG144"/>
    <mergeCell ref="A145:F145"/>
    <mergeCell ref="J145:O145"/>
    <mergeCell ref="S145:X145"/>
    <mergeCell ref="AB145:AG145"/>
    <mergeCell ref="A146:F146"/>
    <mergeCell ref="J146:O146"/>
    <mergeCell ref="S146:X146"/>
    <mergeCell ref="AB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49:F149"/>
    <mergeCell ref="J149:O149"/>
    <mergeCell ref="S149:X149"/>
    <mergeCell ref="AB149:AG149"/>
    <mergeCell ref="A150:F150"/>
    <mergeCell ref="J150:O150"/>
    <mergeCell ref="S150:X150"/>
    <mergeCell ref="AB150:AG150"/>
    <mergeCell ref="A151:F151"/>
    <mergeCell ref="J151:O151"/>
    <mergeCell ref="S151:X151"/>
    <mergeCell ref="AB151:AG151"/>
    <mergeCell ref="A152:F152"/>
    <mergeCell ref="J152:O152"/>
    <mergeCell ref="S152:X152"/>
    <mergeCell ref="AB152:AG152"/>
    <mergeCell ref="B153:F153"/>
    <mergeCell ref="K153:O153"/>
    <mergeCell ref="T153:X153"/>
    <mergeCell ref="AC153:AG153"/>
    <mergeCell ref="B154:F154"/>
    <mergeCell ref="K154:O154"/>
    <mergeCell ref="T154:X154"/>
    <mergeCell ref="AC154:AG154"/>
    <mergeCell ref="B155:F155"/>
    <mergeCell ref="K155:O155"/>
    <mergeCell ref="T155:X155"/>
    <mergeCell ref="AC155:AG155"/>
    <mergeCell ref="A156:F156"/>
    <mergeCell ref="J156:O156"/>
    <mergeCell ref="S156:X156"/>
    <mergeCell ref="AB156:AG156"/>
    <mergeCell ref="A157:F157"/>
    <mergeCell ref="J157:O157"/>
    <mergeCell ref="S157:X157"/>
    <mergeCell ref="AB157:AG157"/>
    <mergeCell ref="A159:H159"/>
    <mergeCell ref="J159:Q159"/>
    <mergeCell ref="S159:Z159"/>
    <mergeCell ref="AB159:AI159"/>
    <mergeCell ref="E161:F161"/>
    <mergeCell ref="G161:H161"/>
    <mergeCell ref="N161:O161"/>
    <mergeCell ref="P161:Q161"/>
    <mergeCell ref="W161:X161"/>
    <mergeCell ref="Y161:Z161"/>
    <mergeCell ref="AF161:AG161"/>
    <mergeCell ref="AH161:AI161"/>
    <mergeCell ref="E162:F162"/>
    <mergeCell ref="G162:H162"/>
    <mergeCell ref="N162:O162"/>
    <mergeCell ref="P162:Q162"/>
    <mergeCell ref="W162:X162"/>
    <mergeCell ref="Y162:Z162"/>
    <mergeCell ref="AF162:AG162"/>
    <mergeCell ref="AH162:AI162"/>
    <mergeCell ref="E163:F163"/>
    <mergeCell ref="G163:H163"/>
    <mergeCell ref="N163:O163"/>
    <mergeCell ref="P163:Q163"/>
    <mergeCell ref="W163:X163"/>
    <mergeCell ref="Y163:Z163"/>
    <mergeCell ref="AF163:AG163"/>
    <mergeCell ref="AH163:AI163"/>
    <mergeCell ref="E164:F164"/>
    <mergeCell ref="N164:O164"/>
    <mergeCell ref="W164:X164"/>
    <mergeCell ref="AF164:AG164"/>
    <mergeCell ref="G166:H166"/>
    <mergeCell ref="P166:Q166"/>
    <mergeCell ref="Y166:Z166"/>
    <mergeCell ref="AH166:AI166"/>
    <mergeCell ref="G167:H167"/>
    <mergeCell ref="P167:Q167"/>
    <mergeCell ref="Y167:Z167"/>
    <mergeCell ref="AH167:AI167"/>
    <mergeCell ref="G168:H168"/>
    <mergeCell ref="P168:Q168"/>
    <mergeCell ref="Y168:Z168"/>
    <mergeCell ref="AH168:AI168"/>
    <mergeCell ref="A171:H171"/>
    <mergeCell ref="J171:Q171"/>
    <mergeCell ref="S171:Z171"/>
    <mergeCell ref="AB171:AI171"/>
    <mergeCell ref="B173:C173"/>
    <mergeCell ref="K173:L173"/>
    <mergeCell ref="T173:U173"/>
    <mergeCell ref="AC173:AD173"/>
    <mergeCell ref="A204:A205"/>
    <mergeCell ref="B204:D204"/>
    <mergeCell ref="J204:J205"/>
    <mergeCell ref="K204:M204"/>
    <mergeCell ref="S204:S205"/>
    <mergeCell ref="T204:V204"/>
    <mergeCell ref="AB204:AB205"/>
    <mergeCell ref="AC204:AE204"/>
    <mergeCell ref="B205:D205"/>
    <mergeCell ref="K205:M205"/>
    <mergeCell ref="T205:V205"/>
    <mergeCell ref="AC205:AE205"/>
    <mergeCell ref="B206:D206"/>
    <mergeCell ref="K206:M206"/>
    <mergeCell ref="T206:V206"/>
    <mergeCell ref="AC206:AE206"/>
    <mergeCell ref="A215:H215"/>
    <mergeCell ref="A247:H247"/>
    <mergeCell ref="A260:H260"/>
    <mergeCell ref="D262:E262"/>
    <mergeCell ref="D263:E263"/>
    <mergeCell ref="D264:E264"/>
    <mergeCell ref="D268:E268"/>
    <mergeCell ref="D269:E269"/>
    <mergeCell ref="D270:E270"/>
    <mergeCell ref="D271:E271"/>
    <mergeCell ref="A274:H274"/>
    <mergeCell ref="D275:E275"/>
    <mergeCell ref="D276:E276"/>
    <mergeCell ref="D277:E277"/>
    <mergeCell ref="D278:E278"/>
  </mergeCells>
  <dataValidations count="5">
    <dataValidation allowBlank="true" errorStyle="stop" operator="between" showDropDown="false" showErrorMessage="true" showInputMessage="true" sqref="B114 K114 T114 AC114" type="list">
      <formula1>$Y$136:$Y$145</formula1>
      <formula2>0</formula2>
    </dataValidation>
    <dataValidation allowBlank="true" errorStyle="stop" operator="between" showDropDown="false" showErrorMessage="true" showInputMessage="true" sqref="E114 N114 W114 AF114 A120 J120 S120 AB120" type="list">
      <formula1>$Z$19:$Z$20</formula1>
      <formula2>0</formula2>
    </dataValidation>
    <dataValidation allowBlank="true" errorStyle="stop" operator="between" showDropDown="false" showErrorMessage="true" showInputMessage="true" sqref="B117:D117 K117:M117 T117:V117 AC117:AE117" type="list">
      <formula1>$AP$117:$AP$118</formula1>
      <formula2>0</formula2>
    </dataValidation>
    <dataValidation allowBlank="true" errorStyle="stop" operator="between" showDropDown="false" showErrorMessage="true" showInputMessage="true" sqref="A153:A155" type="list">
      <formula1>#ref!</formula1>
      <formula2>0</formula2>
    </dataValidation>
    <dataValidation allowBlank="true" errorStyle="stop" operator="between" showDropDown="false" showErrorMessage="true" showInputMessage="true" sqref="J153:J155 S153:S155 AB153:AB155" type="list">
      <formula1>$AB$16:$AB$18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07" colorId="64" zoomScale="100" zoomScaleNormal="100" zoomScalePageLayoutView="100" workbookViewId="0">
      <selection pane="topLeft" activeCell="B243" activeCellId="0" sqref="B243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16850.004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/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33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49" t="s">
        <v>255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259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0.095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s">
        <v>92</v>
      </c>
      <c r="J36" s="48" t="s">
        <v>64</v>
      </c>
      <c r="K36" s="56" t="n">
        <f aca="false">K32-K34</f>
        <v>15850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13750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n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500.363636363636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500.363636363636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500.363636363636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236" t="s">
        <v>10</v>
      </c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33</v>
      </c>
      <c r="B53" s="78" t="n">
        <f aca="false">H45</f>
        <v>500.363636363636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32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40526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0.095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12835.9117424856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0.015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0.015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307.5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500.363636363636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15850</v>
      </c>
      <c r="C81" s="36"/>
      <c r="D81" s="36"/>
      <c r="E81" s="27"/>
      <c r="F81" s="29" t="s">
        <v>118</v>
      </c>
      <c r="G81" s="31" t="n">
        <f aca="false">B81</f>
        <v>15850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IF(A111="YES",D41,0)*1.2</f>
        <v>7200</v>
      </c>
      <c r="C82" s="36"/>
      <c r="D82" s="36"/>
      <c r="E82" s="27"/>
      <c r="F82" s="35" t="s">
        <v>119</v>
      </c>
      <c r="G82" s="37" t="n">
        <f aca="false">IF(A111="YES",D41,0)*1.2</f>
        <v>7200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0.145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0.0120833333333333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32</v>
      </c>
      <c r="C85" s="36"/>
      <c r="D85" s="36"/>
      <c r="E85" s="27"/>
      <c r="F85" s="35" t="s">
        <v>122</v>
      </c>
      <c r="G85" s="37" t="n">
        <f aca="false">IF(G82=0,(B59+B58),(B59))</f>
        <v>32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4843.90351985788</v>
      </c>
      <c r="C86" s="36" t="n">
        <f aca="false">(B82/((1+B84)^(B85+1)))</f>
        <v>4843.90351985788</v>
      </c>
      <c r="D86" s="36"/>
      <c r="E86" s="27"/>
      <c r="F86" s="35" t="s">
        <v>123</v>
      </c>
      <c r="G86" s="37" t="n">
        <f aca="false">(G82/((1+G84)^(G85+1)))</f>
        <v>5550.34292967628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26.4088043595077</v>
      </c>
      <c r="C87" s="36" t="n">
        <f aca="false">((1-(1/((1+B84)^B85)))/B84)</f>
        <v>26.4088043595077</v>
      </c>
      <c r="D87" s="36"/>
      <c r="E87" s="27"/>
      <c r="F87" s="35" t="s">
        <v>124</v>
      </c>
      <c r="G87" s="37" t="n">
        <f aca="false">((1-(1/((1+G84)^G85)))/G84)</f>
        <v>28.1704711484875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11006.0964801421</v>
      </c>
      <c r="C88" s="36" t="n">
        <f aca="false">B81-B86</f>
        <v>11006.0964801421</v>
      </c>
      <c r="D88" s="36"/>
      <c r="E88" s="27"/>
      <c r="F88" s="35" t="s">
        <v>125</v>
      </c>
      <c r="G88" s="37" t="n">
        <f aca="false">G81-G86</f>
        <v>10299.6570703237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416.758605589037</v>
      </c>
      <c r="C89" s="36" t="n">
        <f aca="false">(B88/B87)</f>
        <v>416.758605589037</v>
      </c>
      <c r="D89" s="36"/>
      <c r="E89" s="27"/>
      <c r="F89" s="35" t="s">
        <v>126</v>
      </c>
      <c r="G89" s="37" t="n">
        <f aca="false">(G88/G87)</f>
        <v>365.618914076158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13336.2753788492</v>
      </c>
      <c r="C90" s="36"/>
      <c r="D90" s="36"/>
      <c r="E90" s="27"/>
      <c r="F90" s="35" t="s">
        <v>127</v>
      </c>
      <c r="G90" s="37" t="n">
        <f aca="false">((G89*(G85))+G77)</f>
        <v>11699.805250437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13336.2753788492</v>
      </c>
      <c r="C92" s="36"/>
      <c r="D92" s="36"/>
      <c r="E92" s="27"/>
      <c r="F92" s="60" t="s">
        <v>129</v>
      </c>
      <c r="G92" s="69" t="n">
        <f aca="false">(G90+G91)</f>
        <v>11699.805250437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n">
        <f aca="false">IF(B38="YES",((H36/B85)*(1+A108)*1.2),"0")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416.758605589037</v>
      </c>
      <c r="C95" s="36"/>
      <c r="D95" s="36"/>
      <c r="E95" s="27"/>
      <c r="F95" s="97" t="s">
        <v>131</v>
      </c>
      <c r="G95" s="98" t="n">
        <f aca="false">G92/(G85)</f>
        <v>365.618914076158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416.758605589037</v>
      </c>
      <c r="C96" s="36"/>
      <c r="D96" s="36"/>
      <c r="E96" s="27"/>
      <c r="F96" s="99" t="s">
        <v>132</v>
      </c>
      <c r="G96" s="100" t="n">
        <f aca="false">G94+G95</f>
        <v>365.618914076158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135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31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12</v>
      </c>
      <c r="C108" s="109"/>
      <c r="D108" s="109" t="n">
        <v>0</v>
      </c>
      <c r="E108" s="110" t="n">
        <f aca="false">B83</f>
        <v>0.145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E19</f>
        <v>16850.004</v>
      </c>
      <c r="C121" s="44" t="n">
        <v>15625</v>
      </c>
      <c r="D121" s="29" t="n">
        <f aca="false">D3</f>
        <v>0</v>
      </c>
      <c r="E121" s="44" t="n">
        <f aca="false">D121</f>
        <v>0</v>
      </c>
      <c r="F121" s="29" t="n"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f aca="false">B122</f>
        <v>0</v>
      </c>
      <c r="D122" s="122" t="n">
        <v>0</v>
      </c>
      <c r="E122" s="123" t="n">
        <f aca="false">D122</f>
        <v>0</v>
      </c>
      <c r="F122" s="122" t="n"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f aca="false">B123</f>
        <v>0</v>
      </c>
      <c r="D123" s="35" t="n">
        <v>0</v>
      </c>
      <c r="E123" s="44" t="n">
        <f aca="false">D123</f>
        <v>0</v>
      </c>
      <c r="F123" s="35" t="n"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16850.004</v>
      </c>
      <c r="C125" s="69" t="n">
        <f aca="false">C121-C124</f>
        <v>16125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E21</f>
        <v>14041.67</v>
      </c>
      <c r="H135" s="144" t="n">
        <f aca="false">C125+E125+G125+H128</f>
        <v>16125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2808.334</v>
      </c>
      <c r="H137" s="37" t="n">
        <f aca="false">(H135+H136)*20%</f>
        <v>3225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16850.004</v>
      </c>
      <c r="H141" s="147" t="n">
        <f aca="false">(H135+H136+H139+H140+H137)-H138</f>
        <v>19350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44" t="n">
        <f aca="false">F142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37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44" t="n"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44" t="n"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44" t="n"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54" t="n">
        <f aca="false">G141-((G144*1.2)+(G145*1.2)+(G146*1.2)+(G142*1.2))</f>
        <v>16850.004</v>
      </c>
      <c r="H147" s="154" t="n">
        <f aca="false">H141-((H144*1.2)+(H145*1.2)+(H146*1.2)+(H142*1.2))</f>
        <v>19350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-11472.225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1150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20500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165" t="n">
        <f aca="false">B95</f>
        <v>416.758605589037</v>
      </c>
      <c r="B167" s="166" t="n">
        <f aca="false">B94</f>
        <v>0</v>
      </c>
      <c r="C167" s="164"/>
      <c r="D167" s="164"/>
      <c r="E167" s="166" t="n">
        <f aca="false">B96</f>
        <v>416.758605589037</v>
      </c>
      <c r="F167" s="27"/>
      <c r="G167" s="27" t="n">
        <f aca="false">ROUND(G95,2)</f>
        <v>365.62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n">
        <f aca="false">B29</f>
        <v>12345</v>
      </c>
      <c r="B170" s="168" t="n">
        <f aca="false">B30</f>
        <v>0</v>
      </c>
      <c r="C170" s="169"/>
      <c r="D170" s="27"/>
      <c r="E170" s="170" t="n">
        <v>7200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16125</v>
      </c>
      <c r="B173" s="42" t="n">
        <f aca="false">H137</f>
        <v>3225</v>
      </c>
      <c r="C173" s="47"/>
      <c r="D173" s="27"/>
      <c r="E173" s="170" t="n">
        <f aca="false">H139+H140</f>
        <v>0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H141</f>
        <v>19350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20500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36.27537884919</v>
      </c>
      <c r="B182" s="42" t="n">
        <f aca="false">B114</f>
        <v>239.99</v>
      </c>
      <c r="C182" s="42"/>
      <c r="D182" s="27"/>
      <c r="E182" s="42" t="n">
        <f aca="false">E179+A182+B182+A185</f>
        <v>20786.2653788492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A179+B182</f>
        <v>239.99</v>
      </c>
      <c r="C185" s="42"/>
      <c r="D185" s="27"/>
      <c r="E185" s="42" t="n">
        <f aca="false">IF( E170=0, A185+E167, E170+A185)</f>
        <v>7210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J18*0.000002*100*1.2</f>
        <v>9.72624</v>
      </c>
      <c r="B188" s="42" t="n">
        <f aca="false">(G158*B67)</f>
        <v>307.5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327.5</v>
      </c>
      <c r="C191" s="36"/>
      <c r="D191" s="36"/>
      <c r="E191" s="42" t="n">
        <f aca="false">H148</f>
        <v>2083.33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33</v>
      </c>
      <c r="B197" s="78" t="n">
        <f aca="false">B96</f>
        <v>416.758605589037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-1600.16</v>
      </c>
      <c r="B201" s="47" t="n">
        <f aca="false">E179+A201+B182+A185</f>
        <v>19149.83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str">
        <f aca="false">A197</f>
        <v>33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416.758605589037</v>
      </c>
      <c r="B212" s="166" t="n">
        <f aca="false">B167</f>
        <v>0</v>
      </c>
      <c r="C212" s="164"/>
      <c r="D212" s="164"/>
      <c r="E212" s="166" t="n">
        <f aca="false">E167</f>
        <v>416.758605589037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16125</v>
      </c>
      <c r="B215" s="42" t="n">
        <f aca="false">B173</f>
        <v>3225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19350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20500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36.27537884919</v>
      </c>
      <c r="B224" s="42" t="n">
        <f aca="false">B182</f>
        <v>239.99</v>
      </c>
      <c r="C224" s="42"/>
      <c r="D224" s="27"/>
      <c r="E224" s="42" t="n">
        <f aca="false">E182</f>
        <v>20786.2653788492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239.99</v>
      </c>
      <c r="C227" s="42"/>
      <c r="D227" s="27"/>
      <c r="E227" s="42" t="n">
        <f aca="false">B59</f>
        <v>32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416.758605589037</v>
      </c>
      <c r="B230" s="42" t="n">
        <f aca="false">B167</f>
        <v>0</v>
      </c>
      <c r="C230" s="47"/>
      <c r="D230" s="47"/>
      <c r="E230" s="42" t="n">
        <f aca="false">E167</f>
        <v>416.758605589037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7200</v>
      </c>
      <c r="B233" s="42" t="n">
        <f aca="false">E185</f>
        <v>7210</v>
      </c>
      <c r="C233" s="36"/>
      <c r="D233" s="36"/>
      <c r="E233" s="42" t="n">
        <f aca="false">J18*0.000006*100*1.2</f>
        <v>29.17872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A188</f>
        <v>9.72624</v>
      </c>
      <c r="B236" s="42" t="n">
        <f aca="false">E233+A236</f>
        <v>38.90496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B188</f>
        <v>307.5</v>
      </c>
      <c r="C240" s="36"/>
      <c r="D240" s="36"/>
      <c r="E240" s="42" t="n">
        <f aca="false">IF(E105="YES",(H36*A108)*0.1,0)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1260.83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0.095</v>
      </c>
      <c r="C253" s="182"/>
      <c r="D253" s="183" t="s">
        <v>227</v>
      </c>
      <c r="E253" s="183"/>
      <c r="F253" s="181" t="n">
        <f aca="false">B83</f>
        <v>0.145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1646.43537884919</v>
      </c>
      <c r="C254" s="182"/>
      <c r="D254" s="183" t="s">
        <v>229</v>
      </c>
      <c r="E254" s="183"/>
      <c r="F254" s="185" t="n">
        <f aca="false">F261+F267+F269+B270+B271</f>
        <v>307.5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1358.93537884919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0.145</v>
      </c>
      <c r="C260" s="47"/>
      <c r="D260" s="156" t="s">
        <v>228</v>
      </c>
      <c r="E260" s="156"/>
      <c r="F260" s="135" t="n">
        <f aca="false">(B89*B59)-(C89*B59)</f>
        <v>0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0.015</v>
      </c>
      <c r="C261" s="36"/>
      <c r="D261" s="156" t="s">
        <v>234</v>
      </c>
      <c r="E261" s="156"/>
      <c r="F261" s="142" t="n">
        <f aca="false">B68</f>
        <v>307.5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1358.93537884919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71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B105 C108:D108 A144:A146" type="list">
      <formula1>#ref!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174" colorId="64" zoomScale="100" zoomScaleNormal="100" zoomScalePageLayoutView="100" workbookViewId="0">
      <selection pane="topLeft" activeCell="B68" activeCellId="0" sqref="B68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16850.004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/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12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49" t="s">
        <v>255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55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0.065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n">
        <v>0</v>
      </c>
      <c r="J36" s="48" t="s">
        <v>64</v>
      </c>
      <c r="K36" s="56" t="n">
        <f aca="false">K32-K34</f>
        <v>15850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199"/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12</v>
      </c>
      <c r="B53" s="78" t="n">
        <f aca="false">H45</f>
        <v>501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11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40526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0.0105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0.065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9600.20228251815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0.005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102.5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501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15850</v>
      </c>
      <c r="C81" s="36"/>
      <c r="D81" s="36"/>
      <c r="E81" s="27"/>
      <c r="F81" s="29" t="s">
        <v>118</v>
      </c>
      <c r="G81" s="31" t="n">
        <f aca="false">B81</f>
        <v>15850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IF(A111="YES",D41,0)*1.2</f>
        <v>7200</v>
      </c>
      <c r="C82" s="36"/>
      <c r="D82" s="36"/>
      <c r="E82" s="27"/>
      <c r="F82" s="35" t="s">
        <v>119</v>
      </c>
      <c r="G82" s="37" t="n">
        <f aca="false">IF(A111="YES",D41,0)*1.2</f>
        <v>7200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0.1255</v>
      </c>
      <c r="C83" s="36"/>
      <c r="D83" s="36"/>
      <c r="E83" s="27"/>
      <c r="F83" s="35" t="s">
        <v>120</v>
      </c>
      <c r="G83" s="95" t="n">
        <f aca="false">B63</f>
        <v>0.065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0.0104583333333333</v>
      </c>
      <c r="C84" s="36"/>
      <c r="D84" s="36"/>
      <c r="E84" s="27"/>
      <c r="F84" s="35" t="s">
        <v>121</v>
      </c>
      <c r="G84" s="88" t="n">
        <f aca="false">G83/12</f>
        <v>0.00541666666666667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11</v>
      </c>
      <c r="C85" s="36"/>
      <c r="D85" s="36"/>
      <c r="E85" s="27"/>
      <c r="F85" s="35" t="s">
        <v>122</v>
      </c>
      <c r="G85" s="37" t="n">
        <f aca="false">IF(G82=0,(B59+B58),(B59))</f>
        <v>11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6354.94179987962</v>
      </c>
      <c r="C86" s="36" t="n">
        <f aca="false">(B82/((1+B84)^(B85+1)))</f>
        <v>6354.94179987962</v>
      </c>
      <c r="D86" s="36"/>
      <c r="E86" s="27"/>
      <c r="F86" s="35" t="s">
        <v>123</v>
      </c>
      <c r="G86" s="37" t="n">
        <f aca="false">(G82/((1+G84)^(G85+1)))</f>
        <v>6748.06930144099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10.3399216528992</v>
      </c>
      <c r="C87" s="36" t="n">
        <f aca="false">((1-(1/((1+B84)^B85)))/B84)</f>
        <v>10.3399216528992</v>
      </c>
      <c r="D87" s="36"/>
      <c r="E87" s="27"/>
      <c r="F87" s="35" t="s">
        <v>124</v>
      </c>
      <c r="G87" s="37" t="n">
        <f aca="false">((1-(1/((1+G84)^G85)))/G84)</f>
        <v>10.6507347822959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9495.05820012038</v>
      </c>
      <c r="C88" s="36" t="n">
        <f aca="false">B81-B86</f>
        <v>9495.05820012038</v>
      </c>
      <c r="D88" s="36"/>
      <c r="E88" s="27"/>
      <c r="F88" s="35" t="s">
        <v>125</v>
      </c>
      <c r="G88" s="37" t="n">
        <f aca="false">G81-G86</f>
        <v>9101.93069855901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918.291116592559</v>
      </c>
      <c r="C89" s="36" t="n">
        <f aca="false">(B88/B87)</f>
        <v>918.291116592559</v>
      </c>
      <c r="D89" s="36"/>
      <c r="E89" s="27"/>
      <c r="F89" s="35" t="s">
        <v>126</v>
      </c>
      <c r="G89" s="37" t="n">
        <f aca="false">(G88/G87)</f>
        <v>854.582419392194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10101.2022825181</v>
      </c>
      <c r="C90" s="36"/>
      <c r="D90" s="36"/>
      <c r="E90" s="27"/>
      <c r="F90" s="35" t="s">
        <v>127</v>
      </c>
      <c r="G90" s="37" t="n">
        <f aca="false">((G89*(G85))+G77)</f>
        <v>9400.40661331413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10101.2022825181</v>
      </c>
      <c r="C92" s="36"/>
      <c r="D92" s="36"/>
      <c r="E92" s="27"/>
      <c r="F92" s="60" t="s">
        <v>129</v>
      </c>
      <c r="G92" s="69" t="n">
        <f aca="false">(G90+G91)</f>
        <v>9400.40661331413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918.291116592559</v>
      </c>
      <c r="C95" s="36"/>
      <c r="D95" s="36"/>
      <c r="E95" s="27"/>
      <c r="F95" s="97" t="s">
        <v>131</v>
      </c>
      <c r="G95" s="98" t="n">
        <f aca="false">G92/(G85)</f>
        <v>854.582419392194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918.291116592559</v>
      </c>
      <c r="C96" s="36"/>
      <c r="D96" s="36"/>
      <c r="E96" s="27"/>
      <c r="F96" s="99" t="s">
        <v>132</v>
      </c>
      <c r="G96" s="100" t="n">
        <f aca="false">G94+G95</f>
        <v>854.582419392194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135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32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12</v>
      </c>
      <c r="C108" s="109"/>
      <c r="D108" s="109" t="n">
        <v>0</v>
      </c>
      <c r="E108" s="110" t="n">
        <f aca="false">B83</f>
        <v>0.1255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199.991666666667</v>
      </c>
      <c r="C114" s="109"/>
      <c r="D114" s="109"/>
      <c r="E114" s="109" t="s">
        <v>31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E19</f>
        <v>16850.004</v>
      </c>
      <c r="C121" s="44" t="n">
        <v>15625</v>
      </c>
      <c r="D121" s="29" t="n">
        <f aca="false">D3</f>
        <v>0</v>
      </c>
      <c r="E121" s="44" t="n">
        <f aca="false">D121</f>
        <v>0</v>
      </c>
      <c r="F121" s="29" t="n"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f aca="false">B122</f>
        <v>0</v>
      </c>
      <c r="D122" s="122" t="n">
        <v>0</v>
      </c>
      <c r="E122" s="123" t="n">
        <f aca="false">D122</f>
        <v>0</v>
      </c>
      <c r="F122" s="122" t="n"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f aca="false">B123</f>
        <v>0</v>
      </c>
      <c r="D123" s="35" t="n">
        <v>0</v>
      </c>
      <c r="E123" s="44" t="n">
        <f aca="false">D123</f>
        <v>0</v>
      </c>
      <c r="F123" s="35" t="n"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16850.004</v>
      </c>
      <c r="C125" s="69" t="n">
        <f aca="false">C121-C124</f>
        <v>16125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E21</f>
        <v>14041.67</v>
      </c>
      <c r="H135" s="144" t="n">
        <f aca="false">C125+E125+G125+H128</f>
        <v>16125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2808.334</v>
      </c>
      <c r="H137" s="37" t="n">
        <f aca="false">(H135+H136)*20%</f>
        <v>3225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16850.004</v>
      </c>
      <c r="H141" s="147" t="n">
        <f aca="false">(H135+H136+H139+H140+H137)-H138</f>
        <v>19350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44" t="n">
        <f aca="false">F142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37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44" t="n"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44" t="n"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44" t="n"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54" t="n">
        <f aca="false">G141-((G144*1.2)+(G145*1.2)+(G146*1.2)+(G142*1.2))</f>
        <v>16850.004</v>
      </c>
      <c r="H147" s="154" t="n">
        <f aca="false">H141-((H144*1.2)+(H145*1.2)+(H146*1.2)+(H142*1.2))</f>
        <v>19350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-11472.225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1150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20500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 t="n">
        <v>0</v>
      </c>
      <c r="F161" s="27"/>
      <c r="G161" s="27" t="n">
        <v>0</v>
      </c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 t="n">
        <v>0</v>
      </c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165" t="n">
        <f aca="false">B95</f>
        <v>918.291116592559</v>
      </c>
      <c r="B167" s="166" t="str">
        <f aca="false">B94</f>
        <v>0</v>
      </c>
      <c r="C167" s="164"/>
      <c r="D167" s="164"/>
      <c r="E167" s="166" t="n">
        <f aca="false">B96</f>
        <v>918.291116592559</v>
      </c>
      <c r="F167" s="27"/>
      <c r="G167" s="27" t="n">
        <f aca="false">ROUND(G95,2)</f>
        <v>854.58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str">
        <f aca="false">H29</f>
        <v>12</v>
      </c>
      <c r="B170" s="168" t="str">
        <f aca="false">H30</f>
        <v>5000</v>
      </c>
      <c r="C170" s="169"/>
      <c r="D170" s="27"/>
      <c r="E170" s="170" t="n">
        <v>7200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16125</v>
      </c>
      <c r="B173" s="42" t="n">
        <f aca="false">H137</f>
        <v>3225</v>
      </c>
      <c r="C173" s="47"/>
      <c r="D173" s="27"/>
      <c r="E173" s="170" t="n">
        <f aca="false">H139+H140</f>
        <v>0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H141</f>
        <v>19350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20500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-3198.79771748185</v>
      </c>
      <c r="B182" s="42" t="n">
        <f aca="false">B114</f>
        <v>199.991666666667</v>
      </c>
      <c r="C182" s="42"/>
      <c r="D182" s="27"/>
      <c r="E182" s="42" t="n">
        <f aca="false">E179+A182+(B182*1.2)+A185</f>
        <v>17551.1922825182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A179+B182*1.2</f>
        <v>239.99</v>
      </c>
      <c r="C185" s="42"/>
      <c r="D185" s="27"/>
      <c r="E185" s="42" t="n">
        <f aca="false">IF( E170=0, A185+E167, E170+A185)</f>
        <v>7210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</f>
        <v>8.1052</v>
      </c>
      <c r="B188" s="42" t="n">
        <f aca="false">(G158*B67)</f>
        <v>102.5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122.5</v>
      </c>
      <c r="C191" s="36"/>
      <c r="D191" s="36"/>
      <c r="E191" s="42" t="n">
        <f aca="false">H148</f>
        <v>2083.33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12</v>
      </c>
      <c r="B197" s="78" t="n">
        <f aca="false">B96</f>
        <v>918.291116592559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-3899.62</v>
      </c>
      <c r="B201" s="47" t="n">
        <f aca="false">E179+A201+(B182*1.2)+A185</f>
        <v>16850.37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str">
        <f aca="false">A197</f>
        <v>12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918.291116592559</v>
      </c>
      <c r="B212" s="166" t="str">
        <f aca="false">B167</f>
        <v>0</v>
      </c>
      <c r="C212" s="164"/>
      <c r="D212" s="164"/>
      <c r="E212" s="166" t="n">
        <f aca="false">E167</f>
        <v>918.291116592559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16125</v>
      </c>
      <c r="B215" s="42" t="n">
        <f aca="false">B173</f>
        <v>3225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19350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20500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-3198.79771748185</v>
      </c>
      <c r="B224" s="42" t="n">
        <f aca="false">B182</f>
        <v>199.991666666667</v>
      </c>
      <c r="C224" s="42"/>
      <c r="D224" s="27"/>
      <c r="E224" s="42" t="n">
        <f aca="false">E182</f>
        <v>17551.1922825182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239.99</v>
      </c>
      <c r="C227" s="42"/>
      <c r="D227" s="27"/>
      <c r="E227" s="42" t="n">
        <f aca="false">B59</f>
        <v>11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918.291116592559</v>
      </c>
      <c r="B230" s="42" t="str">
        <f aca="false">B167</f>
        <v>0</v>
      </c>
      <c r="C230" s="47"/>
      <c r="D230" s="47"/>
      <c r="E230" s="42" t="n">
        <f aca="false">E167</f>
        <v>918.291116592559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7200</v>
      </c>
      <c r="B233" s="42" t="n">
        <f aca="false">E185</f>
        <v>7210</v>
      </c>
      <c r="C233" s="36"/>
      <c r="D233" s="36"/>
      <c r="E233" s="42" t="n">
        <f aca="false">J18*0.000006*100</f>
        <v>24.3156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A188</f>
        <v>8.1052</v>
      </c>
      <c r="B236" s="42" t="n">
        <f aca="false">E233+A236</f>
        <v>32.4208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B188</f>
        <v>102.5</v>
      </c>
      <c r="C240" s="36"/>
      <c r="D240" s="36"/>
      <c r="E240" s="42" t="n">
        <f aca="false">IF(E105="YES",(H36*A108)*0.1,0)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1055.83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0.065</v>
      </c>
      <c r="C253" s="182"/>
      <c r="D253" s="183" t="s">
        <v>227</v>
      </c>
      <c r="E253" s="183"/>
      <c r="F253" s="181" t="n">
        <f aca="false">B83</f>
        <v>0.1255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5" t="n">
        <f aca="false">(E182-B182)-(B201-B182-A185)</f>
        <v>710.822282518147</v>
      </c>
      <c r="C254" s="182"/>
      <c r="D254" s="183" t="s">
        <v>229</v>
      </c>
      <c r="E254" s="183"/>
      <c r="F254" s="185" t="n">
        <f aca="false">F261+F267+F269+B270+B271</f>
        <v>102.5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628.322282518147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0.065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0.1255</v>
      </c>
      <c r="C260" s="47"/>
      <c r="D260" s="156" t="s">
        <v>228</v>
      </c>
      <c r="E260" s="156"/>
      <c r="F260" s="135" t="n">
        <f aca="false">(B89*B59)-(C89*B59)</f>
        <v>0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0.005</v>
      </c>
      <c r="C261" s="36"/>
      <c r="D261" s="156" t="s">
        <v>234</v>
      </c>
      <c r="E261" s="156"/>
      <c r="F261" s="142" t="n">
        <f aca="false">B68</f>
        <v>102.5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628.322282518147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71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B105 C108:D108 A144:A146" type="list">
      <formula1>#ref!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B68" activeCellId="0" sqref="B68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16850.004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/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12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49" t="s">
        <v>255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55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0.095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n">
        <v>0</v>
      </c>
      <c r="J36" s="48" t="s">
        <v>64</v>
      </c>
      <c r="K36" s="56" t="n">
        <f aca="false">K32-K34</f>
        <v>15850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199"/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12</v>
      </c>
      <c r="B53" s="78" t="n">
        <f aca="false">H45</f>
        <v>501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11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40526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0.0105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0.095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9948.55661708184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0.005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0.005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102.5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501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15850</v>
      </c>
      <c r="C81" s="36"/>
      <c r="D81" s="36"/>
      <c r="E81" s="27"/>
      <c r="F81" s="29" t="s">
        <v>118</v>
      </c>
      <c r="G81" s="31" t="n">
        <f aca="false">B81</f>
        <v>15850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IF(A111="YES",D41,0)*1.2</f>
        <v>7200</v>
      </c>
      <c r="C82" s="36"/>
      <c r="D82" s="36"/>
      <c r="E82" s="27"/>
      <c r="F82" s="35" t="s">
        <v>119</v>
      </c>
      <c r="G82" s="37" t="n">
        <f aca="false">IF(A111="YES",D41,0)*1.2</f>
        <v>7200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0.1555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0.0129583333333333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11</v>
      </c>
      <c r="C85" s="36"/>
      <c r="D85" s="36"/>
      <c r="E85" s="27"/>
      <c r="F85" s="35" t="s">
        <v>122</v>
      </c>
      <c r="G85" s="37" t="n">
        <f aca="false">IF(G82=0,(B59+B58),(B59))</f>
        <v>11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6169.26629780612</v>
      </c>
      <c r="C86" s="36" t="n">
        <f aca="false">(B82/((1+B84)^(B85+1)))</f>
        <v>6169.26629780612</v>
      </c>
      <c r="D86" s="36"/>
      <c r="E86" s="27"/>
      <c r="F86" s="35" t="s">
        <v>123</v>
      </c>
      <c r="G86" s="37" t="n">
        <f aca="false">(G82/((1+G84)^(G85+1)))</f>
        <v>6549.93479564419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10.1906783824739</v>
      </c>
      <c r="C87" s="36" t="n">
        <f aca="false">((1-(1/((1+B84)^B85)))/B84)</f>
        <v>10.1906783824739</v>
      </c>
      <c r="D87" s="36"/>
      <c r="E87" s="27"/>
      <c r="F87" s="35" t="s">
        <v>124</v>
      </c>
      <c r="G87" s="37" t="n">
        <f aca="false">((1-(1/((1+G84)^G85)))/G84)</f>
        <v>10.494939541935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9680.73370219388</v>
      </c>
      <c r="C88" s="36" t="n">
        <f aca="false">B81-B86</f>
        <v>9680.73370219388</v>
      </c>
      <c r="D88" s="36"/>
      <c r="E88" s="27"/>
      <c r="F88" s="35" t="s">
        <v>125</v>
      </c>
      <c r="G88" s="37" t="n">
        <f aca="false">G81-G86</f>
        <v>9300.06520435582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949.959692461985</v>
      </c>
      <c r="C89" s="36" t="n">
        <f aca="false">(B88/B87)</f>
        <v>949.959692461985</v>
      </c>
      <c r="D89" s="36"/>
      <c r="E89" s="27"/>
      <c r="F89" s="35" t="s">
        <v>126</v>
      </c>
      <c r="G89" s="37" t="n">
        <f aca="false">(G88/G87)</f>
        <v>886.147573046532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10449.5566170818</v>
      </c>
      <c r="C90" s="36"/>
      <c r="D90" s="36"/>
      <c r="E90" s="27"/>
      <c r="F90" s="35" t="s">
        <v>127</v>
      </c>
      <c r="G90" s="37" t="n">
        <f aca="false">((G89*(G85))+G77)</f>
        <v>9747.62330351186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10449.5566170818</v>
      </c>
      <c r="C92" s="36"/>
      <c r="D92" s="36"/>
      <c r="E92" s="27"/>
      <c r="F92" s="60" t="s">
        <v>129</v>
      </c>
      <c r="G92" s="69" t="n">
        <f aca="false">(G90+G91)</f>
        <v>9747.62330351186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IF(B38="YES",((H36/B85)*(1+A108)*1.2),"0")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949.959692461985</v>
      </c>
      <c r="C95" s="36"/>
      <c r="D95" s="36"/>
      <c r="E95" s="27"/>
      <c r="F95" s="97" t="s">
        <v>131</v>
      </c>
      <c r="G95" s="98" t="n">
        <f aca="false">G92/(G85)</f>
        <v>886.147573046532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949.959692461985</v>
      </c>
      <c r="C96" s="36"/>
      <c r="D96" s="36"/>
      <c r="E96" s="27"/>
      <c r="F96" s="99" t="s">
        <v>132</v>
      </c>
      <c r="G96" s="100" t="n">
        <f aca="false">G94+G95</f>
        <v>886.147573046532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281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32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9</v>
      </c>
      <c r="C108" s="109"/>
      <c r="D108" s="109" t="n">
        <v>0</v>
      </c>
      <c r="E108" s="110" t="n">
        <f aca="false">B83</f>
        <v>0.1555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E19</f>
        <v>16850.004</v>
      </c>
      <c r="C121" s="44" t="n">
        <v>15625</v>
      </c>
      <c r="D121" s="29" t="n">
        <f aca="false">D3</f>
        <v>0</v>
      </c>
      <c r="E121" s="44" t="n">
        <f aca="false">D121</f>
        <v>0</v>
      </c>
      <c r="F121" s="29" t="n"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f aca="false">B122</f>
        <v>0</v>
      </c>
      <c r="D122" s="122" t="n">
        <v>0</v>
      </c>
      <c r="E122" s="123" t="n">
        <f aca="false">D122</f>
        <v>0</v>
      </c>
      <c r="F122" s="122" t="n"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f aca="false">B123</f>
        <v>0</v>
      </c>
      <c r="D123" s="35" t="n">
        <v>0</v>
      </c>
      <c r="E123" s="44" t="n">
        <f aca="false">D123</f>
        <v>0</v>
      </c>
      <c r="F123" s="35" t="n"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16850.004</v>
      </c>
      <c r="C125" s="69" t="n">
        <f aca="false">C121-C124</f>
        <v>16125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E21</f>
        <v>14041.67</v>
      </c>
      <c r="H135" s="144" t="n">
        <f aca="false">C125+E125+G125+H128</f>
        <v>16125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2808.334</v>
      </c>
      <c r="H137" s="37" t="n">
        <f aca="false">(H135+H136)*20%</f>
        <v>3225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16850.004</v>
      </c>
      <c r="H141" s="147" t="n">
        <f aca="false">(H135+H136+H139+H140+H137)-H138</f>
        <v>19350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44" t="n">
        <f aca="false">F142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37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44" t="n"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44" t="n"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44" t="n"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54" t="n">
        <f aca="false">G141-((G144*1.2)+(G145*1.2)+(G146*1.2)+(G142*1.2))</f>
        <v>16850.004</v>
      </c>
      <c r="H147" s="154" t="n">
        <f aca="false">H141-((H144*1.2)+(H145*1.2)+(H146*1.2)+(H142*1.2))</f>
        <v>19350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-11472.225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1150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20500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241" t="n">
        <f aca="false">B95</f>
        <v>949.959692461985</v>
      </c>
      <c r="B167" s="166" t="str">
        <f aca="false">B94</f>
        <v>0</v>
      </c>
      <c r="C167" s="164"/>
      <c r="D167" s="164"/>
      <c r="E167" s="166" t="n">
        <f aca="false">B96</f>
        <v>949.959692461985</v>
      </c>
      <c r="F167" s="27"/>
      <c r="G167" s="27" t="n">
        <f aca="false">ROUND(G95,2)</f>
        <v>886.15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str">
        <f aca="false">H29</f>
        <v>12</v>
      </c>
      <c r="B170" s="214" t="str">
        <f aca="false">H30</f>
        <v>5000</v>
      </c>
      <c r="C170" s="169"/>
      <c r="D170" s="27"/>
      <c r="E170" s="170" t="n">
        <v>7200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16125</v>
      </c>
      <c r="B173" s="42" t="n">
        <f aca="false">H137</f>
        <v>3225</v>
      </c>
      <c r="C173" s="47"/>
      <c r="D173" s="27"/>
      <c r="E173" s="170" t="n">
        <f aca="false">H139+H140</f>
        <v>0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H147</f>
        <v>19350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20500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-2850.44338291816</v>
      </c>
      <c r="B182" s="42" t="n">
        <f aca="false">B114</f>
        <v>239.99</v>
      </c>
      <c r="C182" s="42"/>
      <c r="D182" s="27"/>
      <c r="E182" s="42" t="n">
        <f aca="false">E179+A182+B182+A185</f>
        <v>17899.5466170818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A179+B182</f>
        <v>239.99</v>
      </c>
      <c r="C185" s="42"/>
      <c r="D185" s="27"/>
      <c r="E185" s="42" t="n">
        <f aca="false">IF( E170=0, A185+E167, E170+A185)</f>
        <v>7210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J18*0.000002*100*1.2</f>
        <v>9.72624</v>
      </c>
      <c r="B188" s="42" t="n">
        <f aca="false">(G158*B67)</f>
        <v>102.5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122.5</v>
      </c>
      <c r="C191" s="36"/>
      <c r="D191" s="36"/>
      <c r="E191" s="42" t="n">
        <f aca="false">H148</f>
        <v>2083.33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12</v>
      </c>
      <c r="B197" s="78" t="n">
        <f aca="false">B96</f>
        <v>949.959692461985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-3552.35</v>
      </c>
      <c r="B201" s="47" t="n">
        <f aca="false">E179+A201+B182+A185</f>
        <v>17197.64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str">
        <f aca="false">A197</f>
        <v>12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949.959692461985</v>
      </c>
      <c r="B212" s="166" t="str">
        <f aca="false">B167</f>
        <v>0</v>
      </c>
      <c r="C212" s="164"/>
      <c r="D212" s="164"/>
      <c r="E212" s="166" t="n">
        <f aca="false">E167</f>
        <v>949.959692461985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16125</v>
      </c>
      <c r="B215" s="42" t="n">
        <f aca="false">B173</f>
        <v>3225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19350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20500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-2850.44338291816</v>
      </c>
      <c r="B224" s="42" t="n">
        <f aca="false">B182</f>
        <v>239.99</v>
      </c>
      <c r="C224" s="42"/>
      <c r="D224" s="27"/>
      <c r="E224" s="42" t="n">
        <f aca="false">E182</f>
        <v>17899.5466170818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239.99</v>
      </c>
      <c r="C227" s="42"/>
      <c r="D227" s="27"/>
      <c r="E227" s="42" t="n">
        <f aca="false">B59</f>
        <v>11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949.959692461985</v>
      </c>
      <c r="B230" s="42" t="str">
        <f aca="false">B167</f>
        <v>0</v>
      </c>
      <c r="C230" s="47"/>
      <c r="D230" s="47"/>
      <c r="E230" s="42" t="n">
        <f aca="false">E167</f>
        <v>949.959692461985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7200</v>
      </c>
      <c r="B233" s="42" t="n">
        <f aca="false">E185</f>
        <v>7210</v>
      </c>
      <c r="C233" s="36"/>
      <c r="D233" s="36"/>
      <c r="E233" s="42" t="n">
        <f aca="false">A188</f>
        <v>9.72624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B188</f>
        <v>102.5</v>
      </c>
      <c r="C240" s="36"/>
      <c r="D240" s="36"/>
      <c r="E240" s="42" t="n">
        <f aca="false">E188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1055.83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0.095</v>
      </c>
      <c r="C253" s="182"/>
      <c r="D253" s="183" t="s">
        <v>227</v>
      </c>
      <c r="E253" s="183"/>
      <c r="F253" s="181" t="n">
        <f aca="false">B83</f>
        <v>0.1555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711.906617081837</v>
      </c>
      <c r="C254" s="182"/>
      <c r="D254" s="183" t="s">
        <v>229</v>
      </c>
      <c r="E254" s="183"/>
      <c r="F254" s="185" t="n">
        <f aca="false">F261+F267+F269+B270+B271</f>
        <v>102.5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629.406617081837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0.1555</v>
      </c>
      <c r="C260" s="47"/>
      <c r="D260" s="156" t="s">
        <v>228</v>
      </c>
      <c r="E260" s="156"/>
      <c r="F260" s="135" t="n">
        <f aca="false">(B89*B59)-(C89*B59)</f>
        <v>0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0.005</v>
      </c>
      <c r="C261" s="36"/>
      <c r="D261" s="156" t="s">
        <v>234</v>
      </c>
      <c r="E261" s="156"/>
      <c r="F261" s="142" t="n">
        <f aca="false">B68</f>
        <v>102.5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629.406617081837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71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B105 C108:D108 A144:A146" type="list">
      <formula1>#ref!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173" colorId="64" zoomScale="100" zoomScaleNormal="100" zoomScalePageLayoutView="100" workbookViewId="0">
      <selection pane="topLeft" activeCell="B189" activeCellId="0" sqref="B189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16850.004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/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12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242" t="s">
        <v>255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55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0.095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n">
        <v>0</v>
      </c>
      <c r="J36" s="48" t="s">
        <v>64</v>
      </c>
      <c r="K36" s="56" t="n">
        <f aca="false">K32-K34</f>
        <v>15850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199"/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12</v>
      </c>
      <c r="B53" s="78" t="n">
        <f aca="false">H45</f>
        <v>501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A54" s="5" t="s">
        <v>10</v>
      </c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11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40526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0.0105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0.095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9948.55661708184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0.005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102.5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501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15850</v>
      </c>
      <c r="C81" s="36"/>
      <c r="D81" s="36"/>
      <c r="E81" s="27"/>
      <c r="F81" s="29" t="s">
        <v>118</v>
      </c>
      <c r="G81" s="31" t="n">
        <f aca="false">B81</f>
        <v>15850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IF(A111="YES",D41,0)*1.2</f>
        <v>7200</v>
      </c>
      <c r="C82" s="36"/>
      <c r="D82" s="36"/>
      <c r="E82" s="27"/>
      <c r="F82" s="35" t="s">
        <v>119</v>
      </c>
      <c r="G82" s="37" t="n">
        <f aca="false">IF(A111="YES",D41,0)*1.2</f>
        <v>7200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0.1555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0.0129583333333333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11</v>
      </c>
      <c r="C85" s="36"/>
      <c r="D85" s="36"/>
      <c r="E85" s="27"/>
      <c r="F85" s="35" t="s">
        <v>122</v>
      </c>
      <c r="G85" s="37" t="n">
        <f aca="false">IF(G82=0,(B59+B58),(B59))</f>
        <v>11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6169.26629780612</v>
      </c>
      <c r="C86" s="36" t="n">
        <f aca="false">(B82/((1+B84)^(B85+1)))</f>
        <v>6169.26629780612</v>
      </c>
      <c r="D86" s="36"/>
      <c r="E86" s="27"/>
      <c r="F86" s="35" t="s">
        <v>123</v>
      </c>
      <c r="G86" s="37" t="n">
        <f aca="false">(G82/((1+G84)^(G85+1)))</f>
        <v>6549.93479564419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10.1906783824739</v>
      </c>
      <c r="C87" s="36" t="n">
        <f aca="false">((1-(1/((1+B84)^B85)))/B84)</f>
        <v>10.1906783824739</v>
      </c>
      <c r="D87" s="36"/>
      <c r="E87" s="27"/>
      <c r="F87" s="35" t="s">
        <v>124</v>
      </c>
      <c r="G87" s="37" t="n">
        <f aca="false">((1-(1/((1+G84)^G85)))/G84)</f>
        <v>10.494939541935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9680.73370219388</v>
      </c>
      <c r="C88" s="36" t="n">
        <f aca="false">B81-B86</f>
        <v>9680.73370219388</v>
      </c>
      <c r="D88" s="36"/>
      <c r="E88" s="27"/>
      <c r="F88" s="35" t="s">
        <v>125</v>
      </c>
      <c r="G88" s="37" t="n">
        <f aca="false">G81-G86</f>
        <v>9300.06520435582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949.959692461985</v>
      </c>
      <c r="C89" s="36" t="n">
        <f aca="false">(B88/B87)</f>
        <v>949.959692461985</v>
      </c>
      <c r="D89" s="36"/>
      <c r="E89" s="27"/>
      <c r="F89" s="35" t="s">
        <v>126</v>
      </c>
      <c r="G89" s="37" t="n">
        <f aca="false">(G88/G87)</f>
        <v>886.147573046532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10449.5566170818</v>
      </c>
      <c r="C90" s="36"/>
      <c r="D90" s="36"/>
      <c r="E90" s="27"/>
      <c r="F90" s="35" t="s">
        <v>127</v>
      </c>
      <c r="G90" s="37" t="n">
        <f aca="false">((G89*(G85))+G77)</f>
        <v>9747.62330351186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10449.5566170818</v>
      </c>
      <c r="C92" s="36"/>
      <c r="D92" s="36"/>
      <c r="E92" s="27"/>
      <c r="F92" s="60" t="s">
        <v>129</v>
      </c>
      <c r="G92" s="69" t="n">
        <f aca="false">(G90+G91)</f>
        <v>9747.62330351186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949.959692461985</v>
      </c>
      <c r="C95" s="36"/>
      <c r="D95" s="36"/>
      <c r="E95" s="27"/>
      <c r="F95" s="97" t="s">
        <v>131</v>
      </c>
      <c r="G95" s="98" t="n">
        <f aca="false">G92/(G85)</f>
        <v>886.147573046532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949.959692461985</v>
      </c>
      <c r="C96" s="36"/>
      <c r="D96" s="36"/>
      <c r="E96" s="27"/>
      <c r="F96" s="99" t="s">
        <v>132</v>
      </c>
      <c r="G96" s="100" t="n">
        <f aca="false">G94+G95</f>
        <v>886.147573046532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32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12</v>
      </c>
      <c r="C108" s="109"/>
      <c r="D108" s="109" t="n">
        <v>0</v>
      </c>
      <c r="E108" s="110" t="n">
        <f aca="false">B83</f>
        <v>0.1555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199.991666666667</v>
      </c>
      <c r="C114" s="109"/>
      <c r="D114" s="109"/>
      <c r="E114" s="109" t="n">
        <v>0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E19</f>
        <v>16850.004</v>
      </c>
      <c r="C121" s="44" t="n">
        <v>15625</v>
      </c>
      <c r="D121" s="29" t="n">
        <f aca="false">D3</f>
        <v>0</v>
      </c>
      <c r="E121" s="44" t="n">
        <f aca="false">D121</f>
        <v>0</v>
      </c>
      <c r="F121" s="29" t="n"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f aca="false">B122</f>
        <v>0</v>
      </c>
      <c r="D122" s="122" t="n">
        <v>0</v>
      </c>
      <c r="E122" s="123" t="n">
        <f aca="false">D122</f>
        <v>0</v>
      </c>
      <c r="F122" s="122" t="n"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f aca="false">B123</f>
        <v>0</v>
      </c>
      <c r="D123" s="35" t="n">
        <v>0</v>
      </c>
      <c r="E123" s="44" t="n">
        <f aca="false">D123</f>
        <v>0</v>
      </c>
      <c r="F123" s="35" t="n"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16850.004</v>
      </c>
      <c r="C125" s="69" t="n">
        <f aca="false">C121-C124</f>
        <v>16125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E21</f>
        <v>14041.67</v>
      </c>
      <c r="H135" s="144" t="n">
        <f aca="false">C125+E125+G125+H128</f>
        <v>16125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2808.334</v>
      </c>
      <c r="H137" s="37" t="n">
        <f aca="false">(H135+H136)*20%</f>
        <v>3225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16850.004</v>
      </c>
      <c r="H141" s="147" t="n">
        <f aca="false">(H135+H136+H139+H140+H137)-H138</f>
        <v>19350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44" t="n">
        <f aca="false">F142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37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44" t="n"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44" t="n"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44" t="n"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54" t="n">
        <f aca="false">G141-((G144*1.2)+(G145*1.2)+(G146*1.2)+(G142*1.2))</f>
        <v>16850.004</v>
      </c>
      <c r="H147" s="154" t="n">
        <f aca="false">H141-((H144*1.2)+(H145*1.2)+(H146*1.2)+(H142*1.2))</f>
        <v>19350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-11472.225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1150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20500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241" t="n">
        <f aca="false">B95</f>
        <v>949.959692461985</v>
      </c>
      <c r="B167" s="166" t="str">
        <f aca="false">B94</f>
        <v>0</v>
      </c>
      <c r="C167" s="164"/>
      <c r="D167" s="164"/>
      <c r="E167" s="166" t="n">
        <f aca="false">B96</f>
        <v>949.959692461985</v>
      </c>
      <c r="F167" s="27"/>
      <c r="G167" s="27" t="n">
        <f aca="false">ROUND(G95,2)</f>
        <v>886.15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str">
        <f aca="false">H29</f>
        <v>12</v>
      </c>
      <c r="B170" s="214" t="str">
        <f aca="false">H30</f>
        <v>5000</v>
      </c>
      <c r="C170" s="169"/>
      <c r="D170" s="27"/>
      <c r="E170" s="170" t="n">
        <v>7200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16125</v>
      </c>
      <c r="B173" s="42" t="n">
        <f aca="false">H137</f>
        <v>3225</v>
      </c>
      <c r="C173" s="47"/>
      <c r="D173" s="27"/>
      <c r="E173" s="170" t="n">
        <f aca="false">H139+H140</f>
        <v>0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H147</f>
        <v>19350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20500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-2850.44338291816</v>
      </c>
      <c r="B182" s="42" t="n">
        <f aca="false">B114</f>
        <v>199.991666666667</v>
      </c>
      <c r="C182" s="42"/>
      <c r="D182" s="27"/>
      <c r="E182" s="42" t="n">
        <f aca="false">E179+A182+(B182*1.2)+A185</f>
        <v>17899.5466170818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A179+(B182*1.2)</f>
        <v>239.99</v>
      </c>
      <c r="C185" s="42"/>
      <c r="D185" s="27"/>
      <c r="E185" s="42" t="n">
        <f aca="false">IF( E170=0, A185+E167, E170+A185)</f>
        <v>7210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</f>
        <v>8.1052</v>
      </c>
      <c r="B188" s="42" t="n">
        <f aca="false">(G158*B67)</f>
        <v>102.5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122.5</v>
      </c>
      <c r="C191" s="36"/>
      <c r="D191" s="36"/>
      <c r="E191" s="42" t="n">
        <f aca="false">H148</f>
        <v>2083.33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12</v>
      </c>
      <c r="B197" s="78" t="n">
        <f aca="false">B96</f>
        <v>949.959692461985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-3552.35</v>
      </c>
      <c r="B201" s="47" t="n">
        <f aca="false">E179+A201+(B182*1.2)+A185</f>
        <v>17197.64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str">
        <f aca="false">A197</f>
        <v>12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949.959692461985</v>
      </c>
      <c r="B212" s="166" t="str">
        <f aca="false">B167</f>
        <v>0</v>
      </c>
      <c r="C212" s="164"/>
      <c r="D212" s="164"/>
      <c r="E212" s="166" t="n">
        <f aca="false">E167</f>
        <v>949.959692461985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16125</v>
      </c>
      <c r="B215" s="42" t="n">
        <f aca="false">B173</f>
        <v>3225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19350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20500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-2850.44338291816</v>
      </c>
      <c r="B224" s="42" t="n">
        <f aca="false">B182</f>
        <v>199.991666666667</v>
      </c>
      <c r="C224" s="42"/>
      <c r="D224" s="27"/>
      <c r="E224" s="42" t="n">
        <f aca="false">E182</f>
        <v>17899.5466170818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239.99</v>
      </c>
      <c r="C227" s="42"/>
      <c r="D227" s="27"/>
      <c r="E227" s="42" t="n">
        <f aca="false">B59</f>
        <v>11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949.959692461985</v>
      </c>
      <c r="B230" s="42" t="str">
        <f aca="false">B167</f>
        <v>0</v>
      </c>
      <c r="C230" s="47"/>
      <c r="D230" s="47"/>
      <c r="E230" s="42" t="n">
        <f aca="false">E167</f>
        <v>949.959692461985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7200</v>
      </c>
      <c r="B233" s="42" t="n">
        <f aca="false">E185</f>
        <v>7210</v>
      </c>
      <c r="C233" s="36"/>
      <c r="D233" s="36"/>
      <c r="E233" s="42" t="n">
        <f aca="false">A188</f>
        <v>8.1052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B188</f>
        <v>102.5</v>
      </c>
      <c r="C240" s="36"/>
      <c r="D240" s="36"/>
      <c r="E240" s="42" t="n">
        <f aca="false">IF(E105="YES",(H36*A108)*0.1,0)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1055.83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0.095</v>
      </c>
      <c r="C253" s="182"/>
      <c r="D253" s="183" t="s">
        <v>227</v>
      </c>
      <c r="E253" s="183"/>
      <c r="F253" s="181" t="n">
        <f aca="false">B83</f>
        <v>0.1555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5" t="n">
        <f aca="false">(E182-B182)-(B201-B182-A185)</f>
        <v>711.906617081837</v>
      </c>
      <c r="C254" s="182"/>
      <c r="D254" s="183" t="s">
        <v>229</v>
      </c>
      <c r="E254" s="183"/>
      <c r="F254" s="185" t="n">
        <f aca="false">F261+F267+F269+B270+B271</f>
        <v>102.5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629.406617081837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0.1555</v>
      </c>
      <c r="C260" s="47"/>
      <c r="D260" s="156" t="s">
        <v>228</v>
      </c>
      <c r="E260" s="156"/>
      <c r="F260" s="135" t="n">
        <f aca="false">(B89*B59)-(C89*B59)</f>
        <v>0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0.005</v>
      </c>
      <c r="C261" s="36"/>
      <c r="D261" s="156" t="s">
        <v>234</v>
      </c>
      <c r="E261" s="156"/>
      <c r="F261" s="142" t="n">
        <f aca="false">B68</f>
        <v>102.5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629.406617081837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71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B105 C108:D108 A144:A146" type="list">
      <formula1>#ref!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90" colorId="64" zoomScale="100" zoomScaleNormal="100" zoomScalePageLayoutView="100" workbookViewId="0">
      <selection pane="topLeft" activeCell="B218" activeCellId="0" sqref="B218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42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IF(A32=Z101,1,IF(A32=Z102,1,IF(A32=Z103,3,IF(A32=Z104,6,IF(A32=Z105,9,IF(A32=Z106,12,IF(A32=Z107,3,IF(A32=Z108,6,IF(A32=Z109,9,0)))))))))</f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IF(A32=Z101,H29-H27,IF(A32=Z102,H29-H27,IF(A32=Z103,H29-1,IF(A32=Z104,H29-1,IF(A32=Z105,H29-1,IF(A32=Z106,H29-1,IF(A32=Z107,H29-H27,IF(A32=Z108,H29-H27,IF(A32=Z109,H29-H27,0)))))))))</f>
        <v>11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n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n">
        <f aca="false">IF(A32=Z101,D38,IF(A32=Z102,D38,IF(A32=Z103,(D38*3),IF(A32=Z104,(D38*6),IF(A32=Z105,(D38*9),IF(A32=Z106,(D38*12),IF(A32=Z107,D38,IF(A32=Z108,D38,IF(A32=Z109,D38,0)))))))))</f>
        <v>500</v>
      </c>
      <c r="C32" s="211"/>
      <c r="D32" s="211" t="n">
        <f aca="false">IF(A32=Z101,A41,IF(A32=Z102,A41,IF(A32=Z103,(A41*3),IF(A32=Z104,(A41*6),IF(A32=Z105,(A41*9),IF(A32=Z106,(A41*12),IF(A32=Z107,A41,IF(A32=Z108,A41,IF(A32=Z109,A41,0)))))))))</f>
        <v>50</v>
      </c>
      <c r="E32" s="211"/>
      <c r="F32" s="67"/>
      <c r="G32" s="212" t="s">
        <v>254</v>
      </c>
      <c r="H32" s="210" t="n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/>
      <c r="H33" s="20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n">
        <f aca="false">D41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n">
        <v>500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152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50</v>
      </c>
      <c r="B41" s="224" t="n">
        <f aca="false">IF(B38="YES",D38+A41,D38)</f>
        <v>550</v>
      </c>
      <c r="C41" s="224"/>
      <c r="D41" s="106" t="n">
        <v>12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264</v>
      </c>
      <c r="B43" s="223" t="s">
        <v>265</v>
      </c>
      <c r="C43" s="215"/>
      <c r="D43" s="223" t="s">
        <v>269</v>
      </c>
      <c r="E43" s="226"/>
      <c r="F43" s="67"/>
      <c r="G43" s="67" t="s">
        <v>266</v>
      </c>
      <c r="H43" s="7" t="n">
        <f aca="false">(((D38*(B35-1))+B32)/B35)+(D41/B35)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n">
        <v>1</v>
      </c>
      <c r="B44" s="106" t="n">
        <v>1</v>
      </c>
      <c r="C44" s="106"/>
      <c r="D44" s="256" t="n">
        <f aca="false">A44+B44</f>
        <v>2</v>
      </c>
      <c r="E44" s="256"/>
      <c r="F44" s="67"/>
      <c r="G44" s="67" t="s">
        <v>267</v>
      </c>
      <c r="H44" s="7" t="n">
        <f aca="false">((A41*(B35-1))+D32)/B35</f>
        <v>50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57" t="s">
        <v>284</v>
      </c>
      <c r="B46" s="215"/>
      <c r="C46" s="215"/>
      <c r="D46" s="215"/>
      <c r="E46" s="226"/>
      <c r="F46" s="67"/>
      <c r="G46" s="67" t="s">
        <v>272</v>
      </c>
      <c r="H46" s="7" t="n">
        <f aca="false">H43</f>
        <v>501</v>
      </c>
      <c r="I46" s="7" t="s">
        <v>10</v>
      </c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21"/>
      <c r="B47" s="215"/>
      <c r="C47" s="215"/>
      <c r="D47" s="215"/>
      <c r="E47" s="22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/>
      <c r="H49" s="261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12</v>
      </c>
      <c r="B52" s="78" t="n">
        <f aca="false">H45</f>
        <v>551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IF(B99=Z101,1,IF(B99=Z102,1,IF(B99=Z103,3,IF(B99=Z104,6,IF(B99=Z105,9,IF(B99=Z106,12,IF(B99=Z107,3,IF(B99=Z108,6,IF(B99=Z109,9,0)))))))))</f>
        <v>1</v>
      </c>
      <c r="C57" s="199"/>
      <c r="D57" s="199"/>
      <c r="E57" s="200"/>
      <c r="F57" s="67"/>
      <c r="G57" s="198" t="s">
        <v>97</v>
      </c>
      <c r="H57" s="199" t="n">
        <f aca="false">IF(H99=Z101,1,IF(H99=Z102,1,IF(H99=Z103,3,IF(H99=Z104,6,IF(H99=Z105,9,IF(H99=Z106,12,IF(H99=Z107,3,IF(H99=Z108,6,IF(H99=Z109,9,0)))))))))</f>
        <v>1</v>
      </c>
      <c r="I57" s="199"/>
      <c r="J57" s="199"/>
      <c r="K57" s="200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IF(B99=Z101,H29-B57,IF(B99=Z102,H29-B57,IF(B99=Z103,H29-1,IF(B99=Z104,H29-1,IF(B99=Z105,H29-1,IF(B99=Z106,H29-1,IF(B99=Z107,H29-B57,IF(B99=Z108,H29-B57,IF(B99=Z109,H29-B57,0)))))))))</f>
        <v>11</v>
      </c>
      <c r="C58" s="199" t="s">
        <v>285</v>
      </c>
      <c r="D58" s="199"/>
      <c r="E58" s="200"/>
      <c r="F58" s="67"/>
      <c r="G58" s="198" t="s">
        <v>98</v>
      </c>
      <c r="H58" s="199" t="n">
        <f aca="false">IF(H99=Z101,H29-H57,IF(H99=Z102,H29-H57,IF(H99=Z103,H29-1,IF(H99=Z104,H29-1,IF(H99=Z105,H29-1,IF(H99=Z106,H29-1,IF(H99=Z107,H29-H57,IF(H99=Z108,H29-H57,IF(H99=Z109,H29-H57,0)))))))))</f>
        <v>11</v>
      </c>
      <c r="I58" s="199"/>
      <c r="J58" s="199"/>
      <c r="K58" s="200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286</v>
      </c>
      <c r="B60" s="199" t="n">
        <f aca="false">E19</f>
        <v>16850.004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f aca="false">G18</f>
        <v>40526</v>
      </c>
      <c r="C61" s="199"/>
      <c r="D61" s="199"/>
      <c r="E61" s="200"/>
      <c r="F61" s="67"/>
      <c r="G61" s="198" t="s">
        <v>27</v>
      </c>
      <c r="H61" s="36" t="n">
        <f aca="false">G18</f>
        <v>40526</v>
      </c>
      <c r="I61" s="199"/>
      <c r="J61" s="199"/>
      <c r="K61" s="200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0.07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0.07</v>
      </c>
      <c r="I63" s="199"/>
      <c r="J63" s="199"/>
      <c r="K63" s="200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B60*B63</f>
        <v>1179.50028</v>
      </c>
      <c r="C64" s="199" t="n">
        <v>10000</v>
      </c>
      <c r="D64" s="36" t="n">
        <f aca="false">B64</f>
        <v>1179.50028</v>
      </c>
      <c r="E64" s="200"/>
      <c r="F64" s="67"/>
      <c r="G64" s="262" t="s">
        <v>103</v>
      </c>
      <c r="H64" s="69" t="n">
        <f aca="false">H61*H63</f>
        <v>2836.82</v>
      </c>
      <c r="I64" s="199"/>
      <c r="J64" s="36" t="n">
        <f aca="false">H64</f>
        <v>2836.82</v>
      </c>
      <c r="K64" s="200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199"/>
      <c r="E65" s="200"/>
      <c r="F65" s="67"/>
      <c r="G65" s="268" t="s">
        <v>104</v>
      </c>
      <c r="H65" s="269" t="n">
        <v>0.005</v>
      </c>
      <c r="I65" s="199"/>
      <c r="J65" s="199"/>
      <c r="K65" s="200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199"/>
      <c r="D66" s="199"/>
      <c r="E66" s="200"/>
      <c r="F66" s="67"/>
      <c r="G66" s="198" t="s">
        <v>105</v>
      </c>
      <c r="H66" s="270" t="n">
        <f aca="false">H65+(H65*0.5*(H29/12-1))</f>
        <v>0.005</v>
      </c>
      <c r="I66" s="199"/>
      <c r="J66" s="199"/>
      <c r="K66" s="200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199"/>
      <c r="D67" s="36"/>
      <c r="E67" s="200"/>
      <c r="F67" s="67"/>
      <c r="G67" s="262" t="s">
        <v>106</v>
      </c>
      <c r="H67" s="69" t="n">
        <f aca="false">H61*H66</f>
        <v>202.63</v>
      </c>
      <c r="I67" s="199"/>
      <c r="J67" s="36"/>
      <c r="K67" s="200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199"/>
      <c r="D68" s="199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0.0084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54</v>
      </c>
      <c r="C73" s="199"/>
      <c r="D73" s="36" t="n">
        <f aca="false">B73+B71</f>
        <v>214</v>
      </c>
      <c r="E73" s="200"/>
      <c r="F73" s="67"/>
      <c r="G73" s="262" t="s">
        <v>112</v>
      </c>
      <c r="H73" s="69" t="n">
        <f aca="false">H72*H29</f>
        <v>54</v>
      </c>
      <c r="I73" s="199"/>
      <c r="J73" s="36" t="n">
        <f aca="false">H73+H71</f>
        <v>214</v>
      </c>
      <c r="K73" s="200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0</v>
      </c>
      <c r="C74" s="199"/>
      <c r="D74" s="199"/>
      <c r="E74" s="200"/>
      <c r="F74" s="67"/>
      <c r="G74" s="268" t="s">
        <v>289</v>
      </c>
      <c r="H74" s="90" t="n">
        <v>150</v>
      </c>
      <c r="I74" s="199"/>
      <c r="J74" s="199"/>
      <c r="K74" s="200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 t="n">
        <f aca="false">IF(G18&gt;40000,325,0)</f>
        <v>325</v>
      </c>
      <c r="D75" s="199"/>
      <c r="E75" s="200"/>
      <c r="F75" s="67"/>
      <c r="G75" s="272" t="s">
        <v>290</v>
      </c>
      <c r="H75" s="81" t="n">
        <f aca="false">IF(G18&gt;40000,325,0)</f>
        <v>325</v>
      </c>
      <c r="I75" s="199"/>
      <c r="J75" s="199"/>
      <c r="K75" s="200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((B74+B75)/12)*(H29-11)</f>
        <v>0</v>
      </c>
      <c r="C76" s="199"/>
      <c r="D76" s="36" t="n">
        <f aca="false">B76</f>
        <v>0</v>
      </c>
      <c r="E76" s="200"/>
      <c r="F76" s="67"/>
      <c r="G76" s="262" t="s">
        <v>291</v>
      </c>
      <c r="H76" s="69" t="n">
        <f aca="false">((H74+H75)/12)*(H29-11)</f>
        <v>39.5833333333333</v>
      </c>
      <c r="I76" s="199"/>
      <c r="J76" s="36" t="n">
        <f aca="false">H76</f>
        <v>39.5833333333333</v>
      </c>
      <c r="K76" s="200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292</v>
      </c>
      <c r="B77" s="90" t="n">
        <f aca="false">B102/(1-J15)</f>
        <v>470.588235294118</v>
      </c>
      <c r="C77" s="199"/>
      <c r="D77" s="36" t="n">
        <f aca="false">B77</f>
        <v>470.588235294118</v>
      </c>
      <c r="E77" s="200"/>
      <c r="F77" s="67"/>
      <c r="G77" s="268" t="s">
        <v>292</v>
      </c>
      <c r="H77" s="90" t="n">
        <f aca="false">H102</f>
        <v>1200</v>
      </c>
      <c r="I77" s="199"/>
      <c r="J77" s="36" t="n">
        <f aca="false">H77</f>
        <v>1200</v>
      </c>
      <c r="K77" s="200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235.294117647059</v>
      </c>
      <c r="C78" s="199"/>
      <c r="D78" s="36" t="n">
        <f aca="false">B78</f>
        <v>235.294117647059</v>
      </c>
      <c r="E78" s="200"/>
      <c r="F78" s="67"/>
      <c r="G78" s="198" t="s">
        <v>293</v>
      </c>
      <c r="H78" s="37" t="n">
        <f aca="false">J102</f>
        <v>0</v>
      </c>
      <c r="I78" s="199"/>
      <c r="J78" s="36" t="n">
        <f aca="false">H78</f>
        <v>0</v>
      </c>
      <c r="K78" s="200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199"/>
      <c r="D79" s="36" t="n">
        <f aca="false">B79</f>
        <v>300</v>
      </c>
      <c r="E79" s="200"/>
      <c r="F79" s="67"/>
      <c r="G79" s="272" t="s">
        <v>113</v>
      </c>
      <c r="H79" s="81" t="n">
        <v>100</v>
      </c>
      <c r="I79" s="199"/>
      <c r="J79" s="36" t="n">
        <f aca="false">H79</f>
        <v>100</v>
      </c>
      <c r="K79" s="200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199"/>
      <c r="D80" s="36" t="n">
        <f aca="false">B80</f>
        <v>100</v>
      </c>
      <c r="E80" s="200"/>
      <c r="F80" s="67"/>
      <c r="G80" s="275" t="s">
        <v>114</v>
      </c>
      <c r="H80" s="91" t="n">
        <v>100</v>
      </c>
      <c r="I80" s="199"/>
      <c r="J80" s="36" t="n">
        <f aca="false">H80</f>
        <v>100</v>
      </c>
      <c r="K80" s="200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2499.38263294118</v>
      </c>
      <c r="C81" s="199"/>
      <c r="D81" s="199"/>
      <c r="E81" s="200"/>
      <c r="F81" s="67"/>
      <c r="G81" s="276" t="s">
        <v>115</v>
      </c>
      <c r="H81" s="277" t="n">
        <f aca="false">SUM(J64:J80)</f>
        <v>4490.40333333333</v>
      </c>
      <c r="I81" s="199"/>
      <c r="J81" s="199"/>
      <c r="K81" s="200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208.281886078431</v>
      </c>
      <c r="C82" s="199"/>
      <c r="D82" s="199"/>
      <c r="E82" s="200"/>
      <c r="F82" s="67"/>
      <c r="G82" s="198" t="s">
        <v>116</v>
      </c>
      <c r="H82" s="37" t="n">
        <f aca="false">H81/H29</f>
        <v>374.200277777778</v>
      </c>
      <c r="I82" s="199"/>
      <c r="J82" s="199"/>
      <c r="K82" s="200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H46</f>
        <v>501</v>
      </c>
      <c r="C83" s="199"/>
      <c r="D83" s="199"/>
      <c r="E83" s="200"/>
      <c r="F83" s="67"/>
      <c r="G83" s="278" t="s">
        <v>117</v>
      </c>
      <c r="H83" s="63" t="n">
        <f aca="false">H46</f>
        <v>501</v>
      </c>
      <c r="I83" s="199"/>
      <c r="J83" s="199"/>
      <c r="K83" s="200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199"/>
      <c r="D84" s="199"/>
      <c r="E84" s="200"/>
      <c r="F84" s="67"/>
      <c r="G84" s="198"/>
      <c r="H84" s="36"/>
      <c r="I84" s="199"/>
      <c r="J84" s="199"/>
      <c r="K84" s="200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((B83*(H29)+B81))*1.2</f>
        <v>10213.6591595294</v>
      </c>
      <c r="C85" s="199"/>
      <c r="D85" s="199"/>
      <c r="E85" s="200"/>
      <c r="F85" s="67"/>
      <c r="G85" s="265" t="s">
        <v>127</v>
      </c>
      <c r="H85" s="31" t="n">
        <f aca="false">((H83*(H27+H28))+H81)*1.2</f>
        <v>12602.884</v>
      </c>
      <c r="I85" s="199"/>
      <c r="J85" s="199"/>
      <c r="K85" s="200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(((B83*(H29))+B81)/(1-B70))*B70</f>
        <v>72.1012647405263</v>
      </c>
      <c r="C86" s="199"/>
      <c r="D86" s="199"/>
      <c r="E86" s="200"/>
      <c r="F86" s="67"/>
      <c r="G86" s="198" t="s">
        <v>128</v>
      </c>
      <c r="H86" s="37" t="n">
        <f aca="false">(((H83*(H27+H28))+H81)/(1-H70))*H70</f>
        <v>88.9675151270674</v>
      </c>
      <c r="I86" s="199"/>
      <c r="J86" s="199"/>
      <c r="K86" s="200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10285.7604242699</v>
      </c>
      <c r="C87" s="199"/>
      <c r="D87" s="199"/>
      <c r="E87" s="200"/>
      <c r="F87" s="67"/>
      <c r="G87" s="262" t="s">
        <v>129</v>
      </c>
      <c r="H87" s="69" t="n">
        <f aca="false">IF(H110="YES",((H85+H86)-A151-K114),((H85+H86)-A151))</f>
        <v>12671.8515151271</v>
      </c>
      <c r="I87" s="199"/>
      <c r="J87" s="199"/>
      <c r="K87" s="200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199"/>
      <c r="D88" s="199"/>
      <c r="E88" s="200"/>
      <c r="F88" s="67"/>
      <c r="G88" s="198"/>
      <c r="H88" s="36"/>
      <c r="I88" s="199"/>
      <c r="J88" s="199"/>
      <c r="K88" s="200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9" t="n">
        <f aca="false">IF(B99=Z102,(((H44*B35)+(H44*B35)*(B105/100))/(B58))*1.2,(((H44*B35)+(H44*B35)*(B105/100))/(B57+B58))*1.2)</f>
        <v>72</v>
      </c>
      <c r="C89" s="199"/>
      <c r="D89" s="199"/>
      <c r="E89" s="200"/>
      <c r="F89" s="67"/>
      <c r="G89" s="276" t="s">
        <v>130</v>
      </c>
      <c r="H89" s="277" t="n">
        <f aca="false">(A41+(A41*H105))*1.2</f>
        <v>72</v>
      </c>
      <c r="I89" s="199"/>
      <c r="J89" s="199"/>
      <c r="K89" s="200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IF(B99=Z102,(B87-D105)/(B58),B87/(B57+B58))</f>
        <v>857.146702022495</v>
      </c>
      <c r="C90" s="199"/>
      <c r="D90" s="199"/>
      <c r="E90" s="200"/>
      <c r="F90" s="67"/>
      <c r="G90" s="280" t="s">
        <v>131</v>
      </c>
      <c r="H90" s="281" t="n">
        <f aca="false">IF(H99=AE98,(H87-J105)/(H58),H87/(H57+H58))</f>
        <v>1055.98762626059</v>
      </c>
      <c r="I90" s="199"/>
      <c r="J90" s="199"/>
      <c r="K90" s="200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929.146702022495</v>
      </c>
      <c r="C91" s="199"/>
      <c r="D91" s="199"/>
      <c r="E91" s="200"/>
      <c r="F91" s="67"/>
      <c r="G91" s="282" t="s">
        <v>132</v>
      </c>
      <c r="H91" s="283" t="n">
        <f aca="false">IF(G105="YES",H90+H89,H90)</f>
        <v>1127.98762626059</v>
      </c>
      <c r="I91" s="199"/>
      <c r="J91" s="199"/>
      <c r="K91" s="200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263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46.5" hidden="false" customHeight="true" outlineLevel="0" collapsed="false">
      <c r="A94" s="197" t="s">
        <v>294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/>
      <c r="F95" s="67"/>
      <c r="G95" s="198"/>
      <c r="H95" s="199"/>
      <c r="I95" s="199"/>
      <c r="J95" s="199"/>
      <c r="K95" s="200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199"/>
      <c r="C97" s="199"/>
      <c r="D97" s="199"/>
      <c r="E97" s="200"/>
      <c r="F97" s="67"/>
      <c r="G97" s="198"/>
      <c r="H97" s="199"/>
      <c r="I97" s="199"/>
      <c r="J97" s="199"/>
      <c r="K97" s="200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1000</v>
      </c>
      <c r="E99" s="109"/>
      <c r="F99" s="67"/>
      <c r="G99" s="204" t="s">
        <v>296</v>
      </c>
      <c r="H99" s="284" t="s">
        <v>141</v>
      </c>
      <c r="I99" s="284"/>
      <c r="J99" s="109" t="n">
        <v>0</v>
      </c>
      <c r="K99" s="109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299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 t="s">
        <v>141</v>
      </c>
      <c r="AA101" s="67"/>
    </row>
    <row r="102" customFormat="false" ht="18.75" hidden="false" customHeight="true" outlineLevel="0" collapsed="false">
      <c r="A102" s="285" t="n">
        <f aca="false">199.99*1.2</f>
        <v>239.99</v>
      </c>
      <c r="B102" s="109" t="n">
        <v>400</v>
      </c>
      <c r="C102" s="109"/>
      <c r="D102" s="109" t="n">
        <v>200</v>
      </c>
      <c r="E102" s="109"/>
      <c r="F102" s="67"/>
      <c r="G102" s="285" t="n">
        <f aca="false">199.99*1.2</f>
        <v>239.988</v>
      </c>
      <c r="H102" s="109" t="n">
        <v>1200</v>
      </c>
      <c r="I102" s="109"/>
      <c r="J102" s="109" t="n">
        <v>0</v>
      </c>
      <c r="K102" s="109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 t="s">
        <v>273</v>
      </c>
      <c r="AA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Z103" s="67" t="s">
        <v>274</v>
      </c>
      <c r="AA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Z104" s="67" t="s">
        <v>275</v>
      </c>
      <c r="AA104" s="67"/>
    </row>
    <row r="105" customFormat="false" ht="18.75" hidden="false" customHeight="true" outlineLevel="0" collapsed="false">
      <c r="A105" s="206" t="s">
        <v>31</v>
      </c>
      <c r="B105" s="284" t="n">
        <v>20</v>
      </c>
      <c r="C105" s="284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 t="n">
        <v>0</v>
      </c>
      <c r="K105" s="109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Z105" s="67" t="s">
        <v>276</v>
      </c>
      <c r="AA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Z106" s="67" t="s">
        <v>277</v>
      </c>
      <c r="AA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Z107" s="67" t="s">
        <v>278</v>
      </c>
      <c r="AA107" s="67"/>
    </row>
    <row r="108" customFormat="false" ht="18.75" hidden="false" customHeight="true" outlineLevel="0" collapsed="false">
      <c r="A108" s="201" t="s">
        <v>300</v>
      </c>
      <c r="B108" s="201" t="n">
        <v>0</v>
      </c>
      <c r="C108" s="201"/>
      <c r="D108" s="201" t="n">
        <v>0</v>
      </c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Z108" s="67" t="s">
        <v>279</v>
      </c>
      <c r="AA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Z109" s="67" t="s">
        <v>280</v>
      </c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Z110" s="67"/>
    </row>
    <row r="111" customFormat="false" ht="18.75" hidden="false" customHeight="true" outlineLevel="0" collapsed="false">
      <c r="A111" s="198"/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10000</v>
      </c>
      <c r="K112" s="109" t="n">
        <v>5000</v>
      </c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7000</v>
      </c>
      <c r="K113" s="109" t="n">
        <v>7000</v>
      </c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3000</v>
      </c>
      <c r="K114" s="157" t="n">
        <f aca="false">K112-K113</f>
        <v>-2000</v>
      </c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5000</v>
      </c>
      <c r="K115" s="200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239.988</v>
      </c>
      <c r="F118" s="67"/>
      <c r="G118" s="198" t="s">
        <v>66</v>
      </c>
      <c r="H118" s="199"/>
      <c r="I118" s="199"/>
      <c r="J118" s="199"/>
      <c r="K118" s="37" t="n">
        <f aca="false">G102</f>
        <v>239.988</v>
      </c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(E118+E117)-D115</f>
        <v>1239.988</v>
      </c>
      <c r="F119" s="67"/>
      <c r="G119" s="287" t="s">
        <v>302</v>
      </c>
      <c r="H119" s="263"/>
      <c r="I119" s="263"/>
      <c r="J119" s="263"/>
      <c r="K119" s="69" t="n">
        <f aca="false">(K118+K117)-J115</f>
        <v>-4760.012</v>
      </c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12</v>
      </c>
      <c r="C125" s="294"/>
      <c r="D125" s="293" t="n">
        <f aca="false">B160</f>
        <v>5000</v>
      </c>
      <c r="E125" s="291"/>
      <c r="F125" s="67"/>
      <c r="G125" s="198"/>
      <c r="H125" s="199"/>
      <c r="I125" s="199"/>
      <c r="J125" s="199"/>
      <c r="K125" s="200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198" t="s">
        <v>95</v>
      </c>
      <c r="H126" s="199" t="s">
        <v>96</v>
      </c>
      <c r="I126" s="199"/>
      <c r="J126" s="199" t="s">
        <v>98</v>
      </c>
      <c r="K126" s="200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213" t="n">
        <f aca="false">G152</f>
        <v>12</v>
      </c>
      <c r="H127" s="214" t="n">
        <f aca="false">A152</f>
        <v>0</v>
      </c>
      <c r="I127" s="215"/>
      <c r="J127" s="168" t="n">
        <f aca="false">B151</f>
        <v>0</v>
      </c>
      <c r="K127" s="200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857.146702022495</v>
      </c>
      <c r="B128" s="290" t="n">
        <f aca="false">IF(A105="YES",B89,0)</f>
        <v>72</v>
      </c>
      <c r="C128" s="295"/>
      <c r="D128" s="290" t="n">
        <f aca="false">B91</f>
        <v>929.146702022495</v>
      </c>
      <c r="E128" s="291"/>
      <c r="F128" s="67"/>
      <c r="G128" s="198"/>
      <c r="H128" s="199"/>
      <c r="I128" s="199"/>
      <c r="J128" s="199"/>
      <c r="K128" s="200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296" t="s">
        <v>306</v>
      </c>
      <c r="H129" s="297" t="s">
        <v>307</v>
      </c>
      <c r="I129" s="297"/>
      <c r="J129" s="297" t="s">
        <v>308</v>
      </c>
      <c r="K129" s="200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300" t="n">
        <f aca="false">H90</f>
        <v>1055.98762626059</v>
      </c>
      <c r="H130" s="166" t="n">
        <f aca="false">IF(G105="YES",H89*H57,0)</f>
        <v>72</v>
      </c>
      <c r="I130" s="166"/>
      <c r="J130" s="301" t="n">
        <f aca="false">H91</f>
        <v>1127.98762626059</v>
      </c>
      <c r="K130" s="10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857.146702022495</v>
      </c>
      <c r="C131" s="199"/>
      <c r="D131" s="42" t="n">
        <f aca="false">IF(A105="YES",B89*B57,0)</f>
        <v>72</v>
      </c>
      <c r="E131" s="200"/>
      <c r="F131" s="67"/>
      <c r="G131" s="198"/>
      <c r="H131" s="199"/>
      <c r="I131" s="199"/>
      <c r="J131" s="199"/>
      <c r="K131" s="200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1055.98762626059</v>
      </c>
      <c r="H133" s="42" t="n">
        <f aca="false">IF(G105="YES",H89*H57,0)</f>
        <v>72</v>
      </c>
      <c r="I133" s="205"/>
      <c r="J133" s="170" t="n">
        <f aca="false">H91*H57</f>
        <v>1127.98762626059</v>
      </c>
      <c r="K133" s="200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929.146702022495</v>
      </c>
      <c r="B134" s="42" t="n">
        <f aca="false">E114</f>
        <v>0</v>
      </c>
      <c r="C134" s="199"/>
      <c r="D134" s="303" t="n">
        <f aca="false">B58</f>
        <v>11</v>
      </c>
      <c r="E134" s="200"/>
      <c r="F134" s="67"/>
      <c r="G134" s="198"/>
      <c r="H134" s="199"/>
      <c r="I134" s="199"/>
      <c r="J134" s="199"/>
      <c r="K134" s="200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857.146702022495</v>
      </c>
      <c r="B137" s="42" t="n">
        <f aca="false">IF(A105="YES",B89,0)</f>
        <v>72</v>
      </c>
      <c r="C137" s="199"/>
      <c r="D137" s="42" t="n">
        <f aca="false">B91</f>
        <v>929.146702022495</v>
      </c>
      <c r="E137" s="200"/>
      <c r="F137" s="67"/>
      <c r="G137" s="198"/>
      <c r="H137" s="199"/>
      <c r="I137" s="199"/>
      <c r="J137" s="199"/>
      <c r="K137" s="200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239.988</v>
      </c>
      <c r="H139" s="42" t="n">
        <f aca="false">H67</f>
        <v>202.63</v>
      </c>
      <c r="I139" s="42"/>
      <c r="J139" s="42" t="n">
        <f aca="false">H102*0.9</f>
        <v>1080</v>
      </c>
      <c r="K139" s="10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(G18*0.000006)*1.2*100</f>
        <v>29.17872</v>
      </c>
      <c r="B140" s="309" t="n">
        <f aca="false">G18*0.000002*1.2*100</f>
        <v>9.72624</v>
      </c>
      <c r="C140" s="310"/>
      <c r="D140" s="309" t="n">
        <f aca="false">A140+B140</f>
        <v>38.90496</v>
      </c>
      <c r="E140" s="200"/>
      <c r="F140" s="67"/>
      <c r="G140" s="198"/>
      <c r="H140" s="199"/>
      <c r="I140" s="199"/>
      <c r="J140" s="199"/>
      <c r="K140" s="200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IF(G105="YES",H89*0.1,0)</f>
        <v>7.2</v>
      </c>
      <c r="H142" s="42" t="n">
        <f aca="false">G102-100</f>
        <v>139.988</v>
      </c>
      <c r="I142" s="42"/>
      <c r="J142" s="42" t="n">
        <f aca="false">(H139+J139+G142+H142)-H145</f>
        <v>1429.818</v>
      </c>
      <c r="K142" s="10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239.988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f aca="false">IF((1200-H102)&lt;=0,0,(1200-H102))</f>
        <v>0</v>
      </c>
      <c r="H145" s="42" t="n">
        <f aca="false">(H139+J139+G142+H142)*(G145/H64)</f>
        <v>0</v>
      </c>
      <c r="I145" s="199"/>
      <c r="J145" s="199"/>
      <c r="K145" s="200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IF(A105="YES",(A41*B105)*B125,0)*0.001</f>
        <v>12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482</v>
      </c>
      <c r="E151" s="107"/>
      <c r="F151" s="67"/>
      <c r="G151" s="233"/>
      <c r="H151" s="235" t="n">
        <f aca="false">B51</f>
        <v>5000</v>
      </c>
      <c r="I151" s="235"/>
      <c r="J151" s="199"/>
      <c r="K151" s="200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12</v>
      </c>
      <c r="H152" s="78" t="n">
        <f aca="false">H91</f>
        <v>1127.98762626059</v>
      </c>
      <c r="I152" s="78"/>
      <c r="J152" s="199"/>
      <c r="K152" s="200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9.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12</v>
      </c>
      <c r="B161" s="78" t="n">
        <f aca="false">B91</f>
        <v>929.146702022495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317" t="s">
        <v>303</v>
      </c>
      <c r="B165" s="317"/>
      <c r="C165" s="317"/>
      <c r="D165" s="317"/>
      <c r="E165" s="31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198"/>
      <c r="B166" s="199"/>
      <c r="C166" s="199"/>
      <c r="D166" s="199"/>
      <c r="E166" s="200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88" t="s">
        <v>138</v>
      </c>
      <c r="B167" s="289" t="s">
        <v>52</v>
      </c>
      <c r="C167" s="290"/>
      <c r="D167" s="289" t="s">
        <v>96</v>
      </c>
      <c r="E167" s="291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292" t="s">
        <v>296</v>
      </c>
      <c r="B168" s="318" t="n">
        <f aca="false">A161</f>
        <v>12</v>
      </c>
      <c r="C168" s="294"/>
      <c r="D168" s="290" t="n">
        <f aca="false">B160</f>
        <v>5000</v>
      </c>
      <c r="E168" s="291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288"/>
      <c r="B169" s="289"/>
      <c r="C169" s="289"/>
      <c r="D169" s="289"/>
      <c r="E169" s="291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288" t="s">
        <v>131</v>
      </c>
      <c r="B170" s="289" t="s">
        <v>304</v>
      </c>
      <c r="C170" s="290"/>
      <c r="D170" s="289" t="s">
        <v>305</v>
      </c>
      <c r="E170" s="291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292" t="n">
        <f aca="false">B90</f>
        <v>857.146702022495</v>
      </c>
      <c r="B171" s="290" t="n">
        <f aca="false">IF(A105="YES",B89,0)</f>
        <v>72</v>
      </c>
      <c r="C171" s="295"/>
      <c r="D171" s="290" t="n">
        <f aca="false">B91</f>
        <v>929.146702022495</v>
      </c>
      <c r="E171" s="291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98" t="s">
        <v>36</v>
      </c>
      <c r="B173" s="299" t="s">
        <v>309</v>
      </c>
      <c r="C173" s="215"/>
      <c r="D173" s="299" t="s">
        <v>310</v>
      </c>
      <c r="E173" s="200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302" t="str">
        <f aca="false">B99</f>
        <v> Monthly in advance </v>
      </c>
      <c r="B174" s="42" t="n">
        <f aca="false">B90*B57</f>
        <v>857.146702022495</v>
      </c>
      <c r="C174" s="199"/>
      <c r="D174" s="42" t="n">
        <f aca="false">IF(A105="YES",B89*B57,0)</f>
        <v>72</v>
      </c>
      <c r="E174" s="200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198"/>
      <c r="B175" s="199"/>
      <c r="C175" s="199"/>
      <c r="D175" s="199"/>
      <c r="E175" s="200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112" t="s">
        <v>314</v>
      </c>
      <c r="B176" s="43" t="s">
        <v>315</v>
      </c>
      <c r="C176" s="205"/>
      <c r="D176" s="230" t="s">
        <v>219</v>
      </c>
      <c r="E176" s="200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113" t="n">
        <f aca="false">B91*B57</f>
        <v>929.146702022495</v>
      </c>
      <c r="B177" s="42" t="n">
        <f aca="false">E114</f>
        <v>0</v>
      </c>
      <c r="C177" s="199"/>
      <c r="D177" s="303" t="n">
        <f aca="false">B58</f>
        <v>11</v>
      </c>
      <c r="E177" s="200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13"/>
      <c r="B178" s="304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64" t="s">
        <v>131</v>
      </c>
      <c r="B179" s="305" t="s">
        <v>304</v>
      </c>
      <c r="C179" s="199"/>
      <c r="D179" s="199" t="s">
        <v>305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113" t="n">
        <f aca="false">B90</f>
        <v>857.146702022495</v>
      </c>
      <c r="B180" s="42" t="n">
        <f aca="false">IF(A105="YES",B89,0)</f>
        <v>72</v>
      </c>
      <c r="C180" s="199"/>
      <c r="D180" s="42" t="n">
        <f aca="false">B91</f>
        <v>929.146702022495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306" t="s">
        <v>80</v>
      </c>
      <c r="B182" s="307" t="s">
        <v>322</v>
      </c>
      <c r="C182" s="42"/>
      <c r="D182" s="307" t="s">
        <v>85</v>
      </c>
      <c r="E182" s="10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308" t="n">
        <f aca="false">(G18*0.000006)*1.2*100</f>
        <v>29.17872</v>
      </c>
      <c r="B183" s="309" t="n">
        <f aca="false">G18*0.000002*1.2*100</f>
        <v>9.72624</v>
      </c>
      <c r="C183" s="310"/>
      <c r="D183" s="309" t="n">
        <f aca="false">A183+B183</f>
        <v>38.90496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311"/>
      <c r="B184" s="312"/>
      <c r="C184" s="199"/>
      <c r="D184" s="312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306" t="s">
        <v>326</v>
      </c>
      <c r="B185" s="307" t="s">
        <v>66</v>
      </c>
      <c r="C185" s="42"/>
      <c r="D185" s="307" t="s">
        <v>292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v>0</v>
      </c>
      <c r="B186" s="42" t="n">
        <f aca="false">E118</f>
        <v>239.988</v>
      </c>
      <c r="C186" s="199"/>
      <c r="D186" s="142" t="n">
        <f aca="false">B102</f>
        <v>400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13"/>
      <c r="B187" s="42"/>
      <c r="C187" s="199"/>
      <c r="D187" s="42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13" t="s">
        <v>329</v>
      </c>
      <c r="B188" s="314"/>
      <c r="C188" s="315"/>
      <c r="D188" s="314"/>
      <c r="E188" s="316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11"/>
      <c r="B189" s="312"/>
      <c r="C189" s="199"/>
      <c r="D189" s="312"/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198" t="s">
        <v>330</v>
      </c>
      <c r="B190" s="199" t="s">
        <v>331</v>
      </c>
      <c r="C190" s="199"/>
      <c r="D190" s="199" t="s">
        <v>332</v>
      </c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113" t="n">
        <f aca="false">B67</f>
        <v>250</v>
      </c>
      <c r="B191" s="42" t="n">
        <f aca="false">B102</f>
        <v>400</v>
      </c>
      <c r="C191" s="42"/>
      <c r="D191" s="42" t="n">
        <f aca="false">IF(A105="YES",(A38/100*B105)*B125,0)*0.001</f>
        <v>12</v>
      </c>
      <c r="E191" s="10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98"/>
      <c r="B192" s="199"/>
      <c r="C192" s="199"/>
      <c r="D192" s="199"/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98" t="s">
        <v>334</v>
      </c>
      <c r="B193" s="199" t="s">
        <v>328</v>
      </c>
      <c r="C193" s="199"/>
      <c r="D193" s="199" t="s">
        <v>325</v>
      </c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113" t="n">
        <f aca="false">A151</f>
        <v>20</v>
      </c>
      <c r="B194" s="42" t="n">
        <f aca="false">(A148+B148+D148+A151)*(A143/B64)</f>
        <v>0</v>
      </c>
      <c r="C194" s="42"/>
      <c r="D194" s="42" t="n">
        <f aca="false">D151</f>
        <v>482</v>
      </c>
      <c r="E194" s="10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198"/>
      <c r="B195" s="199"/>
      <c r="C195" s="199"/>
      <c r="D195" s="199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335</v>
      </c>
      <c r="B196" s="199"/>
      <c r="C196" s="199"/>
      <c r="D196" s="199"/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D102</f>
        <v>200</v>
      </c>
      <c r="B197" s="42"/>
      <c r="C197" s="199"/>
      <c r="D197" s="199"/>
      <c r="E197" s="200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262"/>
      <c r="B198" s="263"/>
      <c r="C198" s="263"/>
      <c r="D198" s="263"/>
      <c r="E198" s="264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317" t="s">
        <v>225</v>
      </c>
      <c r="B201" s="317"/>
      <c r="C201" s="317"/>
      <c r="D201" s="317"/>
      <c r="E201" s="31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/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288" t="s">
        <v>226</v>
      </c>
      <c r="B203" s="319" t="n">
        <f aca="false">B209</f>
        <v>0.065</v>
      </c>
      <c r="C203" s="290" t="s">
        <v>228</v>
      </c>
      <c r="D203" s="320" t="n">
        <f aca="false">D64</f>
        <v>1179.50028</v>
      </c>
      <c r="E203" s="291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92"/>
      <c r="B204" s="293"/>
      <c r="C204" s="294"/>
      <c r="D204" s="293"/>
      <c r="E204" s="291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288" t="s">
        <v>229</v>
      </c>
      <c r="B205" s="290" t="n">
        <f aca="false">B213</f>
        <v>250</v>
      </c>
      <c r="C205" s="289" t="s">
        <v>230</v>
      </c>
      <c r="D205" s="320" t="n">
        <f aca="false">B219+E215+B215+B217</f>
        <v>400</v>
      </c>
      <c r="E205" s="291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288"/>
      <c r="B206" s="321"/>
      <c r="C206" s="290"/>
      <c r="D206" s="289"/>
      <c r="E206" s="291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292" t="s">
        <v>231</v>
      </c>
      <c r="B207" s="290" t="n">
        <f aca="false">E217</f>
        <v>1329.50028</v>
      </c>
      <c r="C207" s="294"/>
      <c r="D207" s="290"/>
      <c r="E207" s="291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305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13" t="s">
        <v>226</v>
      </c>
      <c r="B209" s="322" t="n">
        <v>0.065</v>
      </c>
      <c r="C209" s="215"/>
      <c r="D209" s="299"/>
      <c r="E209" s="200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302"/>
      <c r="B210" s="43"/>
      <c r="C210" s="199"/>
      <c r="D210" s="42"/>
      <c r="E210" s="200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04" t="s">
        <v>228</v>
      </c>
      <c r="B211" s="106" t="n">
        <f aca="false">D64</f>
        <v>1179.50028</v>
      </c>
      <c r="C211" s="223" t="s">
        <v>234</v>
      </c>
      <c r="D211" s="199"/>
      <c r="E211" s="270" t="n">
        <f aca="false">B66</f>
        <v>0</v>
      </c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171"/>
      <c r="B212" s="43"/>
      <c r="C212" s="205"/>
      <c r="D212" s="230"/>
      <c r="E212" s="200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113" t="s">
        <v>234</v>
      </c>
      <c r="B213" s="106" t="n">
        <f aca="false">B67</f>
        <v>250</v>
      </c>
      <c r="C213" s="205" t="s">
        <v>336</v>
      </c>
      <c r="D213" s="303"/>
      <c r="E213" s="88" t="n">
        <f aca="false">J15</f>
        <v>0.15</v>
      </c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13"/>
      <c r="B214" s="305"/>
      <c r="C214" s="205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113" t="s">
        <v>336</v>
      </c>
      <c r="B215" s="230" t="n">
        <f aca="false">B191*E213</f>
        <v>60</v>
      </c>
      <c r="C215" s="205" t="s">
        <v>236</v>
      </c>
      <c r="D215" s="199"/>
      <c r="E215" s="37" t="n">
        <f aca="false">A194</f>
        <v>20</v>
      </c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113"/>
      <c r="B216" s="43"/>
      <c r="C216" s="205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337</v>
      </c>
      <c r="B217" s="230" t="n">
        <f aca="false">B78-(B78*(E213))</f>
        <v>200</v>
      </c>
      <c r="C217" s="205" t="s">
        <v>231</v>
      </c>
      <c r="D217" s="199"/>
      <c r="E217" s="37" t="n">
        <f aca="false">(B211-B205+D205)</f>
        <v>1329.50028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323"/>
      <c r="B218" s="307"/>
      <c r="C218" s="42"/>
      <c r="D218" s="307"/>
      <c r="E218" s="15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323" t="s">
        <v>338</v>
      </c>
      <c r="B219" s="307" t="n">
        <f aca="false">D191/0.1</f>
        <v>120</v>
      </c>
      <c r="C219" s="42"/>
      <c r="D219" s="307"/>
      <c r="E219" s="15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323"/>
      <c r="B220" s="307"/>
      <c r="C220" s="42"/>
      <c r="D220" s="307"/>
      <c r="E220" s="15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313" t="s">
        <v>339</v>
      </c>
      <c r="B221" s="324"/>
      <c r="C221" s="315"/>
      <c r="D221" s="314"/>
      <c r="E221" s="316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311"/>
      <c r="B222" s="325"/>
      <c r="C222" s="199"/>
      <c r="D222" s="31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311" t="s">
        <v>238</v>
      </c>
      <c r="B223" s="106" t="n">
        <f aca="false">B71</f>
        <v>160</v>
      </c>
      <c r="C223" s="205" t="s">
        <v>239</v>
      </c>
      <c r="D223" s="312"/>
      <c r="E223" s="140" t="n">
        <f aca="false">B72</f>
        <v>4.5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11"/>
      <c r="B224" s="325"/>
      <c r="C224" s="205" t="s">
        <v>240</v>
      </c>
      <c r="D224" s="312"/>
      <c r="E224" s="37" t="n">
        <f aca="false">D73</f>
        <v>214</v>
      </c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11" t="s">
        <v>241</v>
      </c>
      <c r="B225" s="326" t="n">
        <f aca="false">B68</f>
        <v>0.0075</v>
      </c>
      <c r="C225" s="205" t="s">
        <v>242</v>
      </c>
      <c r="D225" s="312"/>
      <c r="E225" s="270" t="n">
        <f aca="false">B69</f>
        <v>0.12</v>
      </c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11"/>
      <c r="B226" s="325"/>
      <c r="C226" s="205" t="s">
        <v>243</v>
      </c>
      <c r="D226" s="312"/>
      <c r="E226" s="37" t="n">
        <f aca="false">B86</f>
        <v>72.1012647405263</v>
      </c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1" t="s">
        <v>244</v>
      </c>
      <c r="B227" s="106" t="n">
        <f aca="false">B79</f>
        <v>300</v>
      </c>
      <c r="C227" s="327" t="s">
        <v>340</v>
      </c>
      <c r="D227" s="328"/>
      <c r="E227" s="140" t="n">
        <f aca="false">B74</f>
        <v>0</v>
      </c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204"/>
      <c r="B228" s="305"/>
      <c r="C228" s="327"/>
      <c r="D228" s="329"/>
      <c r="E228" s="33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113" t="s">
        <v>245</v>
      </c>
      <c r="B229" s="106" t="n">
        <f aca="false">B80</f>
        <v>100</v>
      </c>
      <c r="C229" s="331" t="s">
        <v>341</v>
      </c>
      <c r="D229" s="331"/>
      <c r="E229" s="140" t="n">
        <f aca="false">B75</f>
        <v>0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198"/>
      <c r="B230" s="199"/>
      <c r="C230" s="199"/>
      <c r="D230" s="199"/>
      <c r="E230" s="200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198"/>
      <c r="B231" s="199"/>
      <c r="C231" s="199"/>
      <c r="D231" s="199"/>
      <c r="E231" s="200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113"/>
      <c r="B232" s="42"/>
      <c r="C232" s="42"/>
      <c r="D232" s="42"/>
      <c r="E232" s="10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198"/>
      <c r="B233" s="199"/>
      <c r="C233" s="199"/>
      <c r="D233" s="199"/>
      <c r="E233" s="200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198"/>
      <c r="B234" s="199"/>
      <c r="C234" s="199"/>
      <c r="D234" s="199"/>
      <c r="E234" s="20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/>
      <c r="B235" s="42"/>
      <c r="C235" s="199"/>
      <c r="D235" s="199"/>
      <c r="E235" s="200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262"/>
      <c r="B236" s="263"/>
      <c r="C236" s="263"/>
      <c r="D236" s="263"/>
      <c r="E236" s="264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6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A50:A51"/>
    <mergeCell ref="B50:C50"/>
    <mergeCell ref="B51:C51"/>
    <mergeCell ref="B52:C52"/>
    <mergeCell ref="A94:E94"/>
    <mergeCell ref="G94:K94"/>
    <mergeCell ref="A96:E96"/>
    <mergeCell ref="G96:K96"/>
    <mergeCell ref="B99:C99"/>
    <mergeCell ref="D99:E99"/>
    <mergeCell ref="H99:I99"/>
    <mergeCell ref="J99:K99"/>
    <mergeCell ref="B102:C102"/>
    <mergeCell ref="D102:E102"/>
    <mergeCell ref="H102:I102"/>
    <mergeCell ref="J102:K102"/>
    <mergeCell ref="B105:C105"/>
    <mergeCell ref="D105:E105"/>
    <mergeCell ref="H105:I105"/>
    <mergeCell ref="J105:K105"/>
    <mergeCell ref="A108:E108"/>
    <mergeCell ref="G108:K108"/>
    <mergeCell ref="A122:E122"/>
    <mergeCell ref="G122:K122"/>
    <mergeCell ref="H124:I124"/>
    <mergeCell ref="G150:G151"/>
    <mergeCell ref="H150:I150"/>
    <mergeCell ref="H151:I151"/>
    <mergeCell ref="H152:I152"/>
    <mergeCell ref="A159:A160"/>
    <mergeCell ref="B159:C159"/>
    <mergeCell ref="B160:C160"/>
    <mergeCell ref="B161:C161"/>
    <mergeCell ref="A165:E165"/>
    <mergeCell ref="A201:E201"/>
  </mergeCells>
  <dataValidations count="4">
    <dataValidation allowBlank="true" errorStyle="stop" operator="between" showDropDown="false" showErrorMessage="true" showInputMessage="false" sqref="A32" type="list">
      <formula1>"Monthly in advance ,Spread rentals initial payment ,Spread rentals with 3 down ,Spread rentals with 6 down ,Spread rentals with 9 down ,Spread rentals with 12 down ,Terminal pause with 3 down ,Terminal Pause with 6 down ,Terminal Pause with 9 dow"</formula1>
      <formula2>0</formula2>
    </dataValidation>
    <dataValidation allowBlank="true" errorStyle="stop" operator="between" showDropDown="false" showErrorMessage="true" showInputMessage="false" sqref="B38 A105 B110" type="list">
      <formula1>"NO,YES"</formula1>
      <formula2>0</formula2>
    </dataValidation>
    <dataValidation allowBlank="true" errorStyle="stop" operator="between" showDropDown="false" showErrorMessage="true" showInputMessage="false" sqref="H99 N99:O99 G105 M105 O107 H110 N110" type="list">
      <formula1>#ref!</formula1>
      <formula2>0</formula2>
    </dataValidation>
    <dataValidation allowBlank="true" errorStyle="stop" operator="between" showDropDown="false" showErrorMessage="true" showInputMessage="false" sqref="B99" type="list">
      <formula1>'BCH (Formula 3) - PCH'!$Z$101:$Z$109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B218" activeCellId="0" sqref="B218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7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42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IF(A32=Z101,1,IF(A32=Z102,1,IF(A32=Z103,3,IF(A32=Z104,6,IF(A32=Z105,9,IF(A32=Z106,12,IF(A32=Z107,3,IF(A32=Z108,6,IF(A32=Z109,9,0)))))))))</f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IF(A32=Z101,H29-H27,IF(A32=Z102,H29-H27,IF(A32=Z103,H29-1,IF(A32=Z104,H29-1,IF(A32=Z105,H29-1,IF(A32=Z106,H29-1,IF(A32=Z107,H29-H27,IF(A32=Z108,H29-H27,IF(A32=Z109,H29-H27,0)))))))))</f>
        <v>11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n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n">
        <f aca="false">IF(A32=Z101,D38,IF(A32=Z102,D38,IF(A32=Z103,(D38*3),IF(A32=Z104,(D38*6),IF(A32=Z105,(D38*9),IF(A32=Z106,(D38*12),IF(A32=Z107,D38,IF(A32=Z108,D38,IF(A32=Z109,D38,0)))))))))</f>
        <v>500</v>
      </c>
      <c r="C32" s="211"/>
      <c r="D32" s="211" t="n">
        <f aca="false">IF(A32=Z101,A41,IF(A32=Z102,A41,IF(A32=Z103,(A41*3),IF(A32=Z104,(A41*6),IF(A32=Z105,(A41*9),IF(A32=Z106,(A41*12),IF(A32=Z107,A41,IF(A32=Z108,A41,IF(A32=Z109,A41,0)))))))))</f>
        <v>50</v>
      </c>
      <c r="E32" s="211"/>
      <c r="F32" s="67"/>
      <c r="G32" s="212" t="s">
        <v>254</v>
      </c>
      <c r="H32" s="210" t="n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/>
      <c r="H33" s="20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n">
        <f aca="false">D41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n">
        <v>500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152</v>
      </c>
      <c r="E40" s="200"/>
      <c r="F40" s="67"/>
      <c r="G40" s="332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50</v>
      </c>
      <c r="B41" s="224" t="n">
        <f aca="false">IF(B38="YES",D38+A41,D38)</f>
        <v>550</v>
      </c>
      <c r="C41" s="224"/>
      <c r="D41" s="106" t="n">
        <v>12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264</v>
      </c>
      <c r="B43" s="223" t="s">
        <v>265</v>
      </c>
      <c r="C43" s="215"/>
      <c r="D43" s="223" t="s">
        <v>269</v>
      </c>
      <c r="E43" s="226"/>
      <c r="F43" s="67"/>
      <c r="G43" s="67" t="s">
        <v>266</v>
      </c>
      <c r="H43" s="7" t="n">
        <f aca="false">(((D38*(B35-1))+B32)/B35)+(D41/B35)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n">
        <v>1</v>
      </c>
      <c r="B44" s="106" t="n">
        <v>1</v>
      </c>
      <c r="C44" s="106"/>
      <c r="D44" s="256" t="n">
        <f aca="false">A44+B44</f>
        <v>2</v>
      </c>
      <c r="E44" s="256"/>
      <c r="F44" s="67"/>
      <c r="G44" s="67" t="s">
        <v>267</v>
      </c>
      <c r="H44" s="7" t="n">
        <f aca="false">((A41*(B35-1))+D32)/B35</f>
        <v>50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57" t="s">
        <v>284</v>
      </c>
      <c r="B46" s="215"/>
      <c r="C46" s="215"/>
      <c r="D46" s="215"/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21"/>
      <c r="B47" s="215"/>
      <c r="C47" s="215"/>
      <c r="D47" s="215"/>
      <c r="E47" s="22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67"/>
      <c r="H48" s="7" t="n">
        <f aca="false">(A41*(B58+B57))</f>
        <v>600</v>
      </c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/>
      <c r="H49" s="261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12</v>
      </c>
      <c r="B52" s="78" t="n">
        <f aca="false">H45</f>
        <v>551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IF(B99=Z101,1,IF(B99=Z102,1,IF(B99=Z103,3,IF(B99=Z104,6,IF(B99=Z105,9,IF(B99=Z106,12,IF(B99=Z107,3,IF(B99=Z108,6,IF(B99=Z109,9,0)))))))))</f>
        <v>1</v>
      </c>
      <c r="C57" s="199"/>
      <c r="D57" s="199"/>
      <c r="E57" s="200"/>
      <c r="F57" s="67"/>
      <c r="G57" s="198" t="s">
        <v>97</v>
      </c>
      <c r="H57" s="199" t="n">
        <f aca="false">IF(H99=Z101,1,IF(H99=Z102,1,IF(H99=Z103,3,IF(H99=Z104,6,IF(H99=Z105,9,IF(H99=Z106,12,IF(H99=Z107,3,IF(H99=Z108,6,IF(H99=Z109,9,0)))))))))</f>
        <v>1</v>
      </c>
      <c r="I57" s="199"/>
      <c r="J57" s="199"/>
      <c r="K57" s="200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IF(B99=Z101,H29-B57,IF(B99=Z102,H29-B57,IF(B99=Z103,H29-1,IF(B99=Z104,H29-1,IF(B99=Z105,H29-1,IF(B99=Z106,H29-1,IF(B99=Z107,H29-B57,IF(B99=Z108,H29-B57,IF(B99=Z109,H29-B57,0)))))))))</f>
        <v>11</v>
      </c>
      <c r="C58" s="199" t="s">
        <v>285</v>
      </c>
      <c r="D58" s="199"/>
      <c r="E58" s="200"/>
      <c r="F58" s="67"/>
      <c r="G58" s="198" t="s">
        <v>98</v>
      </c>
      <c r="H58" s="199" t="n">
        <f aca="false">IF(H99=Z101,H29-H57,IF(H99=Z102,H29-H57,IF(H99=Z103,H29-1,IF(H99=Z104,H29-1,IF(H99=Z105,H29-1,IF(H99=Z106,H29-1,IF(H99=Z107,H29-H57,IF(H99=Z108,H29-H57,IF(H99=Z109,H29-H57,0)))))))))</f>
        <v>11</v>
      </c>
      <c r="I58" s="199"/>
      <c r="J58" s="199"/>
      <c r="K58" s="200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286</v>
      </c>
      <c r="B60" s="199" t="n">
        <f aca="false">E19</f>
        <v>16850.004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f aca="false">G18</f>
        <v>40526</v>
      </c>
      <c r="C61" s="199"/>
      <c r="D61" s="199"/>
      <c r="E61" s="200"/>
      <c r="F61" s="67"/>
      <c r="G61" s="198" t="s">
        <v>27</v>
      </c>
      <c r="H61" s="36" t="n">
        <f aca="false">G18</f>
        <v>40526</v>
      </c>
      <c r="I61" s="199"/>
      <c r="J61" s="199"/>
      <c r="K61" s="200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0.07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0.07</v>
      </c>
      <c r="I63" s="199"/>
      <c r="J63" s="199"/>
      <c r="K63" s="200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B60*B63</f>
        <v>1179.50028</v>
      </c>
      <c r="C64" s="199" t="n">
        <v>10000</v>
      </c>
      <c r="D64" s="36" t="n">
        <f aca="false">B64</f>
        <v>1179.50028</v>
      </c>
      <c r="E64" s="200"/>
      <c r="F64" s="67"/>
      <c r="G64" s="262" t="s">
        <v>103</v>
      </c>
      <c r="H64" s="69" t="n">
        <f aca="false">H61*H63</f>
        <v>2836.82</v>
      </c>
      <c r="I64" s="199"/>
      <c r="J64" s="36" t="n">
        <f aca="false">H64</f>
        <v>2836.82</v>
      </c>
      <c r="K64" s="200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199"/>
      <c r="E65" s="200"/>
      <c r="F65" s="67"/>
      <c r="G65" s="268" t="s">
        <v>104</v>
      </c>
      <c r="H65" s="269" t="n">
        <v>0.005</v>
      </c>
      <c r="I65" s="199"/>
      <c r="J65" s="199"/>
      <c r="K65" s="200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199"/>
      <c r="D66" s="199"/>
      <c r="E66" s="200"/>
      <c r="F66" s="67"/>
      <c r="G66" s="198" t="s">
        <v>105</v>
      </c>
      <c r="H66" s="270" t="n">
        <f aca="false">H65+(H65*0.5*(H29/12-1))</f>
        <v>0.005</v>
      </c>
      <c r="I66" s="199"/>
      <c r="J66" s="199"/>
      <c r="K66" s="200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199"/>
      <c r="D67" s="36"/>
      <c r="E67" s="200"/>
      <c r="F67" s="67"/>
      <c r="G67" s="262" t="s">
        <v>106</v>
      </c>
      <c r="H67" s="69" t="n">
        <f aca="false">H61*H66</f>
        <v>202.63</v>
      </c>
      <c r="I67" s="199"/>
      <c r="J67" s="36"/>
      <c r="K67" s="200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199"/>
      <c r="D68" s="199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0.0084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54</v>
      </c>
      <c r="C73" s="199"/>
      <c r="D73" s="36" t="n">
        <f aca="false">B73+B71</f>
        <v>214</v>
      </c>
      <c r="E73" s="200"/>
      <c r="F73" s="67"/>
      <c r="G73" s="262" t="s">
        <v>112</v>
      </c>
      <c r="H73" s="69" t="n">
        <f aca="false">H72*H29</f>
        <v>54</v>
      </c>
      <c r="I73" s="199"/>
      <c r="J73" s="36" t="n">
        <f aca="false">H73+H71</f>
        <v>214</v>
      </c>
      <c r="K73" s="200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0</v>
      </c>
      <c r="C74" s="199"/>
      <c r="D74" s="199"/>
      <c r="E74" s="200"/>
      <c r="F74" s="67"/>
      <c r="G74" s="268" t="s">
        <v>289</v>
      </c>
      <c r="H74" s="90" t="n">
        <v>150</v>
      </c>
      <c r="I74" s="199"/>
      <c r="J74" s="199"/>
      <c r="K74" s="200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/>
      <c r="D75" s="199"/>
      <c r="E75" s="200"/>
      <c r="F75" s="67"/>
      <c r="G75" s="272" t="s">
        <v>290</v>
      </c>
      <c r="H75" s="81" t="n">
        <f aca="false">IF(G18&gt;40000,325,0)</f>
        <v>325</v>
      </c>
      <c r="I75" s="199"/>
      <c r="J75" s="199"/>
      <c r="K75" s="200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((B74+B75)/12)*(H29+1)</f>
        <v>0</v>
      </c>
      <c r="C76" s="199"/>
      <c r="D76" s="36" t="n">
        <f aca="false">B76</f>
        <v>0</v>
      </c>
      <c r="E76" s="200"/>
      <c r="F76" s="67"/>
      <c r="G76" s="262" t="s">
        <v>291</v>
      </c>
      <c r="H76" s="69" t="n">
        <f aca="false">((H74+H75)/12)*(H29-11)</f>
        <v>39.5833333333333</v>
      </c>
      <c r="I76" s="199"/>
      <c r="J76" s="36" t="n">
        <f aca="false">H76</f>
        <v>39.5833333333333</v>
      </c>
      <c r="K76" s="200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292</v>
      </c>
      <c r="B77" s="90" t="n">
        <f aca="false">B102/(1-J15)</f>
        <v>470.588235294118</v>
      </c>
      <c r="C77" s="199"/>
      <c r="D77" s="36" t="n">
        <f aca="false">B77</f>
        <v>470.588235294118</v>
      </c>
      <c r="E77" s="200"/>
      <c r="F77" s="67"/>
      <c r="G77" s="268" t="s">
        <v>292</v>
      </c>
      <c r="H77" s="90" t="n">
        <f aca="false">H102</f>
        <v>1200</v>
      </c>
      <c r="I77" s="199"/>
      <c r="J77" s="36" t="n">
        <f aca="false">H77</f>
        <v>1200</v>
      </c>
      <c r="K77" s="200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235.294117647059</v>
      </c>
      <c r="C78" s="199"/>
      <c r="D78" s="36" t="n">
        <f aca="false">B78</f>
        <v>235.294117647059</v>
      </c>
      <c r="E78" s="200"/>
      <c r="F78" s="67"/>
      <c r="G78" s="198" t="s">
        <v>293</v>
      </c>
      <c r="H78" s="37" t="n">
        <f aca="false">J102</f>
        <v>0</v>
      </c>
      <c r="I78" s="199"/>
      <c r="J78" s="36" t="n">
        <f aca="false">H78</f>
        <v>0</v>
      </c>
      <c r="K78" s="200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199"/>
      <c r="D79" s="36" t="n">
        <f aca="false">B79</f>
        <v>300</v>
      </c>
      <c r="E79" s="200"/>
      <c r="F79" s="67"/>
      <c r="G79" s="272" t="s">
        <v>113</v>
      </c>
      <c r="H79" s="81" t="n">
        <v>100</v>
      </c>
      <c r="I79" s="199"/>
      <c r="J79" s="36" t="n">
        <f aca="false">H79</f>
        <v>100</v>
      </c>
      <c r="K79" s="200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199"/>
      <c r="D80" s="36" t="n">
        <f aca="false">B80</f>
        <v>100</v>
      </c>
      <c r="E80" s="200"/>
      <c r="F80" s="67"/>
      <c r="G80" s="275" t="s">
        <v>114</v>
      </c>
      <c r="H80" s="91" t="n">
        <v>100</v>
      </c>
      <c r="I80" s="199"/>
      <c r="J80" s="36" t="n">
        <f aca="false">H80</f>
        <v>100</v>
      </c>
      <c r="K80" s="200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2499.38263294118</v>
      </c>
      <c r="C81" s="199"/>
      <c r="D81" s="199"/>
      <c r="E81" s="200"/>
      <c r="F81" s="67"/>
      <c r="G81" s="276" t="s">
        <v>115</v>
      </c>
      <c r="H81" s="277" t="n">
        <f aca="false">SUM(J64:J80)</f>
        <v>4490.40333333333</v>
      </c>
      <c r="I81" s="199"/>
      <c r="J81" s="199"/>
      <c r="K81" s="200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208.281886078431</v>
      </c>
      <c r="C82" s="199"/>
      <c r="D82" s="199"/>
      <c r="E82" s="200"/>
      <c r="F82" s="67"/>
      <c r="G82" s="198" t="s">
        <v>116</v>
      </c>
      <c r="H82" s="37" t="n">
        <f aca="false">H81/H29</f>
        <v>374.200277777778</v>
      </c>
      <c r="I82" s="199"/>
      <c r="J82" s="199"/>
      <c r="K82" s="200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H46</f>
        <v>501</v>
      </c>
      <c r="C83" s="199"/>
      <c r="D83" s="199"/>
      <c r="E83" s="200"/>
      <c r="F83" s="67"/>
      <c r="G83" s="278" t="s">
        <v>117</v>
      </c>
      <c r="H83" s="63" t="n">
        <f aca="false">H46</f>
        <v>501</v>
      </c>
      <c r="I83" s="199"/>
      <c r="J83" s="199"/>
      <c r="K83" s="200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199"/>
      <c r="D84" s="199"/>
      <c r="E84" s="200"/>
      <c r="F84" s="67"/>
      <c r="G84" s="198"/>
      <c r="H84" s="36"/>
      <c r="I84" s="199"/>
      <c r="J84" s="199"/>
      <c r="K84" s="200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((B83*(H29)+B81))</f>
        <v>8511.38263294118</v>
      </c>
      <c r="C85" s="199"/>
      <c r="D85" s="199"/>
      <c r="E85" s="200"/>
      <c r="F85" s="67"/>
      <c r="G85" s="265" t="s">
        <v>127</v>
      </c>
      <c r="H85" s="31" t="n">
        <f aca="false">((H83*(H27+H28))+H81)*1.2</f>
        <v>12602.884</v>
      </c>
      <c r="I85" s="199"/>
      <c r="J85" s="199"/>
      <c r="K85" s="200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(B85/(1-B70))*B70</f>
        <v>72.1012647405263</v>
      </c>
      <c r="C86" s="199"/>
      <c r="D86" s="199"/>
      <c r="E86" s="200"/>
      <c r="F86" s="67"/>
      <c r="G86" s="198" t="s">
        <v>128</v>
      </c>
      <c r="H86" s="37" t="n">
        <f aca="false">(((H83*(H27+H28))+H81)/(1-H70))*H70</f>
        <v>88.9675151270674</v>
      </c>
      <c r="I86" s="199"/>
      <c r="J86" s="199"/>
      <c r="K86" s="200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8583.4838976817</v>
      </c>
      <c r="C87" s="199"/>
      <c r="D87" s="199"/>
      <c r="E87" s="200"/>
      <c r="F87" s="67"/>
      <c r="G87" s="262" t="s">
        <v>129</v>
      </c>
      <c r="H87" s="69" t="n">
        <f aca="false">IF(H110="YES",((H85+H86)-A151-K114),((H85+H86)-A151))</f>
        <v>12671.8515151271</v>
      </c>
      <c r="I87" s="199"/>
      <c r="J87" s="199"/>
      <c r="K87" s="200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199"/>
      <c r="D88" s="199"/>
      <c r="E88" s="200"/>
      <c r="F88" s="67"/>
      <c r="G88" s="198"/>
      <c r="H88" s="36"/>
      <c r="I88" s="199"/>
      <c r="J88" s="199"/>
      <c r="K88" s="200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9" t="n">
        <f aca="false">IF(B99=Z102,(((H44*B35)+(H44*B35)*(B105/100))/(B58)),(((H44*B35)+(H44*B35)*(B105/100))/(B57+B58)))</f>
        <v>65</v>
      </c>
      <c r="C89" s="199" t="s">
        <v>10</v>
      </c>
      <c r="D89" s="199"/>
      <c r="E89" s="200"/>
      <c r="F89" s="67"/>
      <c r="G89" s="276" t="s">
        <v>130</v>
      </c>
      <c r="H89" s="277" t="n">
        <f aca="false">(A41+(A41*H105))*1.2</f>
        <v>72</v>
      </c>
      <c r="I89" s="199"/>
      <c r="J89" s="199"/>
      <c r="K89" s="200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IF(B99=Z102,(B87-D105)/(B58),B87/(B57+B58))</f>
        <v>715.290324806809</v>
      </c>
      <c r="C90" s="199"/>
      <c r="D90" s="199"/>
      <c r="E90" s="200"/>
      <c r="F90" s="67"/>
      <c r="G90" s="280" t="s">
        <v>131</v>
      </c>
      <c r="H90" s="281" t="n">
        <f aca="false">IF(H99=AE98,(H87-J105)/(H58),H87/(H57+H58))</f>
        <v>1055.98762626059</v>
      </c>
      <c r="I90" s="199"/>
      <c r="K90" s="200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780.290324806809</v>
      </c>
      <c r="C91" s="199"/>
      <c r="D91" s="199"/>
      <c r="E91" s="200"/>
      <c r="F91" s="67"/>
      <c r="G91" s="282" t="s">
        <v>132</v>
      </c>
      <c r="H91" s="283" t="n">
        <f aca="false">IF(G105="YES",H90+H89,H90)</f>
        <v>1127.98762626059</v>
      </c>
      <c r="I91" s="199"/>
      <c r="J91" s="199"/>
      <c r="K91" s="200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263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46.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/>
      <c r="F95" s="67"/>
      <c r="G95" s="198"/>
      <c r="H95" s="199"/>
      <c r="I95" s="199"/>
      <c r="J95" s="199"/>
      <c r="K95" s="200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199"/>
      <c r="C97" s="199"/>
      <c r="D97" s="199"/>
      <c r="E97" s="200"/>
      <c r="F97" s="67"/>
      <c r="G97" s="198"/>
      <c r="H97" s="199"/>
      <c r="I97" s="199"/>
      <c r="J97" s="199"/>
      <c r="K97" s="200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1000</v>
      </c>
      <c r="E99" s="109"/>
      <c r="F99" s="67"/>
      <c r="G99" s="204" t="s">
        <v>296</v>
      </c>
      <c r="H99" s="284" t="s">
        <v>141</v>
      </c>
      <c r="I99" s="284"/>
      <c r="J99" s="109" t="n">
        <v>0</v>
      </c>
      <c r="K99" s="109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299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 t="s">
        <v>141</v>
      </c>
      <c r="AA101" s="67"/>
    </row>
    <row r="102" customFormat="false" ht="18.75" hidden="false" customHeight="true" outlineLevel="0" collapsed="false">
      <c r="A102" s="285" t="n">
        <v>199.991666666667</v>
      </c>
      <c r="B102" s="109" t="n">
        <v>400</v>
      </c>
      <c r="C102" s="109"/>
      <c r="D102" s="109" t="n">
        <v>200</v>
      </c>
      <c r="E102" s="109"/>
      <c r="F102" s="67"/>
      <c r="G102" s="285" t="n">
        <f aca="false">199.99*1.2</f>
        <v>239.988</v>
      </c>
      <c r="H102" s="109" t="n">
        <v>1200</v>
      </c>
      <c r="I102" s="109"/>
      <c r="J102" s="109" t="n">
        <v>0</v>
      </c>
      <c r="K102" s="109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 t="s">
        <v>273</v>
      </c>
      <c r="AA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Z103" s="67" t="s">
        <v>274</v>
      </c>
      <c r="AA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Z104" s="67" t="s">
        <v>275</v>
      </c>
      <c r="AA104" s="67"/>
    </row>
    <row r="105" customFormat="false" ht="18.75" hidden="false" customHeight="true" outlineLevel="0" collapsed="false">
      <c r="A105" s="206" t="s">
        <v>31</v>
      </c>
      <c r="B105" s="284" t="n">
        <v>20</v>
      </c>
      <c r="C105" s="284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 t="n">
        <v>0</v>
      </c>
      <c r="K105" s="109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Z105" s="67" t="s">
        <v>276</v>
      </c>
      <c r="AA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Z106" s="67" t="s">
        <v>277</v>
      </c>
      <c r="AA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Z107" s="67" t="s">
        <v>278</v>
      </c>
      <c r="AA107" s="67"/>
    </row>
    <row r="108" customFormat="false" ht="18.75" hidden="false" customHeight="true" outlineLevel="0" collapsed="false">
      <c r="A108" s="201" t="s">
        <v>300</v>
      </c>
      <c r="B108" s="201" t="n">
        <v>0</v>
      </c>
      <c r="C108" s="201"/>
      <c r="D108" s="201" t="n">
        <v>0</v>
      </c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Z108" s="67" t="s">
        <v>279</v>
      </c>
      <c r="AA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Z109" s="67" t="s">
        <v>280</v>
      </c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Z110" s="67"/>
    </row>
    <row r="111" customFormat="false" ht="18.75" hidden="false" customHeight="true" outlineLevel="0" collapsed="false">
      <c r="A111" s="198"/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10000</v>
      </c>
      <c r="K112" s="109" t="n">
        <v>5000</v>
      </c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7000</v>
      </c>
      <c r="K113" s="109" t="n">
        <v>7000</v>
      </c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3000</v>
      </c>
      <c r="K114" s="157" t="n">
        <f aca="false">K112-K113</f>
        <v>-2000</v>
      </c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5000</v>
      </c>
      <c r="K115" s="200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0</v>
      </c>
      <c r="F118" s="67"/>
      <c r="G118" s="198" t="s">
        <v>66</v>
      </c>
      <c r="H118" s="199"/>
      <c r="I118" s="199"/>
      <c r="J118" s="199"/>
      <c r="K118" s="37" t="n">
        <f aca="false">G102</f>
        <v>239.988</v>
      </c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((E118*1.2)+E117)-D115</f>
        <v>1000</v>
      </c>
      <c r="F119" s="67"/>
      <c r="G119" s="287" t="s">
        <v>302</v>
      </c>
      <c r="H119" s="263"/>
      <c r="I119" s="263"/>
      <c r="J119" s="263"/>
      <c r="K119" s="69" t="n">
        <f aca="false">(K118+K117)-J115</f>
        <v>-4760.012</v>
      </c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12</v>
      </c>
      <c r="C125" s="294"/>
      <c r="D125" s="293" t="n">
        <f aca="false">B160</f>
        <v>5000</v>
      </c>
      <c r="E125" s="291"/>
      <c r="F125" s="67"/>
      <c r="G125" s="198"/>
      <c r="H125" s="199"/>
      <c r="I125" s="199"/>
      <c r="J125" s="199"/>
      <c r="K125" s="200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198" t="s">
        <v>95</v>
      </c>
      <c r="H126" s="199" t="s">
        <v>96</v>
      </c>
      <c r="I126" s="199"/>
      <c r="J126" s="199" t="s">
        <v>98</v>
      </c>
      <c r="K126" s="200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213" t="n">
        <f aca="false">G152</f>
        <v>12</v>
      </c>
      <c r="H127" s="214" t="n">
        <f aca="false">A152</f>
        <v>0</v>
      </c>
      <c r="I127" s="215"/>
      <c r="J127" s="168" t="n">
        <f aca="false">B151</f>
        <v>0</v>
      </c>
      <c r="K127" s="200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715.290324806809</v>
      </c>
      <c r="B128" s="290" t="n">
        <f aca="false">IF(A105="YES",B89,0)</f>
        <v>65</v>
      </c>
      <c r="C128" s="295"/>
      <c r="D128" s="290" t="n">
        <f aca="false">B91</f>
        <v>780.290324806809</v>
      </c>
      <c r="E128" s="291"/>
      <c r="F128" s="67"/>
      <c r="G128" s="198"/>
      <c r="H128" s="199"/>
      <c r="I128" s="199"/>
      <c r="J128" s="199"/>
      <c r="K128" s="200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296" t="s">
        <v>306</v>
      </c>
      <c r="H129" s="297" t="s">
        <v>307</v>
      </c>
      <c r="I129" s="297"/>
      <c r="J129" s="297" t="s">
        <v>308</v>
      </c>
      <c r="K129" s="200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300" t="n">
        <f aca="false">H90</f>
        <v>1055.98762626059</v>
      </c>
      <c r="H130" s="166" t="n">
        <f aca="false">IF(G105="YES",H89*H57,0)</f>
        <v>72</v>
      </c>
      <c r="I130" s="166"/>
      <c r="J130" s="301" t="n">
        <f aca="false">H91</f>
        <v>1127.98762626059</v>
      </c>
      <c r="K130" s="10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715.290324806809</v>
      </c>
      <c r="C131" s="199"/>
      <c r="D131" s="42" t="n">
        <f aca="false">IF(A105="YES",B89*B57,0)</f>
        <v>65</v>
      </c>
      <c r="E131" s="200"/>
      <c r="F131" s="67"/>
      <c r="G131" s="198"/>
      <c r="H131" s="199"/>
      <c r="I131" s="199"/>
      <c r="J131" s="199"/>
      <c r="K131" s="200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1055.98762626059</v>
      </c>
      <c r="H133" s="42" t="n">
        <f aca="false">IF(G105="YES",H89*H57,0)</f>
        <v>72</v>
      </c>
      <c r="I133" s="205"/>
      <c r="J133" s="170" t="n">
        <f aca="false">H91*H57</f>
        <v>1127.98762626059</v>
      </c>
      <c r="K133" s="200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780.290324806809</v>
      </c>
      <c r="B134" s="42" t="n">
        <f aca="false">E114</f>
        <v>0</v>
      </c>
      <c r="C134" s="199"/>
      <c r="D134" s="303" t="n">
        <f aca="false">B58</f>
        <v>11</v>
      </c>
      <c r="E134" s="200"/>
      <c r="F134" s="67"/>
      <c r="G134" s="198"/>
      <c r="H134" s="199"/>
      <c r="I134" s="199"/>
      <c r="J134" s="199"/>
      <c r="K134" s="200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715.290324806809</v>
      </c>
      <c r="B137" s="42" t="n">
        <f aca="false">IF(A105="YES",B89,0)</f>
        <v>65</v>
      </c>
      <c r="C137" s="199"/>
      <c r="D137" s="42" t="n">
        <f aca="false">B91</f>
        <v>780.290324806809</v>
      </c>
      <c r="E137" s="200"/>
      <c r="F137" s="67"/>
      <c r="G137" s="198"/>
      <c r="H137" s="199"/>
      <c r="I137" s="199"/>
      <c r="J137" s="199"/>
      <c r="K137" s="200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239.988</v>
      </c>
      <c r="H139" s="42" t="n">
        <f aca="false">H67</f>
        <v>202.63</v>
      </c>
      <c r="I139" s="42"/>
      <c r="J139" s="42" t="n">
        <f aca="false">H102*0.9</f>
        <v>1080</v>
      </c>
      <c r="K139" s="10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(G18*0.000006)*100</f>
        <v>24.3156</v>
      </c>
      <c r="B140" s="309" t="n">
        <f aca="false">G18*0.000002*100</f>
        <v>8.1052</v>
      </c>
      <c r="C140" s="310"/>
      <c r="D140" s="309" t="n">
        <f aca="false">A140+B140</f>
        <v>32.4208</v>
      </c>
      <c r="E140" s="333"/>
      <c r="F140" s="67"/>
      <c r="G140" s="198"/>
      <c r="H140" s="199"/>
      <c r="I140" s="199"/>
      <c r="J140" s="199"/>
      <c r="K140" s="200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IF(G105="YES",H89*0.1,0)</f>
        <v>7.2</v>
      </c>
      <c r="H142" s="42" t="n">
        <f aca="false">G102-100</f>
        <v>139.988</v>
      </c>
      <c r="I142" s="42"/>
      <c r="J142" s="42" t="n">
        <f aca="false">(H139+J139+G142+H142)-H145</f>
        <v>1429.818</v>
      </c>
      <c r="K142" s="10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0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f aca="false">IF((1200-H102)&lt;=0,0,(1200-H102))</f>
        <v>0</v>
      </c>
      <c r="H145" s="42" t="n">
        <f aca="false">(H139+J139+G142+H142)*(G145/H64)</f>
        <v>0</v>
      </c>
      <c r="I145" s="199"/>
      <c r="J145" s="199"/>
      <c r="K145" s="200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IF(A105="YES",(A41*B105)*B125,0)*0.001</f>
        <v>18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488</v>
      </c>
      <c r="E151" s="107"/>
      <c r="F151" s="67"/>
      <c r="G151" s="233"/>
      <c r="H151" s="235" t="n">
        <f aca="false">B51</f>
        <v>5000</v>
      </c>
      <c r="I151" s="235"/>
      <c r="J151" s="199"/>
      <c r="K151" s="200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12</v>
      </c>
      <c r="H152" s="78" t="n">
        <f aca="false">H91</f>
        <v>1127.98762626059</v>
      </c>
      <c r="I152" s="78"/>
      <c r="J152" s="199"/>
      <c r="K152" s="200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9.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12</v>
      </c>
      <c r="B161" s="78" t="n">
        <f aca="false">B91</f>
        <v>780.290324806809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317" t="s">
        <v>303</v>
      </c>
      <c r="B165" s="317"/>
      <c r="C165" s="317"/>
      <c r="D165" s="317"/>
      <c r="E165" s="31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198"/>
      <c r="B166" s="199"/>
      <c r="C166" s="199"/>
      <c r="D166" s="199"/>
      <c r="E166" s="200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88" t="s">
        <v>138</v>
      </c>
      <c r="B167" s="289" t="s">
        <v>52</v>
      </c>
      <c r="C167" s="290"/>
      <c r="D167" s="289" t="s">
        <v>96</v>
      </c>
      <c r="E167" s="291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292" t="s">
        <v>296</v>
      </c>
      <c r="B168" s="318" t="n">
        <f aca="false">A161</f>
        <v>12</v>
      </c>
      <c r="C168" s="294"/>
      <c r="D168" s="290" t="n">
        <f aca="false">B160</f>
        <v>5000</v>
      </c>
      <c r="E168" s="291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288"/>
      <c r="B169" s="289"/>
      <c r="C169" s="289"/>
      <c r="D169" s="289"/>
      <c r="E169" s="291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288" t="s">
        <v>131</v>
      </c>
      <c r="B170" s="289" t="s">
        <v>304</v>
      </c>
      <c r="C170" s="290"/>
      <c r="D170" s="289" t="s">
        <v>305</v>
      </c>
      <c r="E170" s="291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292" t="n">
        <f aca="false">B90</f>
        <v>715.290324806809</v>
      </c>
      <c r="B171" s="290" t="n">
        <f aca="false">IF(A105="YES",B89,0)</f>
        <v>65</v>
      </c>
      <c r="C171" s="295"/>
      <c r="D171" s="290" t="n">
        <f aca="false">B91</f>
        <v>780.290324806809</v>
      </c>
      <c r="E171" s="291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98" t="s">
        <v>36</v>
      </c>
      <c r="B173" s="299" t="s">
        <v>309</v>
      </c>
      <c r="C173" s="215"/>
      <c r="D173" s="299" t="s">
        <v>310</v>
      </c>
      <c r="E173" s="200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302" t="str">
        <f aca="false">B99</f>
        <v> Monthly in advance </v>
      </c>
      <c r="B174" s="42" t="n">
        <f aca="false">B90*B57</f>
        <v>715.290324806809</v>
      </c>
      <c r="C174" s="199"/>
      <c r="D174" s="42" t="n">
        <f aca="false">IF(A105="YES",B89*B57,0)</f>
        <v>65</v>
      </c>
      <c r="E174" s="200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198"/>
      <c r="B175" s="199"/>
      <c r="C175" s="199"/>
      <c r="D175" s="199"/>
      <c r="E175" s="200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112" t="s">
        <v>314</v>
      </c>
      <c r="B176" s="43" t="s">
        <v>315</v>
      </c>
      <c r="C176" s="205"/>
      <c r="D176" s="230" t="s">
        <v>219</v>
      </c>
      <c r="E176" s="200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113" t="n">
        <f aca="false">B91*B57</f>
        <v>780.290324806809</v>
      </c>
      <c r="B177" s="42" t="n">
        <f aca="false">E114</f>
        <v>0</v>
      </c>
      <c r="C177" s="199"/>
      <c r="D177" s="303" t="n">
        <f aca="false">B58</f>
        <v>11</v>
      </c>
      <c r="E177" s="200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13"/>
      <c r="B178" s="304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64" t="s">
        <v>131</v>
      </c>
      <c r="B179" s="305" t="s">
        <v>304</v>
      </c>
      <c r="C179" s="199"/>
      <c r="D179" s="199" t="s">
        <v>305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113" t="n">
        <f aca="false">B90</f>
        <v>715.290324806809</v>
      </c>
      <c r="B180" s="42" t="n">
        <f aca="false">IF(A105="YES",B89,0)</f>
        <v>65</v>
      </c>
      <c r="C180" s="199"/>
      <c r="D180" s="42" t="n">
        <f aca="false">B91</f>
        <v>780.290324806809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306" t="s">
        <v>80</v>
      </c>
      <c r="B182" s="307" t="s">
        <v>322</v>
      </c>
      <c r="C182" s="42"/>
      <c r="D182" s="307" t="s">
        <v>85</v>
      </c>
      <c r="E182" s="10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308" t="n">
        <f aca="false">(G18*0.000006)*100</f>
        <v>24.3156</v>
      </c>
      <c r="B183" s="309" t="n">
        <f aca="false">G18*0.000002*100</f>
        <v>8.1052</v>
      </c>
      <c r="C183" s="310"/>
      <c r="D183" s="309" t="n">
        <f aca="false">A183+B183</f>
        <v>32.4208</v>
      </c>
      <c r="E183" s="333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311"/>
      <c r="B184" s="312"/>
      <c r="C184" s="199"/>
      <c r="D184" s="312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306" t="s">
        <v>326</v>
      </c>
      <c r="B185" s="307" t="s">
        <v>66</v>
      </c>
      <c r="C185" s="42"/>
      <c r="D185" s="307" t="s">
        <v>292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v>0</v>
      </c>
      <c r="B186" s="42" t="n">
        <f aca="false">E118</f>
        <v>0</v>
      </c>
      <c r="C186" s="199"/>
      <c r="D186" s="142" t="n">
        <f aca="false">B102</f>
        <v>400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13"/>
      <c r="B187" s="42"/>
      <c r="C187" s="199"/>
      <c r="D187" s="42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13" t="s">
        <v>329</v>
      </c>
      <c r="B188" s="314"/>
      <c r="C188" s="315"/>
      <c r="D188" s="314"/>
      <c r="E188" s="316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11"/>
      <c r="B189" s="312"/>
      <c r="C189" s="199"/>
      <c r="D189" s="312"/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198" t="s">
        <v>330</v>
      </c>
      <c r="B190" s="199" t="s">
        <v>331</v>
      </c>
      <c r="C190" s="199"/>
      <c r="D190" s="199" t="s">
        <v>332</v>
      </c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113" t="n">
        <f aca="false">B67</f>
        <v>250</v>
      </c>
      <c r="B191" s="42" t="n">
        <f aca="false">B102</f>
        <v>400</v>
      </c>
      <c r="C191" s="42"/>
      <c r="D191" s="42" t="n">
        <f aca="false">IF(A105="YES",(A38/100*B105)*B125,0)*0.001</f>
        <v>18</v>
      </c>
      <c r="E191" s="10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98"/>
      <c r="B192" s="199"/>
      <c r="C192" s="199"/>
      <c r="D192" s="199"/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98" t="s">
        <v>334</v>
      </c>
      <c r="B193" s="199" t="s">
        <v>328</v>
      </c>
      <c r="C193" s="199"/>
      <c r="D193" s="199" t="s">
        <v>325</v>
      </c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113" t="n">
        <f aca="false">A151</f>
        <v>20</v>
      </c>
      <c r="B194" s="42" t="n">
        <f aca="false">(A148+B148+D148+A151)*(A143/B64)</f>
        <v>0</v>
      </c>
      <c r="C194" s="42"/>
      <c r="D194" s="42" t="n">
        <f aca="false">D151</f>
        <v>488</v>
      </c>
      <c r="E194" s="10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198"/>
      <c r="B195" s="199"/>
      <c r="C195" s="199"/>
      <c r="D195" s="199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335</v>
      </c>
      <c r="B196" s="199"/>
      <c r="C196" s="199"/>
      <c r="D196" s="199"/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D102</f>
        <v>200</v>
      </c>
      <c r="B197" s="42"/>
      <c r="C197" s="199"/>
      <c r="D197" s="199"/>
      <c r="E197" s="200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262"/>
      <c r="B198" s="263"/>
      <c r="C198" s="263"/>
      <c r="D198" s="263"/>
      <c r="E198" s="264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317" t="s">
        <v>225</v>
      </c>
      <c r="B201" s="317"/>
      <c r="C201" s="317"/>
      <c r="D201" s="317"/>
      <c r="E201" s="31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/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288" t="s">
        <v>226</v>
      </c>
      <c r="B203" s="319" t="n">
        <f aca="false">H29</f>
        <v>12</v>
      </c>
      <c r="C203" s="290" t="s">
        <v>228</v>
      </c>
      <c r="D203" s="320" t="n">
        <f aca="false">D64</f>
        <v>1179.50028</v>
      </c>
      <c r="E203" s="291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92"/>
      <c r="B204" s="293"/>
      <c r="C204" s="294"/>
      <c r="D204" s="293"/>
      <c r="E204" s="291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288" t="s">
        <v>229</v>
      </c>
      <c r="B205" s="290" t="n">
        <f aca="false">B213</f>
        <v>250</v>
      </c>
      <c r="C205" s="289" t="s">
        <v>230</v>
      </c>
      <c r="D205" s="320" t="n">
        <f aca="false">B219+E215+B215+B217</f>
        <v>460</v>
      </c>
      <c r="E205" s="291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288"/>
      <c r="B206" s="321"/>
      <c r="C206" s="290"/>
      <c r="D206" s="289"/>
      <c r="E206" s="291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292" t="s">
        <v>231</v>
      </c>
      <c r="B207" s="290" t="n">
        <f aca="false">E217</f>
        <v>1389.50028</v>
      </c>
      <c r="C207" s="294"/>
      <c r="D207" s="290"/>
      <c r="E207" s="291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305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13" t="s">
        <v>226</v>
      </c>
      <c r="B209" s="322" t="n">
        <v>0.065</v>
      </c>
      <c r="C209" s="215"/>
      <c r="D209" s="299"/>
      <c r="E209" s="200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302"/>
      <c r="B210" s="43"/>
      <c r="C210" s="199"/>
      <c r="D210" s="42"/>
      <c r="E210" s="200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04" t="s">
        <v>228</v>
      </c>
      <c r="B211" s="106" t="n">
        <f aca="false">D64</f>
        <v>1179.50028</v>
      </c>
      <c r="C211" s="223" t="s">
        <v>234</v>
      </c>
      <c r="D211" s="199"/>
      <c r="E211" s="270" t="n">
        <f aca="false">B66</f>
        <v>0</v>
      </c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171"/>
      <c r="B212" s="43"/>
      <c r="C212" s="205"/>
      <c r="D212" s="230"/>
      <c r="E212" s="200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113" t="s">
        <v>234</v>
      </c>
      <c r="B213" s="106" t="n">
        <f aca="false">B67</f>
        <v>250</v>
      </c>
      <c r="C213" s="205" t="s">
        <v>336</v>
      </c>
      <c r="D213" s="303"/>
      <c r="E213" s="88" t="n">
        <f aca="false">J15</f>
        <v>0.15</v>
      </c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13"/>
      <c r="B214" s="305"/>
      <c r="C214" s="205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113" t="s">
        <v>336</v>
      </c>
      <c r="B215" s="230" t="n">
        <f aca="false">B191*E213</f>
        <v>60</v>
      </c>
      <c r="C215" s="205" t="s">
        <v>236</v>
      </c>
      <c r="D215" s="199"/>
      <c r="E215" s="37" t="n">
        <f aca="false">A194</f>
        <v>20</v>
      </c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113"/>
      <c r="B216" s="43"/>
      <c r="C216" s="205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337</v>
      </c>
      <c r="B217" s="230" t="n">
        <f aca="false">B78-(B78*(E213))</f>
        <v>200</v>
      </c>
      <c r="C217" s="205" t="s">
        <v>231</v>
      </c>
      <c r="D217" s="199"/>
      <c r="E217" s="37" t="n">
        <f aca="false">(B211-B205+D205)</f>
        <v>1389.50028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323"/>
      <c r="B218" s="307"/>
      <c r="C218" s="42"/>
      <c r="D218" s="307"/>
      <c r="E218" s="15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323" t="s">
        <v>338</v>
      </c>
      <c r="B219" s="307" t="n">
        <f aca="false">D191/0.1</f>
        <v>180</v>
      </c>
      <c r="C219" s="42"/>
      <c r="D219" s="307"/>
      <c r="E219" s="15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323"/>
      <c r="B220" s="307"/>
      <c r="C220" s="42"/>
      <c r="D220" s="307"/>
      <c r="E220" s="15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313" t="s">
        <v>339</v>
      </c>
      <c r="B221" s="324"/>
      <c r="C221" s="315"/>
      <c r="D221" s="314"/>
      <c r="E221" s="316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311"/>
      <c r="B222" s="325"/>
      <c r="C222" s="199"/>
      <c r="D222" s="31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311" t="s">
        <v>238</v>
      </c>
      <c r="B223" s="106" t="n">
        <f aca="false">B71</f>
        <v>160</v>
      </c>
      <c r="C223" s="205" t="s">
        <v>239</v>
      </c>
      <c r="D223" s="312"/>
      <c r="E223" s="140" t="n">
        <f aca="false">B72</f>
        <v>4.5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11"/>
      <c r="B224" s="325"/>
      <c r="C224" s="205" t="s">
        <v>240</v>
      </c>
      <c r="D224" s="312"/>
      <c r="E224" s="37" t="n">
        <f aca="false">D73</f>
        <v>214</v>
      </c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11" t="s">
        <v>241</v>
      </c>
      <c r="B225" s="326" t="n">
        <f aca="false">B68</f>
        <v>0.0075</v>
      </c>
      <c r="C225" s="205" t="s">
        <v>242</v>
      </c>
      <c r="D225" s="312"/>
      <c r="E225" s="270" t="n">
        <f aca="false">B69</f>
        <v>0.12</v>
      </c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11"/>
      <c r="B226" s="325"/>
      <c r="C226" s="205" t="s">
        <v>243</v>
      </c>
      <c r="D226" s="312"/>
      <c r="E226" s="37" t="n">
        <f aca="false">B86</f>
        <v>72.1012647405263</v>
      </c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1" t="s">
        <v>244</v>
      </c>
      <c r="B227" s="106" t="n">
        <f aca="false">B79</f>
        <v>300</v>
      </c>
      <c r="C227" s="327" t="s">
        <v>340</v>
      </c>
      <c r="D227" s="328"/>
      <c r="E227" s="140" t="n">
        <f aca="false">B74</f>
        <v>0</v>
      </c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204"/>
      <c r="B228" s="305"/>
      <c r="C228" s="327"/>
      <c r="D228" s="329"/>
      <c r="E228" s="33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113" t="s">
        <v>245</v>
      </c>
      <c r="B229" s="106" t="n">
        <f aca="false">B80</f>
        <v>100</v>
      </c>
      <c r="C229" s="331" t="s">
        <v>341</v>
      </c>
      <c r="D229" s="331"/>
      <c r="E229" s="140" t="n">
        <f aca="false">B75</f>
        <v>0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198"/>
      <c r="B230" s="199"/>
      <c r="C230" s="199"/>
      <c r="D230" s="199"/>
      <c r="E230" s="200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198"/>
      <c r="B231" s="199"/>
      <c r="C231" s="199"/>
      <c r="D231" s="199"/>
      <c r="E231" s="200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113"/>
      <c r="B232" s="42"/>
      <c r="C232" s="42"/>
      <c r="D232" s="42"/>
      <c r="E232" s="10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198"/>
      <c r="B233" s="199"/>
      <c r="C233" s="199"/>
      <c r="D233" s="199"/>
      <c r="E233" s="200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198"/>
      <c r="B234" s="199"/>
      <c r="C234" s="199"/>
      <c r="D234" s="199"/>
      <c r="E234" s="20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/>
      <c r="B235" s="42"/>
      <c r="C235" s="199"/>
      <c r="D235" s="199"/>
      <c r="E235" s="200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262"/>
      <c r="B236" s="263"/>
      <c r="C236" s="263"/>
      <c r="D236" s="263"/>
      <c r="E236" s="264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6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A50:A51"/>
    <mergeCell ref="B50:C50"/>
    <mergeCell ref="B51:C51"/>
    <mergeCell ref="B52:C52"/>
    <mergeCell ref="A94:E94"/>
    <mergeCell ref="G94:K94"/>
    <mergeCell ref="A96:E96"/>
    <mergeCell ref="G96:K96"/>
    <mergeCell ref="B99:C99"/>
    <mergeCell ref="D99:E99"/>
    <mergeCell ref="H99:I99"/>
    <mergeCell ref="J99:K99"/>
    <mergeCell ref="B102:C102"/>
    <mergeCell ref="D102:E102"/>
    <mergeCell ref="H102:I102"/>
    <mergeCell ref="J102:K102"/>
    <mergeCell ref="B105:C105"/>
    <mergeCell ref="D105:E105"/>
    <mergeCell ref="H105:I105"/>
    <mergeCell ref="J105:K105"/>
    <mergeCell ref="A108:E108"/>
    <mergeCell ref="G108:K108"/>
    <mergeCell ref="A122:E122"/>
    <mergeCell ref="G122:K122"/>
    <mergeCell ref="H124:I124"/>
    <mergeCell ref="G150:G151"/>
    <mergeCell ref="H150:I150"/>
    <mergeCell ref="H151:I151"/>
    <mergeCell ref="H152:I152"/>
    <mergeCell ref="A159:A160"/>
    <mergeCell ref="B159:C159"/>
    <mergeCell ref="B160:C160"/>
    <mergeCell ref="B161:C161"/>
    <mergeCell ref="A165:E165"/>
    <mergeCell ref="A201:E201"/>
  </mergeCells>
  <dataValidations count="3">
    <dataValidation allowBlank="true" errorStyle="stop" operator="between" showDropDown="false" showErrorMessage="true" showInputMessage="false" sqref="B38 A105 B110" type="list">
      <formula1>"NO,YES"</formula1>
      <formula2>0</formula2>
    </dataValidation>
    <dataValidation allowBlank="true" errorStyle="stop" operator="between" showDropDown="false" showErrorMessage="true" showInputMessage="false" sqref="H99 N99:O99 G105 M105 O107 H110 N110" type="list">
      <formula1>#ref!</formula1>
      <formula2>0</formula2>
    </dataValidation>
    <dataValidation allowBlank="true" errorStyle="stop" operator="between" showDropDown="false" showErrorMessage="true" showInputMessage="false" sqref="A32 B99" type="list">
      <formula1>'BCH (Formula 3) - BCH'!$Z$101:$Z$109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33" t="s">
        <v>36</v>
      </c>
      <c r="H26" s="34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38" t="s">
        <v>38</v>
      </c>
      <c r="H27" s="39" t="n"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38" t="s">
        <v>40</v>
      </c>
      <c r="H28" s="39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334" t="n">
        <f aca="true">TODAY()+1</f>
        <v>45916</v>
      </c>
      <c r="E29" s="334"/>
      <c r="F29" s="67"/>
      <c r="G29" s="33" t="s">
        <v>41</v>
      </c>
      <c r="H29" s="41" t="n">
        <f aca="false">A32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33" t="s">
        <v>45</v>
      </c>
      <c r="H30" s="41" t="n">
        <f aca="false">B32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52</v>
      </c>
      <c r="B31" s="205" t="s">
        <v>53</v>
      </c>
      <c r="C31" s="199"/>
      <c r="D31" s="205" t="s">
        <v>54</v>
      </c>
      <c r="E31" s="200"/>
      <c r="F31" s="67"/>
      <c r="G31" s="33" t="s">
        <v>48</v>
      </c>
      <c r="H31" s="46" t="str">
        <f aca="false">A41</f>
        <v>6000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06" t="n">
        <v>12</v>
      </c>
      <c r="B32" s="207" t="n">
        <v>5000</v>
      </c>
      <c r="C32" s="207"/>
      <c r="D32" s="106" t="n">
        <f aca="false">(A32/12)*B32</f>
        <v>5000</v>
      </c>
      <c r="E32" s="106"/>
      <c r="F32" s="67"/>
      <c r="G32" s="33" t="s">
        <v>49</v>
      </c>
      <c r="H32" s="46" t="n">
        <f aca="false">A44*A32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38"/>
      <c r="H33" s="5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343</v>
      </c>
      <c r="B34" s="216" t="s">
        <v>61</v>
      </c>
      <c r="C34" s="215" t="s">
        <v>10</v>
      </c>
      <c r="D34" s="217" t="s">
        <v>62</v>
      </c>
      <c r="E34" s="200"/>
      <c r="F34" s="67"/>
      <c r="G34" s="7"/>
      <c r="H34" s="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12" t="n">
        <f aca="false">E19</f>
        <v>16850.004</v>
      </c>
      <c r="B35" s="207" t="s">
        <v>58</v>
      </c>
      <c r="C35" s="207"/>
      <c r="D35" s="256" t="n">
        <f aca="false">A35-B35</f>
        <v>15850.004</v>
      </c>
      <c r="E35" s="256"/>
      <c r="F35" s="67"/>
      <c r="G35" s="54" t="s">
        <v>59</v>
      </c>
      <c r="H35" s="335" t="n">
        <v>0.065</v>
      </c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7" t="s">
        <v>63</v>
      </c>
      <c r="H36" s="7" t="n">
        <f aca="false">B38</f>
        <v>11</v>
      </c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66</v>
      </c>
      <c r="B37" s="205" t="s">
        <v>67</v>
      </c>
      <c r="C37" s="199" t="s">
        <v>58</v>
      </c>
      <c r="D37" s="205" t="s">
        <v>68</v>
      </c>
      <c r="E37" s="200"/>
      <c r="F37" s="67"/>
      <c r="G37" s="7"/>
      <c r="H37" s="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07" t="s">
        <v>55</v>
      </c>
      <c r="B38" s="224" t="n">
        <f aca="false">A32-1</f>
        <v>11</v>
      </c>
      <c r="C38" s="224"/>
      <c r="D38" s="106" t="s">
        <v>70</v>
      </c>
      <c r="E38" s="106"/>
      <c r="F38" s="67"/>
      <c r="G38" s="57" t="s">
        <v>65</v>
      </c>
      <c r="H38" s="5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7" t="s">
        <v>69</v>
      </c>
      <c r="H39" s="7" t="str">
        <f aca="false">D38</f>
        <v>500</v>
      </c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76</v>
      </c>
      <c r="B40" s="223" t="s">
        <v>74</v>
      </c>
      <c r="C40" s="215"/>
      <c r="D40" s="170" t="s">
        <v>75</v>
      </c>
      <c r="E40" s="200"/>
      <c r="F40" s="67" t="s">
        <v>70</v>
      </c>
      <c r="G40" s="7" t="s">
        <v>71</v>
      </c>
      <c r="H40" s="7" t="n">
        <f aca="false">C15</f>
        <v>2808.334</v>
      </c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344</v>
      </c>
      <c r="B41" s="106" t="s">
        <v>345</v>
      </c>
      <c r="C41" s="106"/>
      <c r="D41" s="207" t="s">
        <v>31</v>
      </c>
      <c r="E41" s="207"/>
      <c r="F41" s="67"/>
      <c r="G41" s="7" t="s">
        <v>72</v>
      </c>
      <c r="H41" s="7" t="n">
        <f aca="false">IF(D41="Yes",A44,0)</f>
        <v>0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7" t="s">
        <v>76</v>
      </c>
      <c r="H42" s="7" t="str">
        <f aca="false">A41</f>
        <v>6000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05" t="s">
        <v>130</v>
      </c>
      <c r="B43" s="223" t="s">
        <v>80</v>
      </c>
      <c r="C43" s="215" t="s">
        <v>345</v>
      </c>
      <c r="D43" s="223" t="s">
        <v>222</v>
      </c>
      <c r="E43" s="226"/>
      <c r="F43" s="67"/>
      <c r="G43" s="7" t="s">
        <v>77</v>
      </c>
      <c r="H43" s="7" t="n">
        <f aca="false">A32</f>
        <v>12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346</v>
      </c>
      <c r="B44" s="106" t="s">
        <v>347</v>
      </c>
      <c r="C44" s="106"/>
      <c r="D44" s="106" t="s">
        <v>347</v>
      </c>
      <c r="E44" s="106"/>
      <c r="F44" s="67"/>
      <c r="G44" s="7" t="s">
        <v>78</v>
      </c>
      <c r="H44" s="7" t="n">
        <f aca="false">((H40-(((H42/(1.2))*0.2)))/(H43))</f>
        <v>150.6945</v>
      </c>
      <c r="I44" s="336" t="n">
        <f aca="false">((A41*(B35-1))+D32)/B35</f>
        <v>5999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7" t="s">
        <v>82</v>
      </c>
      <c r="H45" s="7" t="n">
        <f aca="false">(H39-H44)+H41</f>
        <v>349.3055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348</v>
      </c>
      <c r="B46" s="215" t="s">
        <v>349</v>
      </c>
      <c r="C46" s="215" t="s">
        <v>10</v>
      </c>
      <c r="D46" s="215"/>
      <c r="E46" s="226"/>
      <c r="F46" s="67" t="n">
        <v>0</v>
      </c>
      <c r="G46" s="7" t="s">
        <v>83</v>
      </c>
      <c r="H46" s="7" t="n">
        <v>0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12" t="s">
        <v>348</v>
      </c>
      <c r="B47" s="215"/>
      <c r="C47" s="215"/>
      <c r="D47" s="215"/>
      <c r="E47" s="226"/>
      <c r="F47" s="67"/>
      <c r="G47" s="7" t="s">
        <v>84</v>
      </c>
      <c r="H47" s="7" t="n">
        <f aca="false">A38/H29</f>
        <v>1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59" t="s">
        <v>86</v>
      </c>
      <c r="H48" s="7" t="n">
        <f aca="false">B41/H29</f>
        <v>1.66666666666667</v>
      </c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59" t="s">
        <v>87</v>
      </c>
      <c r="H49" s="7" t="n">
        <f aca="false">H45+H48+H47</f>
        <v>351.972166666667</v>
      </c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215"/>
      <c r="E50" s="226"/>
      <c r="F50" s="67"/>
      <c r="G50" s="7" t="s">
        <v>350</v>
      </c>
      <c r="H50" s="7" t="n">
        <f aca="false">H49-H41</f>
        <v>351.972166666667</v>
      </c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337" t="n">
        <f aca="false">H30</f>
        <v>5000</v>
      </c>
      <c r="C51" s="337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338" t="n">
        <f aca="false">H29</f>
        <v>12</v>
      </c>
      <c r="B52" s="78" t="n">
        <f aca="false">H49</f>
        <v>351.972166666667</v>
      </c>
      <c r="C52" s="78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337" t="n">
        <f aca="false">H30</f>
        <v>5000</v>
      </c>
      <c r="C57" s="337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338" t="n">
        <f aca="false">H29</f>
        <v>12</v>
      </c>
      <c r="B58" s="78" t="n">
        <f aca="false">H49</f>
        <v>351.972166666667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16850.004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40526</v>
      </c>
      <c r="C67" s="199"/>
      <c r="D67" s="199"/>
      <c r="E67" s="200"/>
      <c r="F67" s="67"/>
      <c r="G67" s="198" t="s">
        <v>27</v>
      </c>
      <c r="H67" s="36" t="n">
        <f aca="false">G18</f>
        <v>40526</v>
      </c>
      <c r="I67" s="199"/>
      <c r="J67" s="199"/>
      <c r="K67" s="200"/>
      <c r="L67" s="67"/>
      <c r="M67" s="198" t="s">
        <v>27</v>
      </c>
      <c r="N67" s="36" t="n">
        <f aca="false">G18</f>
        <v>40526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1179.50028</v>
      </c>
      <c r="C70" s="199" t="n">
        <v>10000</v>
      </c>
      <c r="D70" s="36" t="n">
        <f aca="false">B70-A149</f>
        <v>1179.50028</v>
      </c>
      <c r="E70" s="200" t="n">
        <f aca="false">D70/12</f>
        <v>98.29169</v>
      </c>
      <c r="F70" s="67"/>
      <c r="G70" s="262" t="s">
        <v>103</v>
      </c>
      <c r="H70" s="69" t="n">
        <f aca="false">H67*H69</f>
        <v>2836.82</v>
      </c>
      <c r="I70" s="199"/>
      <c r="J70" s="36" t="n">
        <f aca="false">H70-G151</f>
        <v>2836.82</v>
      </c>
      <c r="K70" s="200"/>
      <c r="L70" s="67"/>
      <c r="M70" s="262" t="s">
        <v>103</v>
      </c>
      <c r="N70" s="69" t="n">
        <f aca="false">N67*N69</f>
        <v>2836.82</v>
      </c>
      <c r="O70" s="199"/>
      <c r="P70" s="36" t="n">
        <f aca="false">N70-M151</f>
        <v>2836.82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202.63</v>
      </c>
      <c r="I73" s="199"/>
      <c r="J73" s="36"/>
      <c r="K73" s="200"/>
      <c r="L73" s="67"/>
      <c r="M73" s="262" t="s">
        <v>106</v>
      </c>
      <c r="N73" s="69" t="n">
        <f aca="false">N67*N72</f>
        <v>202.63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0.0084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928.166666666667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77.3472222222222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314.166666666667</v>
      </c>
      <c r="C82" s="199"/>
      <c r="D82" s="36" t="n">
        <f aca="false">IF(A50="YES",0,B82)</f>
        <v>314.166666666667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0</v>
      </c>
      <c r="C83" s="199"/>
      <c r="D83" s="36" t="n">
        <f aca="false">B83</f>
        <v>0</v>
      </c>
      <c r="E83" s="200" t="n">
        <f aca="false">D83/12</f>
        <v>0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0</v>
      </c>
      <c r="C84" s="199"/>
      <c r="D84" s="36" t="n">
        <f aca="false">B84</f>
        <v>0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2107.66694666667</v>
      </c>
      <c r="C87" s="199"/>
      <c r="D87" s="199"/>
      <c r="E87" s="200"/>
      <c r="F87" s="67"/>
      <c r="G87" s="276" t="s">
        <v>115</v>
      </c>
      <c r="H87" s="277" t="n">
        <f aca="false">SUM(J70:J86)</f>
        <v>5990.40333333333</v>
      </c>
      <c r="I87" s="199"/>
      <c r="J87" s="199"/>
      <c r="K87" s="200"/>
      <c r="L87" s="67"/>
      <c r="M87" s="276" t="s">
        <v>115</v>
      </c>
      <c r="N87" s="277" t="n">
        <f aca="false">SUM(P70:P86)</f>
        <v>5950.82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175.638912222222</v>
      </c>
      <c r="C88" s="199"/>
      <c r="D88" s="199"/>
      <c r="E88" s="200"/>
      <c r="F88" s="67"/>
      <c r="G88" s="198" t="s">
        <v>116</v>
      </c>
      <c r="H88" s="37" t="n">
        <f aca="false">H87/H29</f>
        <v>499.200277777778</v>
      </c>
      <c r="I88" s="199"/>
      <c r="J88" s="199"/>
      <c r="K88" s="200"/>
      <c r="L88" s="67"/>
      <c r="M88" s="198" t="s">
        <v>116</v>
      </c>
      <c r="N88" s="37" t="n">
        <f aca="false">N87/H29</f>
        <v>495.901666666667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H50</f>
        <v>351.972166666667</v>
      </c>
      <c r="C89" s="199"/>
      <c r="D89" s="199"/>
      <c r="E89" s="200"/>
      <c r="F89" s="67"/>
      <c r="G89" s="278" t="s">
        <v>117</v>
      </c>
      <c r="H89" s="63" t="n">
        <f aca="false">H46</f>
        <v>0</v>
      </c>
      <c r="I89" s="199"/>
      <c r="J89" s="199"/>
      <c r="K89" s="200"/>
      <c r="L89" s="67"/>
      <c r="M89" s="278" t="s">
        <v>117</v>
      </c>
      <c r="N89" s="63" t="n">
        <f aca="false">H46</f>
        <v>0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((B89*H29)+B87)*1.2</f>
        <v>7597.599536</v>
      </c>
      <c r="C91" s="199"/>
      <c r="D91" s="199"/>
      <c r="E91" s="200"/>
      <c r="F91" s="67"/>
      <c r="G91" s="265" t="s">
        <v>127</v>
      </c>
      <c r="H91" s="31" t="n">
        <f aca="false">((H89*H29)+H87)*1.2</f>
        <v>7188.484</v>
      </c>
      <c r="I91" s="199"/>
      <c r="J91" s="199"/>
      <c r="K91" s="200"/>
      <c r="L91" s="67"/>
      <c r="M91" s="265" t="s">
        <v>127</v>
      </c>
      <c r="N91" s="31" t="n">
        <f aca="false">((N89*H29)+N87)</f>
        <v>5950.82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53.63372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50.7456514723679</v>
      </c>
      <c r="I92" s="199"/>
      <c r="J92" s="199"/>
      <c r="K92" s="200"/>
      <c r="L92" s="67"/>
      <c r="M92" s="198" t="s">
        <v>128</v>
      </c>
      <c r="N92" s="37" t="n">
        <f aca="false">(N91/(1-N76))*N76</f>
        <v>50.4103348124244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7651.233256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9239.22965147237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8001.23033481242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IF(B105=Z104,(((H41*A32)+(H41*A32)*(B111/100))/(B64)),(((H41*A32)+(H41*A32)*(B111/100))/(B63+B64)))*1.2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637.602771333333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637.602771333333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239.99</v>
      </c>
      <c r="B108" s="109" t="n">
        <v>0</v>
      </c>
      <c r="C108" s="109"/>
      <c r="D108" s="109" t="n">
        <v>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31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0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1000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167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167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637.602771333333</v>
      </c>
      <c r="B134" s="290" t="n">
        <f aca="false">IF(A111="YES",B95,0)</f>
        <v>0</v>
      </c>
      <c r="C134" s="294"/>
      <c r="D134" s="290" t="n">
        <f aca="false">B97</f>
        <v>637.602771333333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637.602771333333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637.602771333333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637.602771333333</v>
      </c>
      <c r="B143" s="42" t="n">
        <f aca="false">IF(A111="YES",B95,0)</f>
        <v>0</v>
      </c>
      <c r="C143" s="199"/>
      <c r="D143" s="42" t="n">
        <f aca="false">B97</f>
        <v>637.602771333333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168.858333333333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168.858333333333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(G18*0.000006)*1.2*100</f>
        <v>29.17872</v>
      </c>
      <c r="B146" s="309" t="n">
        <f aca="false">G18*0.000002*1.2*100</f>
        <v>9.72624</v>
      </c>
      <c r="C146" s="310"/>
      <c r="D146" s="309" t="n">
        <f aca="false">A146+B146</f>
        <v>38.90496</v>
      </c>
      <c r="E146" s="333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1440</v>
      </c>
      <c r="H148" s="42" t="n">
        <f aca="false">G108-100</f>
        <v>139.988</v>
      </c>
      <c r="I148" s="42"/>
      <c r="J148" s="42" t="n">
        <f aca="false">(H145+J145+G148+H148)-H151</f>
        <v>2828.84633333333</v>
      </c>
      <c r="K148" s="107"/>
      <c r="L148" s="67"/>
      <c r="M148" s="113" t="n">
        <f aca="false">IF(M111="YES",((A41*N111)*0.1)*(M133),0)</f>
        <v>1440</v>
      </c>
      <c r="N148" s="42" t="n">
        <f aca="false">M108-100</f>
        <v>99.99</v>
      </c>
      <c r="O148" s="42"/>
      <c r="P148" s="42" t="n">
        <f aca="false">(N145+P145+M148+N148)-N151</f>
        <v>2788.84833333333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0</v>
      </c>
      <c r="C149" s="199"/>
      <c r="D149" s="142" t="n">
        <f aca="false">B108</f>
        <v>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0</v>
      </c>
      <c r="C154" s="42"/>
      <c r="D154" s="42" t="n">
        <f aca="false">IF(A111="YES",(A44/100*B111)*B131,0)*0.1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2808.334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270</v>
      </c>
      <c r="E157" s="107"/>
      <c r="F157" s="67"/>
      <c r="G157" s="233"/>
      <c r="H157" s="337" t="n">
        <f aca="false">B57</f>
        <v>5000</v>
      </c>
      <c r="I157" s="337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338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337" t="n">
        <f aca="false">B57</f>
        <v>5000</v>
      </c>
      <c r="O160" s="337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338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337" t="n">
        <f aca="false">B57</f>
        <v>5000</v>
      </c>
      <c r="C166" s="337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338" t="n">
        <f aca="false">A58</f>
        <v>12</v>
      </c>
      <c r="B167" s="78" t="n">
        <f aca="false">B97</f>
        <v>637.602771333333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637.602771333333</v>
      </c>
      <c r="B177" s="290" t="n">
        <f aca="false">IF(A111="YES",B95,0)</f>
        <v>0</v>
      </c>
      <c r="C177" s="294"/>
      <c r="D177" s="290" t="n">
        <f aca="false">A177+B177</f>
        <v>637.602771333333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637.602771333333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637.602771333333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637.602771333333</v>
      </c>
      <c r="B186" s="42" t="n">
        <f aca="false">IF(A111="YES",B95,0)</f>
        <v>0</v>
      </c>
      <c r="C186" s="199"/>
      <c r="D186" s="42" t="n">
        <f aca="false">B97</f>
        <v>637.602771333333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29.17872</v>
      </c>
      <c r="B189" s="309" t="n">
        <f aca="false">G18*0.000002*1.2*100</f>
        <v>9.72624</v>
      </c>
      <c r="C189" s="310"/>
      <c r="D189" s="309" t="n">
        <f aca="false">A189+B189</f>
        <v>38.90496</v>
      </c>
      <c r="E189" s="333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0</v>
      </c>
      <c r="C192" s="199"/>
      <c r="D192" s="142" t="n">
        <f aca="false">B108</f>
        <v>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0</v>
      </c>
      <c r="C197" s="42"/>
      <c r="D197" s="42" t="n">
        <f aca="false">IF(A111="YES",(A44/100*B111)*B131,0)*0.1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20</v>
      </c>
      <c r="B200" s="42" t="n">
        <f aca="false">(A154+B154+D154+A157)*(A149/B70)</f>
        <v>0</v>
      </c>
      <c r="C200" s="42"/>
      <c r="D200" s="42" t="n">
        <f aca="false">D157</f>
        <v>270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0.065</v>
      </c>
      <c r="C209" s="290" t="s">
        <v>228</v>
      </c>
      <c r="D209" s="320" t="n">
        <f aca="false">D70</f>
        <v>1179.50028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20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949.50028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1179.50028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0</v>
      </c>
      <c r="C221" s="205" t="s">
        <v>236</v>
      </c>
      <c r="D221" s="199"/>
      <c r="E221" s="37" t="n">
        <f aca="false">A200</f>
        <v>20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0</v>
      </c>
      <c r="C223" s="205" t="s">
        <v>231</v>
      </c>
      <c r="D223" s="199"/>
      <c r="E223" s="37" t="n">
        <f aca="false">(B217-B211+D211)</f>
        <v>949.50028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53.63372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290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6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G38:H38"/>
    <mergeCell ref="B41:C41"/>
    <mergeCell ref="D41:E41"/>
    <mergeCell ref="B44:C44"/>
    <mergeCell ref="D44:E44"/>
    <mergeCell ref="A50:A51"/>
    <mergeCell ref="B50:C50"/>
    <mergeCell ref="B51:C51"/>
    <mergeCell ref="B52:C52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3">
    <dataValidation allowBlank="true" errorStyle="stop" operator="between" showDropDown="false" showErrorMessage="true" showInputMessage="false" sqref="D41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33" t="s">
        <v>36</v>
      </c>
      <c r="H26" s="34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38" t="s">
        <v>38</v>
      </c>
      <c r="H27" s="39" t="n"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38" t="s">
        <v>40</v>
      </c>
      <c r="H28" s="39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334" t="n">
        <f aca="true">TODAY()+1</f>
        <v>45916</v>
      </c>
      <c r="E29" s="334"/>
      <c r="F29" s="67"/>
      <c r="G29" s="33" t="s">
        <v>41</v>
      </c>
      <c r="H29" s="41" t="n">
        <f aca="false">A32</f>
        <v>12</v>
      </c>
      <c r="I29" s="67" t="b">
        <f aca="false">ISNUMBER(I31)</f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33" t="s">
        <v>45</v>
      </c>
      <c r="H30" s="41" t="n">
        <f aca="false">B32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52</v>
      </c>
      <c r="B31" s="205" t="s">
        <v>53</v>
      </c>
      <c r="C31" s="199"/>
      <c r="D31" s="205" t="s">
        <v>54</v>
      </c>
      <c r="E31" s="200"/>
      <c r="F31" s="67"/>
      <c r="G31" s="33" t="s">
        <v>48</v>
      </c>
      <c r="H31" s="46" t="str">
        <f aca="false">A41</f>
        <v>6000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06" t="n">
        <v>12</v>
      </c>
      <c r="B32" s="207" t="n">
        <v>5000</v>
      </c>
      <c r="C32" s="207"/>
      <c r="D32" s="106" t="n">
        <f aca="false">(A32/12)*B32</f>
        <v>5000</v>
      </c>
      <c r="E32" s="106"/>
      <c r="F32" s="67"/>
      <c r="G32" s="33" t="s">
        <v>49</v>
      </c>
      <c r="H32" s="46" t="n">
        <f aca="false">A44*A32</f>
        <v>600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38"/>
      <c r="H33" s="5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358</v>
      </c>
      <c r="B34" s="216" t="s">
        <v>61</v>
      </c>
      <c r="C34" s="215" t="s">
        <v>10</v>
      </c>
      <c r="D34" s="217" t="s">
        <v>62</v>
      </c>
      <c r="E34" s="200"/>
      <c r="F34" s="67"/>
      <c r="G34" s="7"/>
      <c r="H34" s="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12" t="n">
        <f aca="false">E19</f>
        <v>16850.004</v>
      </c>
      <c r="B35" s="207" t="s">
        <v>58</v>
      </c>
      <c r="C35" s="207"/>
      <c r="D35" s="256" t="n">
        <f aca="false">A35-B35</f>
        <v>15850.004</v>
      </c>
      <c r="E35" s="256"/>
      <c r="F35" s="67"/>
      <c r="G35" s="54" t="s">
        <v>59</v>
      </c>
      <c r="H35" s="335" t="n">
        <v>0.065</v>
      </c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7" t="s">
        <v>63</v>
      </c>
      <c r="H36" s="7" t="n">
        <f aca="false">B38</f>
        <v>11</v>
      </c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66</v>
      </c>
      <c r="B37" s="205" t="s">
        <v>67</v>
      </c>
      <c r="C37" s="199" t="s">
        <v>10</v>
      </c>
      <c r="D37" s="205" t="s">
        <v>68</v>
      </c>
      <c r="E37" s="200"/>
      <c r="F37" s="67"/>
      <c r="G37" s="7"/>
      <c r="H37" s="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07" t="s">
        <v>55</v>
      </c>
      <c r="B38" s="224" t="n">
        <f aca="false">A32-1</f>
        <v>11</v>
      </c>
      <c r="C38" s="224"/>
      <c r="D38" s="106" t="s">
        <v>70</v>
      </c>
      <c r="E38" s="106"/>
      <c r="F38" s="67"/>
      <c r="G38" s="57" t="s">
        <v>65</v>
      </c>
      <c r="H38" s="5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7" t="s">
        <v>69</v>
      </c>
      <c r="H39" s="7" t="str">
        <f aca="false">D38</f>
        <v>500</v>
      </c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76</v>
      </c>
      <c r="B40" s="223" t="s">
        <v>74</v>
      </c>
      <c r="C40" s="215"/>
      <c r="D40" s="170" t="s">
        <v>75</v>
      </c>
      <c r="E40" s="200"/>
      <c r="F40" s="67" t="s">
        <v>10</v>
      </c>
      <c r="G40" s="7" t="s">
        <v>71</v>
      </c>
      <c r="H40" s="7" t="n">
        <f aca="false">C15</f>
        <v>2808.334</v>
      </c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344</v>
      </c>
      <c r="B41" s="106" t="s">
        <v>345</v>
      </c>
      <c r="C41" s="106"/>
      <c r="D41" s="207" t="s">
        <v>31</v>
      </c>
      <c r="E41" s="207"/>
      <c r="F41" s="67"/>
      <c r="G41" s="7" t="s">
        <v>72</v>
      </c>
      <c r="H41" s="7" t="str">
        <f aca="false">IF(D41="Yes",A44,0)</f>
        <v>50</v>
      </c>
      <c r="I41" s="7" t="s">
        <v>10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7" t="s">
        <v>76</v>
      </c>
      <c r="H42" s="7" t="str">
        <f aca="false">A41</f>
        <v>6000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05" t="s">
        <v>130</v>
      </c>
      <c r="B43" s="223" t="s">
        <v>80</v>
      </c>
      <c r="C43" s="215" t="s">
        <v>10</v>
      </c>
      <c r="D43" s="223" t="s">
        <v>222</v>
      </c>
      <c r="E43" s="226"/>
      <c r="F43" s="67"/>
      <c r="G43" s="7" t="s">
        <v>77</v>
      </c>
      <c r="H43" s="7" t="n">
        <f aca="false">A32</f>
        <v>12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346</v>
      </c>
      <c r="B44" s="106" t="s">
        <v>347</v>
      </c>
      <c r="C44" s="106"/>
      <c r="D44" s="106" t="s">
        <v>347</v>
      </c>
      <c r="E44" s="106"/>
      <c r="F44" s="67"/>
      <c r="G44" s="7" t="s">
        <v>78</v>
      </c>
      <c r="H44" s="7" t="n">
        <f aca="false">((H40-(((H42/(1.2))*0.2)))/(H43))</f>
        <v>150.6945</v>
      </c>
      <c r="I44" s="336" t="n">
        <f aca="false">((A41*(B35-1))+D32)/B35</f>
        <v>5999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7" t="s">
        <v>82</v>
      </c>
      <c r="H45" s="7" t="n">
        <f aca="false">(H39-H44)+H41</f>
        <v>399.3055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348</v>
      </c>
      <c r="B46" s="215" t="s">
        <v>349</v>
      </c>
      <c r="C46" s="215" t="s">
        <v>10</v>
      </c>
      <c r="D46" s="215"/>
      <c r="E46" s="226"/>
      <c r="F46" s="67" t="n">
        <v>0</v>
      </c>
      <c r="G46" s="7" t="s">
        <v>83</v>
      </c>
      <c r="H46" s="7" t="n">
        <v>0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12" t="s">
        <v>348</v>
      </c>
      <c r="B47" s="215"/>
      <c r="C47" s="215"/>
      <c r="D47" s="215"/>
      <c r="E47" s="226"/>
      <c r="F47" s="67"/>
      <c r="G47" s="7" t="s">
        <v>84</v>
      </c>
      <c r="H47" s="7" t="n">
        <f aca="false">A38/H29</f>
        <v>1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59" t="s">
        <v>86</v>
      </c>
      <c r="H48" s="7" t="n">
        <f aca="false">B41/H29</f>
        <v>1.66666666666667</v>
      </c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59" t="s">
        <v>87</v>
      </c>
      <c r="H49" s="7" t="n">
        <f aca="false">H45+H48+H47</f>
        <v>401.972166666667</v>
      </c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112"/>
      <c r="B50" s="215"/>
      <c r="C50" s="215"/>
      <c r="D50" s="215"/>
      <c r="E50" s="226"/>
      <c r="F50" s="67"/>
      <c r="G50" s="7" t="s">
        <v>350</v>
      </c>
      <c r="H50" s="7" t="n">
        <f aca="false">H49-H41</f>
        <v>351.972166666667</v>
      </c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/>
      <c r="B52" s="78"/>
      <c r="C52" s="78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337" t="n">
        <f aca="false">H30</f>
        <v>5000</v>
      </c>
      <c r="C57" s="337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338" t="n">
        <f aca="false">H29</f>
        <v>12</v>
      </c>
      <c r="B58" s="78" t="n">
        <f aca="false">H49</f>
        <v>401.972166666667</v>
      </c>
      <c r="C58" s="78"/>
      <c r="D58" s="236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 t="s">
        <v>10</v>
      </c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16850.004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40526</v>
      </c>
      <c r="C67" s="199"/>
      <c r="D67" s="199"/>
      <c r="E67" s="200"/>
      <c r="F67" s="67"/>
      <c r="G67" s="198" t="s">
        <v>27</v>
      </c>
      <c r="H67" s="36" t="n">
        <f aca="false">G18</f>
        <v>40526</v>
      </c>
      <c r="I67" s="199"/>
      <c r="J67" s="199"/>
      <c r="K67" s="200"/>
      <c r="L67" s="67"/>
      <c r="M67" s="198" t="s">
        <v>27</v>
      </c>
      <c r="N67" s="36" t="n">
        <f aca="false">G18</f>
        <v>40526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1179.50028</v>
      </c>
      <c r="C70" s="199" t="n">
        <v>10000</v>
      </c>
      <c r="D70" s="36" t="n">
        <f aca="false">B70-A149</f>
        <v>1179.50028</v>
      </c>
      <c r="E70" s="200" t="n">
        <f aca="false">D70/12</f>
        <v>98.29169</v>
      </c>
      <c r="F70" s="67"/>
      <c r="G70" s="262" t="s">
        <v>103</v>
      </c>
      <c r="H70" s="69" t="n">
        <f aca="false">H67*H69</f>
        <v>2836.82</v>
      </c>
      <c r="I70" s="199"/>
      <c r="J70" s="36" t="n">
        <f aca="false">H70-G151</f>
        <v>2836.82</v>
      </c>
      <c r="K70" s="200"/>
      <c r="L70" s="67"/>
      <c r="M70" s="262" t="s">
        <v>103</v>
      </c>
      <c r="N70" s="69" t="n">
        <f aca="false">N67*N69</f>
        <v>2836.82</v>
      </c>
      <c r="O70" s="199"/>
      <c r="P70" s="36" t="n">
        <f aca="false">N70-M151</f>
        <v>2836.82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202.63</v>
      </c>
      <c r="I73" s="199"/>
      <c r="J73" s="36"/>
      <c r="K73" s="200"/>
      <c r="L73" s="67"/>
      <c r="M73" s="262" t="s">
        <v>106</v>
      </c>
      <c r="N73" s="69" t="n">
        <f aca="false">N67*N72</f>
        <v>202.63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0.0084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928.166666666667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77.3472222222222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314.166666666667</v>
      </c>
      <c r="C82" s="199"/>
      <c r="D82" s="36" t="n">
        <f aca="false">IF(A50="YES",0,B82)</f>
        <v>314.166666666667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0</v>
      </c>
      <c r="C83" s="199"/>
      <c r="D83" s="36" t="n">
        <f aca="false">B83</f>
        <v>0</v>
      </c>
      <c r="E83" s="200" t="n">
        <f aca="false">D83/12</f>
        <v>0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0</v>
      </c>
      <c r="C84" s="199"/>
      <c r="D84" s="36" t="n">
        <f aca="false">B84</f>
        <v>0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2107.66694666667</v>
      </c>
      <c r="C87" s="199"/>
      <c r="D87" s="199"/>
      <c r="E87" s="200"/>
      <c r="F87" s="67"/>
      <c r="G87" s="276" t="s">
        <v>115</v>
      </c>
      <c r="H87" s="277" t="n">
        <f aca="false">SUM(J70:J86)</f>
        <v>5990.40333333333</v>
      </c>
      <c r="I87" s="199"/>
      <c r="J87" s="199"/>
      <c r="K87" s="200"/>
      <c r="L87" s="67"/>
      <c r="M87" s="276" t="s">
        <v>115</v>
      </c>
      <c r="N87" s="277" t="n">
        <f aca="false">SUM(P70:P86)</f>
        <v>5950.82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175.638912222222</v>
      </c>
      <c r="C88" s="199"/>
      <c r="D88" s="199"/>
      <c r="E88" s="200"/>
      <c r="F88" s="67"/>
      <c r="G88" s="198" t="s">
        <v>116</v>
      </c>
      <c r="H88" s="37" t="n">
        <f aca="false">H87/H29</f>
        <v>499.200277777778</v>
      </c>
      <c r="I88" s="199"/>
      <c r="J88" s="199"/>
      <c r="K88" s="200"/>
      <c r="L88" s="67"/>
      <c r="M88" s="198" t="s">
        <v>116</v>
      </c>
      <c r="N88" s="37" t="n">
        <f aca="false">N87/H29</f>
        <v>495.901666666667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H50</f>
        <v>351.972166666667</v>
      </c>
      <c r="C89" s="199"/>
      <c r="D89" s="199"/>
      <c r="E89" s="200"/>
      <c r="F89" s="67"/>
      <c r="G89" s="278" t="s">
        <v>117</v>
      </c>
      <c r="H89" s="63" t="n">
        <f aca="false">H46</f>
        <v>0</v>
      </c>
      <c r="I89" s="199"/>
      <c r="J89" s="199"/>
      <c r="K89" s="200"/>
      <c r="L89" s="67"/>
      <c r="M89" s="278" t="s">
        <v>117</v>
      </c>
      <c r="N89" s="63" t="n">
        <f aca="false">H46</f>
        <v>0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6331.33294666667</v>
      </c>
      <c r="C91" s="199"/>
      <c r="D91" s="199"/>
      <c r="E91" s="200"/>
      <c r="F91" s="67"/>
      <c r="G91" s="265" t="s">
        <v>127</v>
      </c>
      <c r="H91" s="31" t="n">
        <f aca="false">((H89*H29)+H87)*1.2</f>
        <v>7188.484</v>
      </c>
      <c r="I91" s="199"/>
      <c r="J91" s="199"/>
      <c r="K91" s="200"/>
      <c r="L91" s="67"/>
      <c r="M91" s="265" t="s">
        <v>127</v>
      </c>
      <c r="N91" s="31" t="n">
        <f aca="false">((N89*H29)+N87)</f>
        <v>5950.82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53.63372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50.7456514723679</v>
      </c>
      <c r="I92" s="199"/>
      <c r="J92" s="199"/>
      <c r="K92" s="200"/>
      <c r="L92" s="67"/>
      <c r="M92" s="198" t="s">
        <v>128</v>
      </c>
      <c r="N92" s="37" t="n">
        <f aca="false">(N91/(1-N76))*N76</f>
        <v>50.4103348124244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6384.96666666667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9239.22965147237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8001.23033481242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IF(B105=Z104,(((H41*A32)+(H41*A32)*(B111/100))/(B64)),(((H41*A32)+(H41*A32)*(B111/100))/(B63+B64)))</f>
        <v>60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532.080555555556</v>
      </c>
      <c r="C96" s="199" t="s">
        <v>10</v>
      </c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592.080555555556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0</v>
      </c>
      <c r="C108" s="109"/>
      <c r="D108" s="109" t="n">
        <v>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0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1000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167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167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532.080555555556</v>
      </c>
      <c r="B134" s="290" t="n">
        <f aca="false">IF(A111="YES",B95,0)</f>
        <v>60</v>
      </c>
      <c r="C134" s="295"/>
      <c r="D134" s="290" t="n">
        <f aca="false">B97</f>
        <v>592.080555555556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532.080555555556</v>
      </c>
      <c r="C137" s="199"/>
      <c r="D137" s="42" t="n">
        <f aca="false">IF(A111="YES",B95*B63,0)</f>
        <v>60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592.080555555556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532.080555555556</v>
      </c>
      <c r="B143" s="42" t="n">
        <f aca="false">IF(A111="YES",B95,0)</f>
        <v>60</v>
      </c>
      <c r="C143" s="199"/>
      <c r="D143" s="42" t="n">
        <f aca="false">B97</f>
        <v>592.080555555556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168.858333333333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168.858333333333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24.3156</v>
      </c>
      <c r="B146" s="309" t="n">
        <f aca="false">G18*0.000002*100</f>
        <v>8.1052</v>
      </c>
      <c r="C146" s="310"/>
      <c r="D146" s="309" t="n">
        <f aca="false">A146+B146</f>
        <v>32.4208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1440</v>
      </c>
      <c r="H148" s="42" t="n">
        <f aca="false">G108-100</f>
        <v>139.988</v>
      </c>
      <c r="I148" s="42"/>
      <c r="J148" s="42" t="n">
        <f aca="false">(H145+J145+G148+H148)-H151</f>
        <v>2828.84633333333</v>
      </c>
      <c r="K148" s="107"/>
      <c r="L148" s="67"/>
      <c r="M148" s="113" t="n">
        <f aca="false">IF(M111="YES",((A41*N111)*0.1)*(M133),0)</f>
        <v>1440</v>
      </c>
      <c r="N148" s="42" t="n">
        <f aca="false">M108-100</f>
        <v>99.99</v>
      </c>
      <c r="O148" s="42"/>
      <c r="P148" s="42" t="n">
        <f aca="false">(N145+P145+M148+N148)-N151</f>
        <v>2788.84833333333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0</v>
      </c>
      <c r="C149" s="199"/>
      <c r="D149" s="142" t="n">
        <f aca="false">B108</f>
        <v>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0</v>
      </c>
      <c r="C154" s="42"/>
      <c r="D154" s="42" t="n">
        <f aca="false">IF(A111="YES",(A44/100*B111)*B131,0)*0.1</f>
        <v>12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2808.334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282</v>
      </c>
      <c r="E157" s="107"/>
      <c r="F157" s="67"/>
      <c r="G157" s="233"/>
      <c r="H157" s="337" t="n">
        <f aca="false">B57</f>
        <v>5000</v>
      </c>
      <c r="I157" s="337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338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337" t="n">
        <f aca="false">B57</f>
        <v>5000</v>
      </c>
      <c r="O160" s="337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338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337" t="n">
        <f aca="false">B57</f>
        <v>5000</v>
      </c>
      <c r="C166" s="337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338" t="n">
        <f aca="false">A58</f>
        <v>12</v>
      </c>
      <c r="B167" s="78" t="n">
        <f aca="false">B97</f>
        <v>592.080555555556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 t="b">
        <f aca="false">ISNUMBER(B183)</f>
        <v>1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532.080555555556</v>
      </c>
      <c r="B177" s="290" t="n">
        <f aca="false">IF(A111="YES",B95,0)</f>
        <v>60</v>
      </c>
      <c r="C177" s="295"/>
      <c r="D177" s="290" t="n">
        <f aca="false">B91</f>
        <v>6331.33294666667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532.080555555556</v>
      </c>
      <c r="C180" s="199"/>
      <c r="D180" s="42" t="n">
        <f aca="false">IF(A111="YES",B95*B63,0)</f>
        <v>60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592.080555555556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532.080555555556</v>
      </c>
      <c r="B186" s="42" t="n">
        <f aca="false">IF(A111="YES",B95,0)</f>
        <v>60</v>
      </c>
      <c r="C186" s="199"/>
      <c r="D186" s="42" t="n">
        <f aca="false">B97</f>
        <v>592.080555555556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24.3156</v>
      </c>
      <c r="B189" s="309" t="n">
        <f aca="false">G18*0.000002*100</f>
        <v>8.1052</v>
      </c>
      <c r="C189" s="310"/>
      <c r="D189" s="309" t="n">
        <f aca="false">A189+B189</f>
        <v>32.4208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0</v>
      </c>
      <c r="C192" s="199"/>
      <c r="D192" s="142" t="n">
        <f aca="false">B108</f>
        <v>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0</v>
      </c>
      <c r="C197" s="42"/>
      <c r="D197" s="42" t="n">
        <f aca="false">IF(A111="YES",(A44/100*B111)*B131,0)*0.1</f>
        <v>12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20</v>
      </c>
      <c r="B200" s="42" t="n">
        <f aca="false">(A154+B154+D154+A157)*(A149/B70)</f>
        <v>0</v>
      </c>
      <c r="C200" s="42"/>
      <c r="D200" s="42" t="n">
        <f aca="false">D157</f>
        <v>282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0</v>
      </c>
      <c r="B203" s="42"/>
      <c r="C203" s="199"/>
      <c r="D203" s="199"/>
      <c r="E203" s="200"/>
      <c r="F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0.065</v>
      </c>
      <c r="C209" s="290" t="s">
        <v>228</v>
      </c>
      <c r="D209" s="320" t="n">
        <f aca="false">D70</f>
        <v>1179.50028</v>
      </c>
      <c r="E209" s="291"/>
      <c r="F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140</v>
      </c>
      <c r="E211" s="291"/>
      <c r="F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1069.50028</v>
      </c>
      <c r="C213" s="294"/>
      <c r="D213" s="290"/>
      <c r="E213" s="291"/>
      <c r="F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1179.50028</v>
      </c>
      <c r="C217" s="223" t="s">
        <v>234</v>
      </c>
      <c r="D217" s="199"/>
      <c r="E217" s="270" t="n">
        <f aca="false">B72</f>
        <v>0</v>
      </c>
      <c r="F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0</v>
      </c>
      <c r="C221" s="205" t="s">
        <v>236</v>
      </c>
      <c r="D221" s="199"/>
      <c r="E221" s="37" t="n">
        <f aca="false">A200</f>
        <v>20</v>
      </c>
      <c r="F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0</v>
      </c>
      <c r="C223" s="205" t="s">
        <v>231</v>
      </c>
      <c r="D223" s="199"/>
      <c r="E223" s="37" t="n">
        <f aca="false">(B217-B211+D211)</f>
        <v>1069.50028</v>
      </c>
      <c r="F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120</v>
      </c>
      <c r="C225" s="42"/>
      <c r="D225" s="307"/>
      <c r="E225" s="157"/>
      <c r="F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0.12</v>
      </c>
      <c r="F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53.63372</v>
      </c>
      <c r="F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290</v>
      </c>
      <c r="F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198"/>
      <c r="B243" s="199"/>
      <c r="C243" s="199"/>
      <c r="D243" s="199"/>
      <c r="E243" s="200"/>
      <c r="F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113"/>
      <c r="B244" s="42"/>
      <c r="C244" s="42"/>
      <c r="D244" s="42"/>
      <c r="E244" s="107"/>
      <c r="F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198"/>
      <c r="B245" s="199"/>
      <c r="C245" s="199"/>
      <c r="D245" s="199"/>
      <c r="E245" s="200"/>
      <c r="F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198"/>
      <c r="B246" s="199"/>
      <c r="C246" s="199"/>
      <c r="D246" s="199"/>
      <c r="E246" s="200"/>
      <c r="F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113"/>
      <c r="B247" s="42"/>
      <c r="C247" s="199"/>
      <c r="D247" s="199"/>
      <c r="E247" s="200"/>
      <c r="F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262"/>
      <c r="B248" s="263"/>
      <c r="C248" s="263"/>
      <c r="D248" s="263"/>
      <c r="E248" s="264"/>
      <c r="F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3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G38:H38"/>
    <mergeCell ref="B41:C41"/>
    <mergeCell ref="D41:E41"/>
    <mergeCell ref="B44:C44"/>
    <mergeCell ref="D44:E44"/>
    <mergeCell ref="B52:C52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3">
    <dataValidation allowBlank="true" errorStyle="stop" operator="between" showDropDown="false" showErrorMessage="true" showInputMessage="false" sqref="D41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str">
        <f aca="false">A41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str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359</v>
      </c>
      <c r="B41" s="224" t="str">
        <f aca="false">IF(B38="YES",D38+A41,D38)</f>
        <v>500</v>
      </c>
      <c r="C41" s="224"/>
      <c r="D41" s="106" t="s">
        <v>344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106" t="s">
        <v>347</v>
      </c>
      <c r="C44" s="106"/>
      <c r="D44" s="106" t="s">
        <v>359</v>
      </c>
      <c r="E44" s="106"/>
      <c r="F44" s="67"/>
      <c r="G44" s="67" t="s">
        <v>267</v>
      </c>
      <c r="H44" s="7" t="str">
        <f aca="false">H32</f>
        <v>0</v>
      </c>
      <c r="I44" s="336" t="n">
        <f aca="false">((A41*(B35-1))+D32)/B35</f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s">
        <v>360</v>
      </c>
      <c r="C47" s="350"/>
      <c r="D47" s="106" t="s">
        <v>360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 t="s">
        <v>349</v>
      </c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9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3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16850.004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40526</v>
      </c>
      <c r="C67" s="199"/>
      <c r="D67" s="199"/>
      <c r="E67" s="200"/>
      <c r="F67" s="67"/>
      <c r="G67" s="198" t="s">
        <v>27</v>
      </c>
      <c r="H67" s="36" t="n">
        <f aca="false">G18</f>
        <v>40526</v>
      </c>
      <c r="I67" s="199"/>
      <c r="J67" s="199"/>
      <c r="K67" s="200"/>
      <c r="L67" s="67"/>
      <c r="M67" s="198" t="s">
        <v>27</v>
      </c>
      <c r="N67" s="36" t="n">
        <f aca="false">G18</f>
        <v>40526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1179.50028</v>
      </c>
      <c r="C70" s="199" t="n">
        <v>10000</v>
      </c>
      <c r="D70" s="36" t="n">
        <f aca="false">B70-A149</f>
        <v>1179.50028</v>
      </c>
      <c r="E70" s="200" t="n">
        <f aca="false">D70/12</f>
        <v>98.29169</v>
      </c>
      <c r="F70" s="67"/>
      <c r="G70" s="262" t="s">
        <v>103</v>
      </c>
      <c r="H70" s="69" t="n">
        <f aca="false">H67*H69</f>
        <v>2836.82</v>
      </c>
      <c r="I70" s="199"/>
      <c r="J70" s="36" t="n">
        <f aca="false">H70-G151</f>
        <v>2836.82</v>
      </c>
      <c r="K70" s="200"/>
      <c r="L70" s="67"/>
      <c r="M70" s="262" t="s">
        <v>103</v>
      </c>
      <c r="N70" s="69" t="n">
        <f aca="false">N67*N69</f>
        <v>2836.82</v>
      </c>
      <c r="O70" s="199"/>
      <c r="P70" s="36" t="n">
        <f aca="false">N70-M151</f>
        <v>2836.82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202.63</v>
      </c>
      <c r="I73" s="199"/>
      <c r="J73" s="36"/>
      <c r="K73" s="200"/>
      <c r="L73" s="67"/>
      <c r="M73" s="262" t="s">
        <v>106</v>
      </c>
      <c r="N73" s="69" t="n">
        <f aca="false">N67*N72</f>
        <v>202.63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0.0084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339" t="s">
        <v>289</v>
      </c>
      <c r="B80" s="340" t="n">
        <v>0</v>
      </c>
      <c r="C80" s="199"/>
      <c r="D80" s="199"/>
      <c r="E80" s="333" t="n">
        <f aca="false">E79+D82</f>
        <v>614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341" t="s">
        <v>290</v>
      </c>
      <c r="B81" s="342" t="n">
        <v>0</v>
      </c>
      <c r="C81" s="199"/>
      <c r="D81" s="199"/>
      <c r="E81" s="200" t="n">
        <f aca="false">E80/12</f>
        <v>51.1666666666667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0</v>
      </c>
      <c r="C82" s="199"/>
      <c r="D82" s="36" t="n">
        <f aca="false">IF(A50="YES",0,B82)</f>
        <v>0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2499.38263294118</v>
      </c>
      <c r="C87" s="199"/>
      <c r="D87" s="199"/>
      <c r="E87" s="200"/>
      <c r="F87" s="67"/>
      <c r="G87" s="276" t="s">
        <v>115</v>
      </c>
      <c r="H87" s="277" t="n">
        <f aca="false">SUM(J70:J86)</f>
        <v>5990.40333333333</v>
      </c>
      <c r="I87" s="199"/>
      <c r="J87" s="199"/>
      <c r="K87" s="200"/>
      <c r="L87" s="67"/>
      <c r="M87" s="276" t="s">
        <v>115</v>
      </c>
      <c r="N87" s="277" t="n">
        <f aca="false">SUM(P70:P86)</f>
        <v>5950.82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208.281886078431</v>
      </c>
      <c r="C88" s="199"/>
      <c r="D88" s="199"/>
      <c r="E88" s="200"/>
      <c r="F88" s="67"/>
      <c r="G88" s="198" t="s">
        <v>116</v>
      </c>
      <c r="H88" s="37" t="n">
        <f aca="false">H87/H29</f>
        <v>499.200277777778</v>
      </c>
      <c r="I88" s="199"/>
      <c r="J88" s="199"/>
      <c r="K88" s="200"/>
      <c r="L88" s="67"/>
      <c r="M88" s="198" t="s">
        <v>116</v>
      </c>
      <c r="N88" s="37" t="n">
        <f aca="false">N87/H29</f>
        <v>495.901666666667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8511.38263294118</v>
      </c>
      <c r="C91" s="199"/>
      <c r="D91" s="199"/>
      <c r="E91" s="200"/>
      <c r="F91" s="67"/>
      <c r="G91" s="265" t="s">
        <v>127</v>
      </c>
      <c r="H91" s="31" t="n">
        <f aca="false">((H89*H29)+H87)*1.2</f>
        <v>14402.884</v>
      </c>
      <c r="I91" s="199"/>
      <c r="J91" s="199"/>
      <c r="K91" s="200"/>
      <c r="L91" s="67"/>
      <c r="M91" s="265" t="s">
        <v>127</v>
      </c>
      <c r="N91" s="31" t="n">
        <f aca="false">((N89*H29)+N87)</f>
        <v>11962.82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72.1012647405263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101.674251714401</v>
      </c>
      <c r="I92" s="199"/>
      <c r="J92" s="199"/>
      <c r="K92" s="200"/>
      <c r="L92" s="67"/>
      <c r="M92" s="198" t="s">
        <v>128</v>
      </c>
      <c r="N92" s="37" t="n">
        <f aca="false">(N91/(1-N76))*N76</f>
        <v>101.338935054457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8583.4838976817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16504.5582517144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14064.1589350545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715.290324806809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715.290324806809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361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362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6" t="n">
        <v>0</v>
      </c>
      <c r="C111" s="286"/>
      <c r="D111" s="109" t="s">
        <v>363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0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1000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3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3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715.290324806809</v>
      </c>
      <c r="B134" s="290" t="n">
        <f aca="false">IF(A111="YES",B95,0)</f>
        <v>0</v>
      </c>
      <c r="C134" s="295"/>
      <c r="D134" s="290" t="n">
        <f aca="false">B97</f>
        <v>715.290324806809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Terminal pause with 9 down </v>
      </c>
      <c r="B137" s="42" t="n">
        <f aca="false">B96*B63</f>
        <v>6437.61292326128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6437.61292326128</v>
      </c>
      <c r="B140" s="42" t="n">
        <f aca="false">E120</f>
        <v>0</v>
      </c>
      <c r="C140" s="199"/>
      <c r="D140" s="303" t="n">
        <f aca="false">B64</f>
        <v>3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715.290324806809</v>
      </c>
      <c r="B143" s="42" t="n">
        <f aca="false">IF(A111="YES",B95,0)</f>
        <v>0</v>
      </c>
      <c r="C143" s="199"/>
      <c r="D143" s="42" t="n">
        <f aca="false">B97</f>
        <v>715.290324806809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168.858333333333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168.858333333333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24.3156</v>
      </c>
      <c r="B146" s="309" t="n">
        <f aca="false">G18*0.000002*100</f>
        <v>8.1052</v>
      </c>
      <c r="C146" s="310"/>
      <c r="D146" s="309" t="n">
        <f aca="false">A146+B146</f>
        <v>32.4208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0</v>
      </c>
      <c r="H148" s="42" t="n">
        <f aca="false">G108-100</f>
        <v>139.988</v>
      </c>
      <c r="I148" s="42"/>
      <c r="J148" s="42" t="n">
        <f aca="false">(H145+J145+G148+H148)-H151</f>
        <v>1388.84633333333</v>
      </c>
      <c r="K148" s="107"/>
      <c r="L148" s="67"/>
      <c r="M148" s="113" t="n">
        <f aca="false">IF(M111="YES",((A41*N111)*0.1)*(M133),0)</f>
        <v>0</v>
      </c>
      <c r="N148" s="42" t="n">
        <f aca="false">M108-100</f>
        <v>99.99</v>
      </c>
      <c r="O148" s="42"/>
      <c r="P148" s="42" t="n">
        <f aca="false">(N145+P145+M148+N148)-N151</f>
        <v>1348.84833333333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0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470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715.290324806809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715.290324806809</v>
      </c>
      <c r="B177" s="290" t="n">
        <f aca="false">IF(A111="YES",B95,0)</f>
        <v>0</v>
      </c>
      <c r="C177" s="295"/>
      <c r="D177" s="290" t="n">
        <f aca="false">B91</f>
        <v>8511.38263294118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Terminal pause with 9 down </v>
      </c>
      <c r="B180" s="42" t="n">
        <f aca="false">B96*B63</f>
        <v>6437.61292326128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6437.61292326128</v>
      </c>
      <c r="B183" s="42" t="n">
        <f aca="false">E120</f>
        <v>0</v>
      </c>
      <c r="C183" s="199"/>
      <c r="D183" s="303" t="n">
        <f aca="false">B64</f>
        <v>3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715.290324806809</v>
      </c>
      <c r="B186" s="42" t="n">
        <f aca="false">IF(A111="YES",B95,0)</f>
        <v>0</v>
      </c>
      <c r="C186" s="199"/>
      <c r="D186" s="42" t="n">
        <f aca="false">B97</f>
        <v>715.290324806809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24.3156</v>
      </c>
      <c r="B189" s="309" t="n">
        <f aca="false">G18*0.000002*100</f>
        <v>8.1052</v>
      </c>
      <c r="C189" s="310"/>
      <c r="D189" s="309" t="n">
        <f aca="false">A189+B189</f>
        <v>32.4208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0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E124-100</f>
        <v>-100</v>
      </c>
      <c r="B200" s="42" t="n">
        <f aca="false">(A154+B154+D154+A157)*(A149/B70)</f>
        <v>0</v>
      </c>
      <c r="C200" s="42"/>
      <c r="D200" s="42" t="n">
        <f aca="false">D157</f>
        <v>470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1179.50028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160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1089.50028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1179.50028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-100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1089.50028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72.1012647405263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65 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99" colorId="64" zoomScale="100" zoomScaleNormal="100" zoomScalePageLayoutView="100" workbookViewId="0">
      <selection pane="topLeft" activeCell="B223" activeCellId="0" sqref="B223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50</v>
      </c>
      <c r="E32" s="211"/>
      <c r="F32" s="67"/>
      <c r="G32" s="212" t="s">
        <v>254</v>
      </c>
      <c r="H32" s="210" t="str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str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346</v>
      </c>
      <c r="B41" s="224" t="n">
        <f aca="false">IF(B38="YES",D38+A41,D38)</f>
        <v>550</v>
      </c>
      <c r="C41" s="224"/>
      <c r="D41" s="106" t="s">
        <v>344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106" t="s">
        <v>347</v>
      </c>
      <c r="C44" s="106"/>
      <c r="D44" s="106" t="s">
        <v>360</v>
      </c>
      <c r="E44" s="106"/>
      <c r="F44" s="67"/>
      <c r="G44" s="67" t="s">
        <v>267</v>
      </c>
      <c r="H44" s="7" t="str">
        <f aca="false">H32</f>
        <v>50</v>
      </c>
      <c r="I44" s="336" t="n">
        <f aca="false">((A41*(B35-1))+D32)/B35</f>
        <v>50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s">
        <v>360</v>
      </c>
      <c r="C47" s="350"/>
      <c r="D47" s="106" t="s">
        <v>360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551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 t="s">
        <v>10</v>
      </c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16850.004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40526</v>
      </c>
      <c r="C67" s="199"/>
      <c r="D67" s="199"/>
      <c r="E67" s="200"/>
      <c r="F67" s="67"/>
      <c r="G67" s="198" t="s">
        <v>27</v>
      </c>
      <c r="H67" s="36" t="n">
        <f aca="false">G18</f>
        <v>40526</v>
      </c>
      <c r="I67" s="199"/>
      <c r="J67" s="199"/>
      <c r="K67" s="200"/>
      <c r="L67" s="67"/>
      <c r="M67" s="198" t="s">
        <v>27</v>
      </c>
      <c r="N67" s="36" t="n">
        <f aca="false">G18</f>
        <v>40526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1179.50028</v>
      </c>
      <c r="C70" s="199" t="n">
        <v>10000</v>
      </c>
      <c r="D70" s="36" t="n">
        <f aca="false">B70-A149</f>
        <v>1179.50028</v>
      </c>
      <c r="E70" s="200" t="n">
        <f aca="false">D70/12</f>
        <v>98.29169</v>
      </c>
      <c r="F70" s="67"/>
      <c r="G70" s="262" t="s">
        <v>103</v>
      </c>
      <c r="H70" s="69" t="n">
        <f aca="false">H67*H69</f>
        <v>2836.82</v>
      </c>
      <c r="I70" s="199"/>
      <c r="J70" s="36" t="n">
        <f aca="false">H70-G151</f>
        <v>2836.82</v>
      </c>
      <c r="K70" s="200"/>
      <c r="L70" s="67"/>
      <c r="M70" s="262" t="s">
        <v>103</v>
      </c>
      <c r="N70" s="69" t="n">
        <f aca="false">N67*N69</f>
        <v>2836.82</v>
      </c>
      <c r="O70" s="199"/>
      <c r="P70" s="36" t="n">
        <f aca="false">N70-M151</f>
        <v>2836.82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202.63</v>
      </c>
      <c r="I73" s="199"/>
      <c r="J73" s="36"/>
      <c r="K73" s="200"/>
      <c r="L73" s="67"/>
      <c r="M73" s="262" t="s">
        <v>106</v>
      </c>
      <c r="N73" s="69" t="n">
        <f aca="false">N67*N72</f>
        <v>202.63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0.0084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928.166666666667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77.3472222222222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314.166666666667</v>
      </c>
      <c r="C82" s="199"/>
      <c r="D82" s="36" t="n">
        <f aca="false">IF(A50="YES",0,B82)</f>
        <v>314.166666666667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0</v>
      </c>
      <c r="C83" s="199"/>
      <c r="D83" s="36" t="n">
        <f aca="false">B83</f>
        <v>0</v>
      </c>
      <c r="E83" s="200" t="n">
        <f aca="false">D83/12</f>
        <v>0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0</v>
      </c>
      <c r="C84" s="199"/>
      <c r="D84" s="36" t="n">
        <f aca="false">B84</f>
        <v>0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2107.66694666667</v>
      </c>
      <c r="C87" s="199"/>
      <c r="D87" s="199"/>
      <c r="E87" s="200"/>
      <c r="F87" s="67"/>
      <c r="G87" s="276" t="s">
        <v>115</v>
      </c>
      <c r="H87" s="277" t="n">
        <f aca="false">SUM(J70:J86)</f>
        <v>5990.40333333333</v>
      </c>
      <c r="I87" s="199"/>
      <c r="J87" s="199"/>
      <c r="K87" s="200"/>
      <c r="L87" s="67"/>
      <c r="M87" s="276" t="s">
        <v>115</v>
      </c>
      <c r="N87" s="277" t="n">
        <f aca="false">SUM(P70:P86)</f>
        <v>5950.82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175.638912222222</v>
      </c>
      <c r="C88" s="199"/>
      <c r="D88" s="199"/>
      <c r="E88" s="200"/>
      <c r="F88" s="67"/>
      <c r="G88" s="198" t="s">
        <v>116</v>
      </c>
      <c r="H88" s="37" t="n">
        <f aca="false">H87/H29</f>
        <v>499.200277777778</v>
      </c>
      <c r="I88" s="199"/>
      <c r="J88" s="199"/>
      <c r="K88" s="200"/>
      <c r="L88" s="67"/>
      <c r="M88" s="198" t="s">
        <v>116</v>
      </c>
      <c r="N88" s="37" t="n">
        <f aca="false">N87/H29</f>
        <v>495.901666666667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((B89*H29)+B87)*1.2</f>
        <v>9743.600336</v>
      </c>
      <c r="C91" s="199"/>
      <c r="D91" s="199"/>
      <c r="E91" s="200"/>
      <c r="F91" s="67"/>
      <c r="G91" s="265" t="s">
        <v>127</v>
      </c>
      <c r="H91" s="31" t="n">
        <f aca="false">((H89*H29)+H87)*1.2</f>
        <v>14402.884</v>
      </c>
      <c r="I91" s="199"/>
      <c r="J91" s="199"/>
      <c r="K91" s="200"/>
      <c r="L91" s="67"/>
      <c r="M91" s="265" t="s">
        <v>127</v>
      </c>
      <c r="N91" s="31" t="n">
        <f aca="false">((N89*H29)+N87)</f>
        <v>11962.82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68.7829793787818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101.674251714401</v>
      </c>
      <c r="I92" s="199"/>
      <c r="J92" s="199"/>
      <c r="K92" s="200"/>
      <c r="L92" s="67"/>
      <c r="M92" s="198" t="s">
        <v>128</v>
      </c>
      <c r="N92" s="37" t="n">
        <f aca="false">(N91/(1-N76))*N76</f>
        <v>101.338935054457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9812.38331537878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16504.5582517144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14064.1589350545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IF(B105=Z104,(((H44*B35)+(H44*B35)*(B111/100))/(B64)),(((H44*B35)+(H44*B35)*(B111/100))/(B63+B64)))*1.2</f>
        <v>72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817.698609614899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889.698609614899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294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239.99</v>
      </c>
      <c r="B108" s="109" t="n">
        <v>0</v>
      </c>
      <c r="C108" s="109"/>
      <c r="D108" s="109" t="n">
        <v>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31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0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1000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817.698609614899</v>
      </c>
      <c r="B134" s="290" t="n">
        <f aca="false">IF(A111="YES",B95,0)</f>
        <v>72</v>
      </c>
      <c r="C134" s="295"/>
      <c r="D134" s="290" t="n">
        <f aca="false">B97</f>
        <v>889.698609614899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817.698609614899</v>
      </c>
      <c r="C137" s="199"/>
      <c r="D137" s="42" t="n">
        <f aca="false">IF(A111="YES",B95*B63,0)</f>
        <v>72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889.698609614899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817.698609614899</v>
      </c>
      <c r="B143" s="42" t="n">
        <f aca="false">IF(A111="YES",B95,0)</f>
        <v>72</v>
      </c>
      <c r="C143" s="199"/>
      <c r="D143" s="42" t="n">
        <f aca="false">B97</f>
        <v>889.698609614899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168.858333333333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168.858333333333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(G18*0.000006)*1.2*100</f>
        <v>29.17872</v>
      </c>
      <c r="B146" s="309" t="n">
        <f aca="false">G18*0.000002*1.2*100</f>
        <v>9.72624</v>
      </c>
      <c r="C146" s="310"/>
      <c r="D146" s="309" t="n">
        <f aca="false">A146+B146</f>
        <v>38.90496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12</v>
      </c>
      <c r="H148" s="42" t="n">
        <f aca="false">G108-100</f>
        <v>139.988</v>
      </c>
      <c r="I148" s="42"/>
      <c r="J148" s="42" t="n">
        <f aca="false">(H145+J145+G148+H148)-H151</f>
        <v>1400.84633333333</v>
      </c>
      <c r="K148" s="107"/>
      <c r="L148" s="67"/>
      <c r="M148" s="113" t="n">
        <f aca="false">IF(M111="YES",((A41*N111)*0.1)*(M133),0)</f>
        <v>12</v>
      </c>
      <c r="N148" s="42" t="n">
        <f aca="false">M108-100</f>
        <v>99.99</v>
      </c>
      <c r="O148" s="42"/>
      <c r="P148" s="42" t="n">
        <f aca="false">(N145+P145+M148+N148)-N151</f>
        <v>1360.84833333333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0</v>
      </c>
      <c r="C149" s="199"/>
      <c r="D149" s="142" t="n">
        <f aca="false">B108</f>
        <v>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0</v>
      </c>
      <c r="C154" s="42"/>
      <c r="D154" s="42" t="n">
        <f aca="false">IF(A111="YES",(A41/100*B111)*B131,0)*0.1</f>
        <v>12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282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889.698609614899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817.698609614899</v>
      </c>
      <c r="B177" s="290" t="n">
        <f aca="false">IF(A111="YES",B95,0)</f>
        <v>72</v>
      </c>
      <c r="C177" s="295"/>
      <c r="D177" s="290" t="n">
        <f aca="false">B97</f>
        <v>889.698609614899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817.698609614899</v>
      </c>
      <c r="C180" s="199"/>
      <c r="D180" s="42" t="n">
        <f aca="false">IF(A111="YES",B95*B63,0)</f>
        <v>72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889.698609614899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817.698609614899</v>
      </c>
      <c r="B186" s="42" t="n">
        <f aca="false">IF(A111="YES",B95,0)</f>
        <v>72</v>
      </c>
      <c r="C186" s="199"/>
      <c r="D186" s="42" t="n">
        <f aca="false">B97</f>
        <v>889.698609614899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29.17872</v>
      </c>
      <c r="B189" s="309" t="n">
        <f aca="false">G18*0.000002*1.2*100</f>
        <v>9.72624</v>
      </c>
      <c r="C189" s="310"/>
      <c r="D189" s="309" t="n">
        <f aca="false">A189+B189</f>
        <v>38.90496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0</v>
      </c>
      <c r="C192" s="199"/>
      <c r="D192" s="142" t="n">
        <f aca="false">B108</f>
        <v>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0</v>
      </c>
      <c r="C197" s="42"/>
      <c r="D197" s="42" t="n">
        <f aca="false">IF(A111="YES",(A41/100*B111)*B131,0)*0.1</f>
        <v>12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20</v>
      </c>
      <c r="B200" s="42" t="n">
        <f aca="false">(A154+B154+D154+A157)*(A149/B70)</f>
        <v>0</v>
      </c>
      <c r="C200" s="42"/>
      <c r="D200" s="42" t="n">
        <f aca="false">D157</f>
        <v>282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1179.50028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140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1069.50028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1179.50028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0</v>
      </c>
      <c r="C221" s="205" t="s">
        <v>236</v>
      </c>
      <c r="D221" s="199"/>
      <c r="E221" s="37" t="n">
        <f aca="false">A200</f>
        <v>20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0</v>
      </c>
      <c r="C223" s="205" t="s">
        <v>231</v>
      </c>
      <c r="D223" s="199"/>
      <c r="E223" s="37" t="n">
        <f aca="false">(B217-B211+D211)</f>
        <v>1069.50028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120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68.7829793787818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290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65 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5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50</v>
      </c>
      <c r="E32" s="211"/>
      <c r="F32" s="67"/>
      <c r="G32" s="212" t="s">
        <v>254</v>
      </c>
      <c r="H32" s="210" t="str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str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346</v>
      </c>
      <c r="B41" s="224" t="n">
        <f aca="false">IF(B38="YES",D38+A41,D38)</f>
        <v>550</v>
      </c>
      <c r="C41" s="224"/>
      <c r="D41" s="106" t="s">
        <v>344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106" t="s">
        <v>347</v>
      </c>
      <c r="C44" s="106"/>
      <c r="D44" s="106" t="s">
        <v>360</v>
      </c>
      <c r="E44" s="106"/>
      <c r="F44" s="67"/>
      <c r="G44" s="67" t="s">
        <v>267</v>
      </c>
      <c r="H44" s="7" t="str">
        <f aca="false">H32</f>
        <v>50</v>
      </c>
      <c r="I44" s="336" t="n">
        <f aca="false">((A41*(B35-1))+D32)/B35</f>
        <v>50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s">
        <v>360</v>
      </c>
      <c r="C47" s="350"/>
      <c r="D47" s="106" t="s">
        <v>360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551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16850.004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40526</v>
      </c>
      <c r="C67" s="199"/>
      <c r="D67" s="199"/>
      <c r="E67" s="200"/>
      <c r="F67" s="67"/>
      <c r="G67" s="198" t="s">
        <v>27</v>
      </c>
      <c r="H67" s="36" t="n">
        <f aca="false">G18</f>
        <v>40526</v>
      </c>
      <c r="I67" s="199"/>
      <c r="J67" s="199"/>
      <c r="K67" s="200"/>
      <c r="L67" s="67"/>
      <c r="M67" s="198" t="s">
        <v>27</v>
      </c>
      <c r="N67" s="36" t="n">
        <f aca="false">G18</f>
        <v>40526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1179.50028</v>
      </c>
      <c r="C70" s="199" t="n">
        <v>10000</v>
      </c>
      <c r="D70" s="36" t="n">
        <f aca="false">B70-A149</f>
        <v>1179.50028</v>
      </c>
      <c r="E70" s="200" t="n">
        <f aca="false">D70/12</f>
        <v>98.29169</v>
      </c>
      <c r="F70" s="67"/>
      <c r="G70" s="262" t="s">
        <v>103</v>
      </c>
      <c r="H70" s="69" t="n">
        <f aca="false">H67*H69</f>
        <v>2836.82</v>
      </c>
      <c r="I70" s="199"/>
      <c r="J70" s="36" t="n">
        <f aca="false">H70-G151</f>
        <v>2836.82</v>
      </c>
      <c r="K70" s="200"/>
      <c r="L70" s="67"/>
      <c r="M70" s="262" t="s">
        <v>103</v>
      </c>
      <c r="N70" s="69" t="n">
        <f aca="false">N67*N69</f>
        <v>2836.82</v>
      </c>
      <c r="O70" s="199"/>
      <c r="P70" s="36" t="n">
        <f aca="false">N70-M151</f>
        <v>2836.82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202.63</v>
      </c>
      <c r="I73" s="199"/>
      <c r="J73" s="36"/>
      <c r="K73" s="200"/>
      <c r="L73" s="67"/>
      <c r="M73" s="262" t="s">
        <v>106</v>
      </c>
      <c r="N73" s="69" t="n">
        <f aca="false">N67*N72</f>
        <v>202.63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0.0084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928.166666666667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77.3472222222222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314.166666666667</v>
      </c>
      <c r="C82" s="199"/>
      <c r="D82" s="36" t="n">
        <f aca="false">IF(A50="YES",0,B82)</f>
        <v>314.166666666667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0</v>
      </c>
      <c r="C83" s="199"/>
      <c r="D83" s="36" t="n">
        <f aca="false">B83</f>
        <v>0</v>
      </c>
      <c r="E83" s="200" t="n">
        <f aca="false">D83/12</f>
        <v>0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0</v>
      </c>
      <c r="C84" s="199"/>
      <c r="D84" s="36" t="n">
        <f aca="false">B84</f>
        <v>0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2107.66694666667</v>
      </c>
      <c r="C87" s="199"/>
      <c r="D87" s="199"/>
      <c r="E87" s="200"/>
      <c r="F87" s="67"/>
      <c r="G87" s="276" t="s">
        <v>115</v>
      </c>
      <c r="H87" s="277" t="n">
        <f aca="false">SUM(J70:J86)</f>
        <v>5990.40333333333</v>
      </c>
      <c r="I87" s="199"/>
      <c r="J87" s="199"/>
      <c r="K87" s="200"/>
      <c r="L87" s="67"/>
      <c r="M87" s="276" t="s">
        <v>115</v>
      </c>
      <c r="N87" s="277" t="n">
        <f aca="false">SUM(P70:P86)</f>
        <v>5950.82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175.638912222222</v>
      </c>
      <c r="C88" s="199"/>
      <c r="D88" s="199"/>
      <c r="E88" s="200"/>
      <c r="F88" s="67"/>
      <c r="G88" s="198" t="s">
        <v>116</v>
      </c>
      <c r="H88" s="37" t="n">
        <f aca="false">H87/H29</f>
        <v>499.200277777778</v>
      </c>
      <c r="I88" s="199"/>
      <c r="J88" s="199"/>
      <c r="K88" s="200"/>
      <c r="L88" s="67"/>
      <c r="M88" s="198" t="s">
        <v>116</v>
      </c>
      <c r="N88" s="37" t="n">
        <f aca="false">N87/H29</f>
        <v>495.901666666667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8119.66694666667</v>
      </c>
      <c r="C91" s="199"/>
      <c r="D91" s="199"/>
      <c r="E91" s="200"/>
      <c r="F91" s="67"/>
      <c r="G91" s="265" t="s">
        <v>127</v>
      </c>
      <c r="H91" s="31" t="n">
        <f aca="false">((H89*H29)+H87)*1.2</f>
        <v>14402.884</v>
      </c>
      <c r="I91" s="199"/>
      <c r="J91" s="199"/>
      <c r="K91" s="200"/>
      <c r="L91" s="67"/>
      <c r="M91" s="265" t="s">
        <v>127</v>
      </c>
      <c r="N91" s="31" t="n">
        <f aca="false">((N89*H29)+N87)</f>
        <v>11962.82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68.7829793787818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101.674251714401</v>
      </c>
      <c r="I92" s="199"/>
      <c r="J92" s="199"/>
      <c r="K92" s="200"/>
      <c r="L92" s="67"/>
      <c r="M92" s="198" t="s">
        <v>128</v>
      </c>
      <c r="N92" s="37" t="n">
        <f aca="false">(N91/(1-N76))*N76</f>
        <v>101.338935054457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8188.44992604545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16504.5582517144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14064.1589350545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60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682.370827170454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742.370827170454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0</v>
      </c>
      <c r="C108" s="109"/>
      <c r="D108" s="109" t="n">
        <v>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0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1000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682.370827170454</v>
      </c>
      <c r="B134" s="290" t="n">
        <f aca="false">IF(A111="YES",B95,0)</f>
        <v>60</v>
      </c>
      <c r="C134" s="295"/>
      <c r="D134" s="290" t="n">
        <f aca="false">B97</f>
        <v>742.370827170454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682.370827170454</v>
      </c>
      <c r="C137" s="199"/>
      <c r="D137" s="42" t="n">
        <f aca="false">IF(A111="YES",B95*B63,0)</f>
        <v>60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742.370827170454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682.370827170454</v>
      </c>
      <c r="B143" s="42" t="n">
        <f aca="false">IF(A111="YES",B95,0)</f>
        <v>60</v>
      </c>
      <c r="C143" s="199"/>
      <c r="D143" s="42" t="n">
        <f aca="false">B97</f>
        <v>742.370827170454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168.858333333333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168.858333333333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24.3156</v>
      </c>
      <c r="B146" s="309" t="n">
        <f aca="false">G18*0.000002*100</f>
        <v>8.1052</v>
      </c>
      <c r="C146" s="310"/>
      <c r="D146" s="309" t="n">
        <f aca="false">A146+B146</f>
        <v>32.4208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12</v>
      </c>
      <c r="H148" s="42" t="n">
        <f aca="false">G108-100</f>
        <v>139.988</v>
      </c>
      <c r="I148" s="42"/>
      <c r="J148" s="42" t="n">
        <f aca="false">(H145+J145+G148+H148)-H151</f>
        <v>1400.84633333333</v>
      </c>
      <c r="K148" s="107"/>
      <c r="L148" s="67"/>
      <c r="M148" s="113" t="n">
        <f aca="false">IF(M111="YES",((A41*N111)*0.1)*(M133),0)</f>
        <v>12</v>
      </c>
      <c r="N148" s="42" t="n">
        <f aca="false">M108-100</f>
        <v>99.99</v>
      </c>
      <c r="O148" s="42"/>
      <c r="P148" s="42" t="n">
        <f aca="false">(N145+P145+M148+N148)-N151</f>
        <v>1360.84833333333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0</v>
      </c>
      <c r="C149" s="199"/>
      <c r="D149" s="142" t="n">
        <f aca="false">B108</f>
        <v>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0</v>
      </c>
      <c r="C154" s="42"/>
      <c r="D154" s="42" t="n">
        <f aca="false">IF(A111="YES",(A41/100*B111)*B131,0)*0.1</f>
        <v>12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282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742.370827170454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682.370827170454</v>
      </c>
      <c r="B177" s="290" t="n">
        <f aca="false">IF(A111="YES",B95,0)</f>
        <v>60</v>
      </c>
      <c r="C177" s="295"/>
      <c r="D177" s="290" t="n">
        <f aca="false">B91</f>
        <v>8119.66694666667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682.370827170454</v>
      </c>
      <c r="C180" s="199"/>
      <c r="D180" s="42" t="n">
        <f aca="false">IF(A111="YES",B95*B63,0)</f>
        <v>60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742.370827170454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682.370827170454</v>
      </c>
      <c r="B186" s="42" t="n">
        <f aca="false">IF(A111="YES",B95,0)</f>
        <v>60</v>
      </c>
      <c r="C186" s="199"/>
      <c r="D186" s="42" t="n">
        <f aca="false">B97</f>
        <v>742.370827170454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11" t="n">
        <f aca="false">(G18*0.000006)*100</f>
        <v>24.3156</v>
      </c>
      <c r="B189" s="312" t="n">
        <f aca="false">G18*0.000002*100</f>
        <v>8.1052</v>
      </c>
      <c r="C189" s="199"/>
      <c r="D189" s="312" t="n">
        <f aca="false">A189+B189</f>
        <v>32.4208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0</v>
      </c>
      <c r="C192" s="199"/>
      <c r="D192" s="142" t="n">
        <f aca="false">B108</f>
        <v>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B154</f>
        <v>0</v>
      </c>
      <c r="C197" s="42"/>
      <c r="D197" s="42" t="n">
        <f aca="false">IF(A111="YES",(A41/100*B111)*B131,0)*0.1</f>
        <v>12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20</v>
      </c>
      <c r="B200" s="42" t="n">
        <f aca="false">(A154+B154+D154+A157)*(A149/B70)</f>
        <v>0</v>
      </c>
      <c r="C200" s="42"/>
      <c r="D200" s="42" t="n">
        <f aca="false">D157</f>
        <v>282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1179.50028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140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1069.50028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1179.50028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0</v>
      </c>
      <c r="C221" s="205" t="s">
        <v>236</v>
      </c>
      <c r="D221" s="199"/>
      <c r="E221" s="37" t="n">
        <f aca="false">A200</f>
        <v>20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0</v>
      </c>
      <c r="C223" s="205" t="s">
        <v>231</v>
      </c>
      <c r="D223" s="199"/>
      <c r="E223" s="37" t="n">
        <f aca="false">(B217-B211+D211)</f>
        <v>1069.50028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120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68.7829793787818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290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2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0</v>
      </c>
      <c r="B41" s="224" t="str">
        <f aca="false">IF(B38="YES",D38+A41,D38)</f>
        <v>500</v>
      </c>
      <c r="C41" s="224"/>
      <c r="D41" s="228" t="n">
        <v>6000</v>
      </c>
      <c r="E41" s="228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I44" s="336" t="n">
        <f aca="false">((A41*(B35-1))+D32)/B35</f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9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3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16850.004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40526</v>
      </c>
      <c r="C67" s="199"/>
      <c r="D67" s="199"/>
      <c r="E67" s="200"/>
      <c r="F67" s="67"/>
      <c r="G67" s="198" t="s">
        <v>27</v>
      </c>
      <c r="H67" s="36" t="n">
        <f aca="false">G18</f>
        <v>40526</v>
      </c>
      <c r="I67" s="199"/>
      <c r="J67" s="199"/>
      <c r="K67" s="200"/>
      <c r="L67" s="67"/>
      <c r="M67" s="198" t="s">
        <v>27</v>
      </c>
      <c r="N67" s="36" t="n">
        <f aca="false">G18</f>
        <v>40526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1179.50028</v>
      </c>
      <c r="C70" s="199" t="n">
        <v>10000</v>
      </c>
      <c r="D70" s="36" t="n">
        <f aca="false">B70-A149</f>
        <v>1179.50028</v>
      </c>
      <c r="E70" s="200" t="n">
        <f aca="false">D70/12</f>
        <v>98.29169</v>
      </c>
      <c r="F70" s="67"/>
      <c r="G70" s="262" t="s">
        <v>103</v>
      </c>
      <c r="H70" s="69" t="n">
        <f aca="false">H67*H69</f>
        <v>2836.82</v>
      </c>
      <c r="I70" s="199"/>
      <c r="J70" s="36" t="n">
        <f aca="false">H70-G151</f>
        <v>2836.82</v>
      </c>
      <c r="K70" s="200"/>
      <c r="L70" s="67"/>
      <c r="M70" s="262" t="s">
        <v>103</v>
      </c>
      <c r="N70" s="69" t="n">
        <f aca="false">N67*N69</f>
        <v>2836.82</v>
      </c>
      <c r="O70" s="199"/>
      <c r="P70" s="36" t="n">
        <f aca="false">N70-M151</f>
        <v>2836.82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202.63</v>
      </c>
      <c r="I73" s="199"/>
      <c r="J73" s="36"/>
      <c r="K73" s="200"/>
      <c r="L73" s="67"/>
      <c r="M73" s="262" t="s">
        <v>106</v>
      </c>
      <c r="N73" s="69" t="n">
        <f aca="false">N67*N72</f>
        <v>202.63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0.0084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339" t="s">
        <v>289</v>
      </c>
      <c r="B80" s="340" t="n">
        <v>0</v>
      </c>
      <c r="C80" s="199"/>
      <c r="D80" s="199"/>
      <c r="E80" s="333" t="n">
        <f aca="false">E79+D82</f>
        <v>614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341" t="s">
        <v>290</v>
      </c>
      <c r="B81" s="342" t="n">
        <v>0</v>
      </c>
      <c r="C81" s="199"/>
      <c r="D81" s="199"/>
      <c r="E81" s="200" t="n">
        <f aca="false">E80/12</f>
        <v>51.1666666666667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0</v>
      </c>
      <c r="C82" s="199"/>
      <c r="D82" s="36" t="n">
        <f aca="false">IF(A50="YES",0,B82)</f>
        <v>0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2499.38263294118</v>
      </c>
      <c r="C87" s="199"/>
      <c r="D87" s="199"/>
      <c r="E87" s="200"/>
      <c r="F87" s="67"/>
      <c r="G87" s="276" t="s">
        <v>115</v>
      </c>
      <c r="H87" s="277" t="n">
        <f aca="false">SUM(J70:J86)</f>
        <v>5990.40333333333</v>
      </c>
      <c r="I87" s="199"/>
      <c r="J87" s="199"/>
      <c r="K87" s="200"/>
      <c r="L87" s="67"/>
      <c r="M87" s="276" t="s">
        <v>115</v>
      </c>
      <c r="N87" s="277" t="n">
        <f aca="false">SUM(P70:P86)</f>
        <v>5950.82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208.281886078431</v>
      </c>
      <c r="C88" s="199"/>
      <c r="D88" s="199"/>
      <c r="E88" s="200"/>
      <c r="F88" s="67"/>
      <c r="G88" s="198" t="s">
        <v>116</v>
      </c>
      <c r="H88" s="37" t="n">
        <f aca="false">H87/H29</f>
        <v>499.200277777778</v>
      </c>
      <c r="I88" s="199"/>
      <c r="J88" s="199"/>
      <c r="K88" s="200"/>
      <c r="L88" s="67"/>
      <c r="M88" s="198" t="s">
        <v>116</v>
      </c>
      <c r="N88" s="37" t="n">
        <f aca="false">N87/H29</f>
        <v>495.901666666667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8511.38263294118</v>
      </c>
      <c r="C91" s="199"/>
      <c r="D91" s="199"/>
      <c r="E91" s="200"/>
      <c r="F91" s="67"/>
      <c r="G91" s="265" t="s">
        <v>127</v>
      </c>
      <c r="H91" s="31" t="n">
        <f aca="false">((H89*H29)+H87)*1.2</f>
        <v>14402.884</v>
      </c>
      <c r="I91" s="199"/>
      <c r="J91" s="199"/>
      <c r="K91" s="200"/>
      <c r="L91" s="67"/>
      <c r="M91" s="265" t="s">
        <v>127</v>
      </c>
      <c r="N91" s="31" t="n">
        <f aca="false">((N89*H29)+N87)</f>
        <v>11962.82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72.1012647405263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101.674251714401</v>
      </c>
      <c r="I92" s="199"/>
      <c r="J92" s="199"/>
      <c r="K92" s="200"/>
      <c r="L92" s="67"/>
      <c r="M92" s="198" t="s">
        <v>128</v>
      </c>
      <c r="N92" s="37" t="n">
        <f aca="false">(N91/(1-N76))*N76</f>
        <v>101.338935054457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8583.4838976817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16504.5582517144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14064.1589350545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715.290324806809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715.290324806809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352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362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0</v>
      </c>
      <c r="C111" s="284"/>
      <c r="D111" s="109" t="s">
        <v>363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0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1000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3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3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715.290324806809</v>
      </c>
      <c r="B134" s="290" t="n">
        <f aca="false">IF(A111="YES",B95,0)</f>
        <v>0</v>
      </c>
      <c r="C134" s="295"/>
      <c r="D134" s="290" t="n">
        <f aca="false">B97</f>
        <v>715.290324806809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Terminal pause with 9 down </v>
      </c>
      <c r="B137" s="42" t="n">
        <f aca="false">B96*B63</f>
        <v>6437.61292326128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6437.61292326128</v>
      </c>
      <c r="B140" s="42" t="n">
        <f aca="false">E120</f>
        <v>0</v>
      </c>
      <c r="C140" s="199"/>
      <c r="D140" s="303" t="n">
        <f aca="false">B64</f>
        <v>3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715.290324806809</v>
      </c>
      <c r="B143" s="42" t="n">
        <f aca="false">IF(A111="YES",B95,0)</f>
        <v>0</v>
      </c>
      <c r="C143" s="199"/>
      <c r="D143" s="42" t="n">
        <f aca="false">B97</f>
        <v>715.290324806809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168.858333333333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168.858333333333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24.3156</v>
      </c>
      <c r="B146" s="309" t="n">
        <f aca="false">G18*0.000002*100</f>
        <v>8.1052</v>
      </c>
      <c r="C146" s="310"/>
      <c r="D146" s="309" t="n">
        <f aca="false">A146+B146</f>
        <v>32.4208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0</v>
      </c>
      <c r="H148" s="42" t="n">
        <f aca="false">G108-100</f>
        <v>139.988</v>
      </c>
      <c r="I148" s="42"/>
      <c r="J148" s="42" t="n">
        <f aca="false">(H145+J145+G148+H148)-H151</f>
        <v>1388.84633333333</v>
      </c>
      <c r="K148" s="107"/>
      <c r="L148" s="67"/>
      <c r="M148" s="113" t="n">
        <f aca="false">IF(M111="YES",((A41*N111)*0.1)*(M133),0)</f>
        <v>0</v>
      </c>
      <c r="N148" s="42" t="n">
        <f aca="false">M108-100</f>
        <v>99.99</v>
      </c>
      <c r="O148" s="42"/>
      <c r="P148" s="42" t="n">
        <f aca="false">(N145+P145+M148+N148)-N151</f>
        <v>1348.84833333333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0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470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715.290324806809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715.290324806809</v>
      </c>
      <c r="B177" s="290" t="n">
        <f aca="false">IF(A111="YES",B95,0)</f>
        <v>0</v>
      </c>
      <c r="C177" s="295"/>
      <c r="D177" s="290" t="n">
        <f aca="false">B91</f>
        <v>8511.38263294118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Terminal pause with 9 down </v>
      </c>
      <c r="B180" s="42" t="n">
        <f aca="false">B96*B63</f>
        <v>6437.61292326128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6437.61292326128</v>
      </c>
      <c r="B183" s="42" t="n">
        <f aca="false">E120</f>
        <v>0</v>
      </c>
      <c r="C183" s="199"/>
      <c r="D183" s="303" t="n">
        <f aca="false">B64</f>
        <v>3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715.290324806809</v>
      </c>
      <c r="B186" s="42" t="n">
        <f aca="false">IF(A111="YES",B95,0)</f>
        <v>0</v>
      </c>
      <c r="C186" s="199"/>
      <c r="D186" s="42" t="n">
        <f aca="false">B97</f>
        <v>715.290324806809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29.17872</v>
      </c>
      <c r="B189" s="309" t="n">
        <f aca="false">G18*0.000002*1.2*100</f>
        <v>9.72624</v>
      </c>
      <c r="C189" s="199"/>
      <c r="D189" s="309" t="n">
        <f aca="false">A189+B189</f>
        <v>38.90496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0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20</v>
      </c>
      <c r="B200" s="42" t="n">
        <f aca="false">(A154+B154+D154+A157)*(A149/B70)</f>
        <v>0</v>
      </c>
      <c r="C200" s="42"/>
      <c r="D200" s="42" t="n">
        <f aca="false">D157</f>
        <v>470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1179.50028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280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1209.50028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1179.50028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1209.50028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72.1012647405263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65 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B223" activeCellId="0" sqref="B223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0</v>
      </c>
      <c r="B41" s="224" t="str">
        <f aca="false">IF(B38="YES",D38+A41,D38)</f>
        <v>500</v>
      </c>
      <c r="C41" s="224"/>
      <c r="D41" s="228" t="n">
        <v>6000</v>
      </c>
      <c r="E41" s="228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I44" s="336" t="n">
        <f aca="false">((A41*(B35-1))+D32)/B35</f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16850.004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40526</v>
      </c>
      <c r="C67" s="199"/>
      <c r="D67" s="199"/>
      <c r="E67" s="200"/>
      <c r="F67" s="67"/>
      <c r="G67" s="198" t="s">
        <v>27</v>
      </c>
      <c r="H67" s="36" t="n">
        <f aca="false">G18</f>
        <v>40526</v>
      </c>
      <c r="I67" s="199"/>
      <c r="J67" s="199"/>
      <c r="K67" s="200"/>
      <c r="L67" s="67"/>
      <c r="M67" s="198" t="s">
        <v>27</v>
      </c>
      <c r="N67" s="36" t="n">
        <f aca="false">G18</f>
        <v>40526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1179.50028</v>
      </c>
      <c r="C70" s="199" t="n">
        <v>10000</v>
      </c>
      <c r="D70" s="36" t="n">
        <f aca="false">B70-A149</f>
        <v>1179.50028</v>
      </c>
      <c r="E70" s="200" t="n">
        <f aca="false">D70/12</f>
        <v>98.29169</v>
      </c>
      <c r="F70" s="67"/>
      <c r="G70" s="262" t="s">
        <v>103</v>
      </c>
      <c r="H70" s="69" t="n">
        <f aca="false">H67*H69</f>
        <v>2836.82</v>
      </c>
      <c r="I70" s="199"/>
      <c r="J70" s="36" t="n">
        <f aca="false">H70-G151</f>
        <v>2836.82</v>
      </c>
      <c r="K70" s="200"/>
      <c r="L70" s="67"/>
      <c r="M70" s="262" t="s">
        <v>103</v>
      </c>
      <c r="N70" s="69" t="n">
        <f aca="false">N67*N69</f>
        <v>2836.82</v>
      </c>
      <c r="O70" s="199"/>
      <c r="P70" s="36" t="n">
        <f aca="false">N70-M151</f>
        <v>2836.82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202.63</v>
      </c>
      <c r="I73" s="199"/>
      <c r="J73" s="36"/>
      <c r="K73" s="200"/>
      <c r="L73" s="67"/>
      <c r="M73" s="262" t="s">
        <v>106</v>
      </c>
      <c r="N73" s="69" t="n">
        <f aca="false">N67*N72</f>
        <v>202.63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0.0084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928.166666666667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77.3472222222222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314.166666666667</v>
      </c>
      <c r="C82" s="199"/>
      <c r="D82" s="36" t="n">
        <f aca="false">IF(A50="YES",0,B82)</f>
        <v>314.166666666667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0</v>
      </c>
      <c r="C83" s="199"/>
      <c r="D83" s="36" t="n">
        <f aca="false">B83</f>
        <v>0</v>
      </c>
      <c r="E83" s="200" t="n">
        <f aca="false">D83/12</f>
        <v>0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0</v>
      </c>
      <c r="C84" s="199"/>
      <c r="D84" s="36" t="n">
        <f aca="false">B84</f>
        <v>0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2107.66694666667</v>
      </c>
      <c r="C87" s="199"/>
      <c r="D87" s="199"/>
      <c r="E87" s="200"/>
      <c r="F87" s="67"/>
      <c r="G87" s="276" t="s">
        <v>115</v>
      </c>
      <c r="H87" s="277" t="n">
        <f aca="false">SUM(J70:J86)</f>
        <v>5990.40333333333</v>
      </c>
      <c r="I87" s="199"/>
      <c r="J87" s="199"/>
      <c r="K87" s="200"/>
      <c r="L87" s="67"/>
      <c r="M87" s="276" t="s">
        <v>115</v>
      </c>
      <c r="N87" s="277" t="n">
        <f aca="false">SUM(P70:P86)</f>
        <v>5950.82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175.638912222222</v>
      </c>
      <c r="C88" s="199"/>
      <c r="D88" s="199"/>
      <c r="E88" s="200"/>
      <c r="F88" s="67"/>
      <c r="G88" s="198" t="s">
        <v>116</v>
      </c>
      <c r="H88" s="37" t="n">
        <f aca="false">H87/H29</f>
        <v>499.200277777778</v>
      </c>
      <c r="I88" s="199"/>
      <c r="J88" s="199"/>
      <c r="K88" s="200"/>
      <c r="L88" s="67"/>
      <c r="M88" s="198" t="s">
        <v>116</v>
      </c>
      <c r="N88" s="37" t="n">
        <f aca="false">N87/H29</f>
        <v>495.901666666667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((B89*H29)+B87)*1.2</f>
        <v>9743.600336</v>
      </c>
      <c r="C91" s="199"/>
      <c r="D91" s="199"/>
      <c r="E91" s="200"/>
      <c r="F91" s="67"/>
      <c r="G91" s="265" t="s">
        <v>127</v>
      </c>
      <c r="H91" s="31" t="n">
        <f aca="false">((H89*H29)+H87)*1.2</f>
        <v>14402.884</v>
      </c>
      <c r="I91" s="199"/>
      <c r="J91" s="199"/>
      <c r="K91" s="200"/>
      <c r="L91" s="67"/>
      <c r="M91" s="265" t="s">
        <v>127</v>
      </c>
      <c r="N91" s="31" t="n">
        <f aca="false">((N89*H29)+N87)</f>
        <v>11962.82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68.7829793787818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101.674251714401</v>
      </c>
      <c r="I92" s="199"/>
      <c r="J92" s="199"/>
      <c r="K92" s="200"/>
      <c r="L92" s="67"/>
      <c r="M92" s="198" t="s">
        <v>128</v>
      </c>
      <c r="N92" s="37" t="n">
        <f aca="false">(N91/(1-N76))*N76</f>
        <v>101.338935054457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9812.38331537878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16504.5582517144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14064.1589350545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IF(B105=Z104,(((H44*B35)+(H44*B35)*(B111/100))/(B64)),(((H44*B35)+(H44*B35)*(B111/100))/(B63+B64)))*1.2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817.698609614899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817.698609614899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294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239.99</v>
      </c>
      <c r="B108" s="109" t="n">
        <v>0</v>
      </c>
      <c r="C108" s="109"/>
      <c r="D108" s="109" t="n">
        <v>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0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1000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817.698609614899</v>
      </c>
      <c r="B134" s="290" t="n">
        <f aca="false">IF(A111="YES",B95,0)</f>
        <v>0</v>
      </c>
      <c r="C134" s="295"/>
      <c r="D134" s="290" t="n">
        <f aca="false">B97</f>
        <v>817.698609614899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817.698609614899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817.698609614899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817.698609614899</v>
      </c>
      <c r="B143" s="42" t="n">
        <f aca="false">IF(A111="YES",B95,0)</f>
        <v>0</v>
      </c>
      <c r="C143" s="199"/>
      <c r="D143" s="42" t="n">
        <f aca="false">B97</f>
        <v>817.698609614899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168.858333333333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168.858333333333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(G18*0.000006)*1.2*100</f>
        <v>29.17872</v>
      </c>
      <c r="B146" s="309" t="n">
        <f aca="false">G18*0.000002*1.2*100</f>
        <v>9.72624</v>
      </c>
      <c r="C146" s="310"/>
      <c r="D146" s="309" t="n">
        <f aca="false">A146+B146</f>
        <v>38.90496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0</v>
      </c>
      <c r="H148" s="42" t="n">
        <f aca="false">G108-100</f>
        <v>139.988</v>
      </c>
      <c r="I148" s="42"/>
      <c r="J148" s="42" t="n">
        <f aca="false">(H145+J145+G148+H148)-H151</f>
        <v>1388.84633333333</v>
      </c>
      <c r="K148" s="107"/>
      <c r="L148" s="67"/>
      <c r="M148" s="113" t="n">
        <f aca="false">IF(M111="YES",((A41*N111)*0.1)*(M133),0)</f>
        <v>0</v>
      </c>
      <c r="N148" s="42" t="n">
        <f aca="false">M108-100</f>
        <v>99.99</v>
      </c>
      <c r="O148" s="42"/>
      <c r="P148" s="42" t="n">
        <f aca="false">(N145+P145+M148+N148)-N151</f>
        <v>1348.84833333333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0</v>
      </c>
      <c r="C149" s="199"/>
      <c r="D149" s="142" t="n">
        <f aca="false">B108</f>
        <v>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270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817.698609614899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817.698609614899</v>
      </c>
      <c r="B177" s="290" t="n">
        <f aca="false">IF(A111="YES",B95,0)</f>
        <v>0</v>
      </c>
      <c r="C177" s="295"/>
      <c r="D177" s="290" t="n">
        <f aca="false">B91</f>
        <v>9743.600336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817.698609614899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817.698609614899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817.698609614899</v>
      </c>
      <c r="B186" s="42" t="n">
        <f aca="false">IF(A111="YES",B95,0)</f>
        <v>0</v>
      </c>
      <c r="C186" s="199"/>
      <c r="D186" s="42" t="n">
        <f aca="false">B97</f>
        <v>817.698609614899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29.17872</v>
      </c>
      <c r="B189" s="309" t="n">
        <f aca="false">G18*0.000002*1.2*100</f>
        <v>9.72624</v>
      </c>
      <c r="C189" s="310"/>
      <c r="D189" s="309" t="n">
        <f aca="false">A189+B189</f>
        <v>38.90496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0</v>
      </c>
      <c r="C192" s="199"/>
      <c r="D192" s="142" t="n">
        <f aca="false">B108</f>
        <v>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20</v>
      </c>
      <c r="B200" s="42" t="n">
        <f aca="false">(A154+B154+D154+A157)*(A149/B70)</f>
        <v>0</v>
      </c>
      <c r="C200" s="42"/>
      <c r="D200" s="42" t="n">
        <f aca="false">D157</f>
        <v>270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1179.50028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20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949.50028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1179.50028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0</v>
      </c>
      <c r="C221" s="205" t="s">
        <v>236</v>
      </c>
      <c r="D221" s="199"/>
      <c r="E221" s="37" t="n">
        <f aca="false">A200</f>
        <v>20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0</v>
      </c>
      <c r="C223" s="205" t="s">
        <v>231</v>
      </c>
      <c r="D223" s="199"/>
      <c r="E223" s="37" t="n">
        <f aca="false">(B217-B211+D211)</f>
        <v>949.50028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68.7829793787818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290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40526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27.25</v>
      </c>
      <c r="E32" s="211"/>
      <c r="F32" s="67"/>
      <c r="G32" s="212" t="s">
        <v>254</v>
      </c>
      <c r="H32" s="210" t="str">
        <f aca="false">A41</f>
        <v>27.25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527.25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92</v>
      </c>
      <c r="B41" s="224" t="n">
        <f aca="false">IF(B38="YES",D38+A41,D38)</f>
        <v>527.25</v>
      </c>
      <c r="C41" s="224"/>
      <c r="D41" s="228" t="n">
        <v>6000</v>
      </c>
      <c r="E41" s="228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str">
        <f aca="false">H32</f>
        <v>27.25</v>
      </c>
      <c r="I44" s="336" t="n">
        <f aca="false">((A41*(B35-1))+D32)/B35</f>
        <v>27.25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528.25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528.25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16850.004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40526</v>
      </c>
      <c r="C67" s="199"/>
      <c r="D67" s="199"/>
      <c r="E67" s="200"/>
      <c r="F67" s="67"/>
      <c r="G67" s="198" t="s">
        <v>27</v>
      </c>
      <c r="H67" s="36" t="n">
        <f aca="false">G18</f>
        <v>40526</v>
      </c>
      <c r="I67" s="199"/>
      <c r="J67" s="199"/>
      <c r="K67" s="200"/>
      <c r="L67" s="67"/>
      <c r="M67" s="198" t="s">
        <v>27</v>
      </c>
      <c r="N67" s="36" t="n">
        <f aca="false">G18</f>
        <v>40526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1179.50028</v>
      </c>
      <c r="C70" s="199" t="n">
        <v>10000</v>
      </c>
      <c r="D70" s="36" t="n">
        <f aca="false">B70-A149</f>
        <v>1179.50028</v>
      </c>
      <c r="E70" s="200" t="n">
        <f aca="false">D70/12</f>
        <v>98.29169</v>
      </c>
      <c r="F70" s="67"/>
      <c r="G70" s="262" t="s">
        <v>103</v>
      </c>
      <c r="H70" s="69" t="n">
        <f aca="false">H67*H69</f>
        <v>2836.82</v>
      </c>
      <c r="I70" s="199"/>
      <c r="J70" s="36" t="n">
        <f aca="false">H70-G151</f>
        <v>2836.82</v>
      </c>
      <c r="K70" s="200"/>
      <c r="L70" s="67"/>
      <c r="M70" s="262" t="s">
        <v>103</v>
      </c>
      <c r="N70" s="69" t="n">
        <f aca="false">N67*N69</f>
        <v>2836.82</v>
      </c>
      <c r="O70" s="199"/>
      <c r="P70" s="36" t="n">
        <f aca="false">N70-M151</f>
        <v>2836.82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202.63</v>
      </c>
      <c r="I73" s="199"/>
      <c r="J73" s="36"/>
      <c r="K73" s="200"/>
      <c r="L73" s="67"/>
      <c r="M73" s="262" t="s">
        <v>106</v>
      </c>
      <c r="N73" s="69" t="n">
        <f aca="false">N67*N72</f>
        <v>202.63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0.0084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928.166666666667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77.3472222222222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314.166666666667</v>
      </c>
      <c r="C82" s="199"/>
      <c r="D82" s="36" t="n">
        <f aca="false">IF(A50="YES",0,B82)</f>
        <v>314.166666666667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0</v>
      </c>
      <c r="C83" s="199"/>
      <c r="D83" s="36" t="n">
        <f aca="false">B83</f>
        <v>0</v>
      </c>
      <c r="E83" s="200" t="n">
        <f aca="false">D83/12</f>
        <v>0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0</v>
      </c>
      <c r="C84" s="199"/>
      <c r="D84" s="36" t="n">
        <f aca="false">B84</f>
        <v>0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2107.66694666667</v>
      </c>
      <c r="C87" s="199"/>
      <c r="D87" s="199"/>
      <c r="E87" s="200"/>
      <c r="F87" s="67"/>
      <c r="G87" s="276" t="s">
        <v>115</v>
      </c>
      <c r="H87" s="277" t="n">
        <f aca="false">SUM(J70:J86)</f>
        <v>5990.40333333333</v>
      </c>
      <c r="I87" s="199"/>
      <c r="J87" s="199"/>
      <c r="K87" s="200"/>
      <c r="L87" s="67"/>
      <c r="M87" s="276" t="s">
        <v>115</v>
      </c>
      <c r="N87" s="277" t="n">
        <f aca="false">SUM(P70:P86)</f>
        <v>5950.82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175.638912222222</v>
      </c>
      <c r="C88" s="199"/>
      <c r="D88" s="199"/>
      <c r="E88" s="200"/>
      <c r="F88" s="67"/>
      <c r="G88" s="198" t="s">
        <v>116</v>
      </c>
      <c r="H88" s="37" t="n">
        <f aca="false">H87/H29</f>
        <v>499.200277777778</v>
      </c>
      <c r="I88" s="199"/>
      <c r="J88" s="199"/>
      <c r="K88" s="200"/>
      <c r="L88" s="67"/>
      <c r="M88" s="198" t="s">
        <v>116</v>
      </c>
      <c r="N88" s="37" t="n">
        <f aca="false">N87/H29</f>
        <v>495.901666666667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8119.66694666667</v>
      </c>
      <c r="C91" s="199"/>
      <c r="D91" s="199"/>
      <c r="E91" s="200"/>
      <c r="F91" s="67"/>
      <c r="G91" s="265" t="s">
        <v>127</v>
      </c>
      <c r="H91" s="31" t="n">
        <f aca="false">((H89*H29)+H87)*1.2</f>
        <v>14402.884</v>
      </c>
      <c r="I91" s="199"/>
      <c r="J91" s="199"/>
      <c r="K91" s="200"/>
      <c r="L91" s="67"/>
      <c r="M91" s="265" t="s">
        <v>127</v>
      </c>
      <c r="N91" s="31" t="n">
        <f aca="false">((N89*H29)+N87)</f>
        <v>11962.82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68.7829793787818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101.674251714401</v>
      </c>
      <c r="I92" s="199"/>
      <c r="J92" s="199"/>
      <c r="K92" s="200"/>
      <c r="L92" s="67"/>
      <c r="M92" s="198" t="s">
        <v>128</v>
      </c>
      <c r="N92" s="37" t="n">
        <f aca="false">(N91/(1-N76))*N76</f>
        <v>101.338935054457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8188.44992604545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16504.5582517144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14064.1589350545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32.7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682.370827170454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715.070827170454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0</v>
      </c>
      <c r="C108" s="109"/>
      <c r="D108" s="109" t="n">
        <v>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0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1000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682.370827170454</v>
      </c>
      <c r="B134" s="290" t="n">
        <f aca="false">IF(A111="YES",B95,0)</f>
        <v>32.7</v>
      </c>
      <c r="C134" s="295"/>
      <c r="D134" s="290" t="n">
        <f aca="false">B97</f>
        <v>715.070827170454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682.370827170454</v>
      </c>
      <c r="C137" s="199"/>
      <c r="D137" s="42" t="n">
        <f aca="false">IF(A111="YES",B95*B63,0)</f>
        <v>32.7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715.070827170454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682.370827170454</v>
      </c>
      <c r="B143" s="42" t="n">
        <f aca="false">IF(A111="YES",B95,0)</f>
        <v>32.7</v>
      </c>
      <c r="C143" s="199"/>
      <c r="D143" s="42" t="n">
        <f aca="false">B97</f>
        <v>715.070827170454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168.858333333333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168.858333333333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24.3156</v>
      </c>
      <c r="B146" s="309" t="n">
        <f aca="false">G18*0.000002*100</f>
        <v>8.1052</v>
      </c>
      <c r="C146" s="310"/>
      <c r="D146" s="309" t="n">
        <f aca="false">A146+B146</f>
        <v>32.4208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6.54</v>
      </c>
      <c r="H148" s="42" t="n">
        <f aca="false">G108-100</f>
        <v>139.988</v>
      </c>
      <c r="I148" s="42"/>
      <c r="J148" s="42" t="n">
        <f aca="false">(H145+J145+G148+H148)-H151</f>
        <v>1395.38633333333</v>
      </c>
      <c r="K148" s="107"/>
      <c r="L148" s="67"/>
      <c r="M148" s="113" t="n">
        <f aca="false">IF(M111="YES",((A41*N111)*0.1)*(M133),0)</f>
        <v>6.54</v>
      </c>
      <c r="N148" s="42" t="n">
        <f aca="false">M108-100</f>
        <v>99.99</v>
      </c>
      <c r="O148" s="42"/>
      <c r="P148" s="42" t="n">
        <f aca="false">(N145+P145+M148+N148)-N151</f>
        <v>1355.38833333333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0</v>
      </c>
      <c r="C149" s="199"/>
      <c r="D149" s="142" t="n">
        <f aca="false">B108</f>
        <v>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0</v>
      </c>
      <c r="C154" s="42"/>
      <c r="D154" s="42" t="n">
        <f aca="false">IF(A111="YES",(A41/100*B111)*B131,0)*0.1</f>
        <v>6.54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276.54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715.070827170454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682.370827170454</v>
      </c>
      <c r="B177" s="290" t="n">
        <f aca="false">IF(A111="YES",B95,0)</f>
        <v>32.7</v>
      </c>
      <c r="C177" s="295"/>
      <c r="D177" s="290" t="n">
        <f aca="false">B91</f>
        <v>8119.66694666667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682.370827170454</v>
      </c>
      <c r="C180" s="199"/>
      <c r="D180" s="42" t="n">
        <f aca="false">IF(A111="YES",B95*B63,0)</f>
        <v>32.7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715.070827170454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682.370827170454</v>
      </c>
      <c r="B186" s="42" t="n">
        <f aca="false">IF(A111="YES",B95,0)</f>
        <v>32.7</v>
      </c>
      <c r="C186" s="199"/>
      <c r="D186" s="42" t="n">
        <f aca="false">B97</f>
        <v>715.070827170454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24.3156</v>
      </c>
      <c r="B189" s="309" t="n">
        <f aca="false">G18*0.000002*100</f>
        <v>8.1052</v>
      </c>
      <c r="C189" s="310"/>
      <c r="D189" s="309" t="n">
        <f aca="false">A189+B189</f>
        <v>32.4208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0</v>
      </c>
      <c r="C192" s="199"/>
      <c r="D192" s="142" t="n">
        <f aca="false">B108</f>
        <v>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0</v>
      </c>
      <c r="C197" s="42"/>
      <c r="D197" s="42" t="n">
        <f aca="false">IF(A111="YES",(A41/100*B111)*B131,0)*0.1</f>
        <v>6.54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20</v>
      </c>
      <c r="B200" s="42" t="n">
        <f aca="false">(A154+B154+D154+A157)*(A149/B70)</f>
        <v>0</v>
      </c>
      <c r="C200" s="42"/>
      <c r="D200" s="42" t="n">
        <f aca="false">D157</f>
        <v>276.54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1179.50028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85.4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1014.90028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1179.50028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0</v>
      </c>
      <c r="C221" s="205" t="s">
        <v>236</v>
      </c>
      <c r="D221" s="199"/>
      <c r="E221" s="37" t="n">
        <f aca="false">A200</f>
        <v>20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0</v>
      </c>
      <c r="C223" s="205" t="s">
        <v>231</v>
      </c>
      <c r="D223" s="199"/>
      <c r="E223" s="37" t="n">
        <f aca="false">(B217-B211+D211)</f>
        <v>1014.90028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65.4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68.7829793787818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290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46" colorId="64" zoomScale="100" zoomScaleNormal="100" zoomScalePageLayoutView="100" workbookViewId="0">
      <selection pane="topLeft" activeCell="B240" activeCellId="0" sqref="B240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102"/>
      <c r="H1" s="102"/>
      <c r="I1" s="7"/>
      <c r="J1" s="7"/>
    </row>
    <row r="2" customFormat="false" ht="19.7" hidden="false" customHeight="false" outlineLevel="0" collapsed="false">
      <c r="A2" s="9" t="s">
        <v>15</v>
      </c>
      <c r="B2" s="10" t="n">
        <f aca="false">B9+B11</f>
        <v>14375</v>
      </c>
      <c r="C2" s="9" t="s">
        <v>16</v>
      </c>
      <c r="D2" s="10" t="n">
        <f aca="false">C9</f>
        <v>2875</v>
      </c>
      <c r="E2" s="9" t="s">
        <v>17</v>
      </c>
      <c r="F2" s="11" t="n">
        <f aca="false">B13</f>
        <v>0</v>
      </c>
      <c r="G2" s="351"/>
      <c r="H2" s="352"/>
      <c r="I2" s="7"/>
      <c r="J2" s="7"/>
    </row>
    <row r="3" customFormat="false" ht="18.75" hidden="false" customHeight="false" outlineLevel="0" collapsed="false">
      <c r="A3" s="244"/>
      <c r="B3" s="245"/>
      <c r="C3" s="245"/>
      <c r="D3" s="245"/>
      <c r="E3" s="245"/>
      <c r="F3" s="246" t="s">
        <v>10</v>
      </c>
      <c r="G3" s="353"/>
      <c r="H3" s="354"/>
      <c r="I3" s="7"/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17250</v>
      </c>
      <c r="C4" s="247"/>
      <c r="D4" s="247"/>
      <c r="E4" s="247"/>
      <c r="F4" s="248" t="s">
        <v>10</v>
      </c>
      <c r="G4" s="123"/>
      <c r="H4" s="125"/>
      <c r="I4" s="7"/>
      <c r="J4" s="7"/>
    </row>
    <row r="5" customFormat="false" ht="18.75" hidden="false" customHeight="false" outlineLevel="0" collapsed="false">
      <c r="A5" s="67"/>
      <c r="B5" s="67"/>
      <c r="C5" s="67"/>
      <c r="D5" s="67"/>
      <c r="E5" s="67"/>
      <c r="F5" s="67" t="s">
        <v>10</v>
      </c>
      <c r="G5" s="353"/>
      <c r="H5" s="37"/>
      <c r="I5" s="7"/>
      <c r="J5" s="7"/>
    </row>
    <row r="6" customFormat="false" ht="18.75" hidden="false" customHeight="false" outlineLevel="0" collapsed="false">
      <c r="A6" s="67"/>
      <c r="B6" s="67"/>
      <c r="C6" s="67"/>
      <c r="D6" s="67"/>
      <c r="E6" s="67"/>
      <c r="F6" s="67"/>
      <c r="G6" s="146"/>
      <c r="H6" s="37"/>
      <c r="I6" s="7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146"/>
      <c r="H7" s="37"/>
      <c r="I7" s="7"/>
      <c r="J7" s="7"/>
    </row>
    <row r="8" customFormat="false" ht="18.75" hidden="false" customHeight="false" outlineLevel="0" collapsed="false">
      <c r="A8" s="250"/>
      <c r="B8" s="67"/>
      <c r="C8" s="67"/>
      <c r="D8" s="249"/>
      <c r="E8" s="249"/>
      <c r="F8" s="67"/>
      <c r="G8" s="36"/>
      <c r="H8" s="37"/>
      <c r="I8" s="7"/>
      <c r="J8" s="7"/>
      <c r="L8" s="18" t="s">
        <v>17</v>
      </c>
      <c r="M8" s="14" t="n">
        <f aca="false">H13+H14</f>
        <v>0</v>
      </c>
    </row>
    <row r="9" customFormat="false" ht="19.7" hidden="false" customHeight="false" outlineLevel="0" collapsed="false">
      <c r="A9" s="15" t="s">
        <v>21</v>
      </c>
      <c r="B9" s="19" t="n">
        <v>13666.67</v>
      </c>
      <c r="C9" s="14" t="n">
        <f aca="false">B9*0.2</f>
        <v>2875</v>
      </c>
      <c r="D9" s="249"/>
      <c r="E9" s="249"/>
      <c r="F9" s="67"/>
      <c r="G9" s="129"/>
      <c r="H9" s="355"/>
      <c r="I9" s="7"/>
      <c r="J9" s="7"/>
      <c r="K9" s="6" t="s">
        <v>31</v>
      </c>
      <c r="L9" s="14"/>
      <c r="M9" s="14"/>
    </row>
    <row r="10" customFormat="false" ht="18.75" hidden="false" customHeight="false" outlineLevel="0" collapsed="false">
      <c r="A10" s="251"/>
      <c r="B10" s="67"/>
      <c r="C10" s="67"/>
      <c r="D10" s="249"/>
      <c r="E10" s="249"/>
      <c r="F10" s="67"/>
      <c r="G10" s="146"/>
      <c r="H10" s="354"/>
      <c r="I10" s="7"/>
      <c r="J10" s="7"/>
      <c r="K10" s="6" t="s">
        <v>32</v>
      </c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146"/>
      <c r="H11" s="37"/>
      <c r="I11" s="7"/>
      <c r="J11" s="7"/>
      <c r="L11" s="14"/>
      <c r="M11" s="14"/>
    </row>
    <row r="12" customFormat="false" ht="18.75" hidden="false" customHeight="false" outlineLevel="0" collapsed="false">
      <c r="A12" s="251"/>
      <c r="B12" s="67"/>
      <c r="C12" s="67"/>
      <c r="D12" s="249"/>
      <c r="E12" s="249"/>
      <c r="F12" s="67"/>
      <c r="G12" s="146"/>
      <c r="H12" s="354"/>
      <c r="I12" s="7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146"/>
      <c r="H13" s="354"/>
      <c r="I13" s="7"/>
      <c r="J13" s="7"/>
    </row>
    <row r="14" customFormat="false" ht="18.75" hidden="false" customHeight="false" outlineLevel="0" collapsed="false">
      <c r="A14" s="251"/>
      <c r="B14" s="67"/>
      <c r="C14" s="67"/>
      <c r="D14" s="249"/>
      <c r="E14" s="249"/>
      <c r="F14" s="67"/>
      <c r="G14" s="146"/>
      <c r="H14" s="354"/>
      <c r="I14" s="7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14375</v>
      </c>
      <c r="C15" s="14" t="n">
        <f aca="false">SUM(C9:C13)</f>
        <v>2875</v>
      </c>
      <c r="D15" s="249"/>
      <c r="E15" s="249"/>
      <c r="F15" s="67"/>
      <c r="G15" s="146"/>
      <c r="H15" s="356"/>
      <c r="I15" s="7"/>
      <c r="J15" s="21" t="n">
        <f aca="false">H15</f>
        <v>0</v>
      </c>
    </row>
    <row r="16" customFormat="false" ht="18.75" hidden="false" customHeight="false" outlineLevel="0" collapsed="false">
      <c r="A16" s="252"/>
      <c r="B16" s="252"/>
      <c r="C16" s="252"/>
      <c r="D16" s="249"/>
      <c r="E16" s="249"/>
      <c r="F16" s="67"/>
      <c r="G16" s="146"/>
      <c r="H16" s="354"/>
      <c r="I16" s="7"/>
      <c r="J16" s="7"/>
      <c r="Y16" s="23" t="s">
        <v>26</v>
      </c>
    </row>
    <row r="17" customFormat="false" ht="18.75" hidden="false" customHeight="false" outlineLevel="0" collapsed="false">
      <c r="A17" s="252"/>
      <c r="B17" s="252"/>
      <c r="C17" s="252"/>
      <c r="D17" s="249"/>
      <c r="E17" s="249"/>
      <c r="F17" s="67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252"/>
      <c r="B18" s="252"/>
      <c r="C18" s="252"/>
      <c r="D18" s="249"/>
      <c r="E18" s="249"/>
      <c r="F18" s="67"/>
      <c r="G18" s="43"/>
      <c r="H18" s="357"/>
      <c r="I18" s="7"/>
      <c r="J18" s="21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17250</v>
      </c>
      <c r="F19" s="67"/>
      <c r="G19" s="43"/>
      <c r="H19" s="357"/>
      <c r="I19" s="7"/>
      <c r="J19" s="7"/>
      <c r="Z19" s="7" t="s">
        <v>31</v>
      </c>
    </row>
    <row r="20" customFormat="false" ht="18.75" hidden="false" customHeight="false" outlineLevel="0" collapsed="false">
      <c r="A20" s="254"/>
      <c r="B20" s="67"/>
      <c r="C20" s="67"/>
      <c r="D20" s="67"/>
      <c r="E20" s="255"/>
      <c r="F20" s="67"/>
      <c r="G20" s="43"/>
      <c r="H20" s="357"/>
      <c r="I20" s="7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14375</v>
      </c>
      <c r="F21" s="67"/>
      <c r="G21" s="358"/>
      <c r="H21" s="359"/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32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95</v>
      </c>
      <c r="K29" s="360" t="n">
        <v>35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35000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0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/>
      <c r="J32" s="33" t="s">
        <v>49</v>
      </c>
      <c r="K32" s="46" t="n">
        <v>0</v>
      </c>
    </row>
    <row r="33" customFormat="false" ht="34.3" hidden="false" customHeight="false" outlineLevel="0" collapsed="false">
      <c r="A33" s="167" t="n">
        <f aca="false">A52</f>
        <v>36</v>
      </c>
      <c r="B33" s="217" t="n">
        <f aca="false">B51</f>
        <v>10000</v>
      </c>
      <c r="C33" s="36"/>
      <c r="D33" s="36"/>
      <c r="E33" s="361" t="n">
        <f aca="false">K48</f>
        <v>443.85826743972</v>
      </c>
      <c r="F33" s="361"/>
      <c r="G33" s="361"/>
      <c r="H33" s="51"/>
      <c r="I33" s="7"/>
      <c r="J33" s="38" t="s">
        <v>366</v>
      </c>
      <c r="K33" s="52" t="n">
        <f aca="false">E21</f>
        <v>14375</v>
      </c>
      <c r="L33" s="6" t="n">
        <f aca="false">H21-H11+(H16*20%)</f>
        <v>0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0.095</v>
      </c>
    </row>
    <row r="36" customFormat="false" ht="18.75" hidden="false" customHeight="false" outlineLevel="0" collapsed="false">
      <c r="A36" s="171" t="n">
        <f aca="false">K47</f>
        <v>443.85826743972</v>
      </c>
      <c r="B36" s="217" t="str">
        <f aca="false">IF(B26="YES",K42,"0.00")</f>
        <v>0.00</v>
      </c>
      <c r="C36" s="217"/>
      <c r="D36" s="217"/>
      <c r="E36" s="361" t="n">
        <f aca="false">K31</f>
        <v>0</v>
      </c>
      <c r="F36" s="361"/>
      <c r="G36" s="361"/>
      <c r="H36" s="51"/>
      <c r="I36" s="7"/>
      <c r="J36" s="7" t="s">
        <v>63</v>
      </c>
      <c r="K36" s="7" t="n">
        <f aca="false">K29</f>
        <v>36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14375</v>
      </c>
      <c r="L39" s="7" t="n">
        <f aca="false">(L47*K46)+K44</f>
        <v>25909.1715613066</v>
      </c>
      <c r="N39" s="6" t="n">
        <f aca="false">K39-L39</f>
        <v>-11534.1715613066</v>
      </c>
    </row>
    <row r="40" customFormat="false" ht="18.75" hidden="false" customHeight="false" outlineLevel="0" collapsed="false">
      <c r="A40" s="109" t="n">
        <f aca="false">E36*A45/100</f>
        <v>0</v>
      </c>
      <c r="B40" s="109" t="str">
        <f aca="false">IF(B26="YES",K42,"0.00")</f>
        <v>0.00</v>
      </c>
      <c r="C40" s="109"/>
      <c r="D40" s="109"/>
      <c r="E40" s="170" t="n">
        <f aca="false">K32</f>
        <v>0</v>
      </c>
      <c r="F40" s="47"/>
      <c r="G40" s="47"/>
      <c r="H40" s="51"/>
      <c r="J40" s="7" t="s">
        <v>119</v>
      </c>
      <c r="K40" s="7" t="n">
        <f aca="false">(A40)/1.2</f>
        <v>0</v>
      </c>
      <c r="L40" s="7" t="n">
        <f aca="false">K39-L39</f>
        <v>-11534.1715613066</v>
      </c>
      <c r="N40" s="6" t="n">
        <f aca="false">N38-N39</f>
        <v>14445.8515613066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0.00583333333333333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(K32/K36)*C45/100</f>
        <v>0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0</v>
      </c>
      <c r="L44" s="7"/>
    </row>
    <row r="45" customFormat="false" ht="18.75" hidden="false" customHeight="false" outlineLevel="0" collapsed="false">
      <c r="A45" s="65" t="n">
        <v>30</v>
      </c>
      <c r="B45" s="36"/>
      <c r="C45" s="66" t="n">
        <v>100</v>
      </c>
      <c r="D45" s="66"/>
      <c r="E45" s="66"/>
      <c r="F45" s="36"/>
      <c r="G45" s="36"/>
      <c r="H45" s="37"/>
      <c r="J45" s="7" t="s">
        <v>377</v>
      </c>
      <c r="K45" s="7" t="n">
        <f aca="false">(K39-K44)</f>
        <v>14375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32.3864644516332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443.85826743972</v>
      </c>
      <c r="L47" s="7" t="n">
        <f aca="false">L49-K42</f>
        <v>800</v>
      </c>
      <c r="M47" s="6" t="n">
        <f aca="false">K47-L47</f>
        <v>-356.14173256028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443.85826743972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10000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36</v>
      </c>
      <c r="B52" s="78" t="n">
        <f aca="false">K48</f>
        <v>443.85826743972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35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35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35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35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40526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40526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40526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40526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0.095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0.0725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8555.6136559392</v>
      </c>
      <c r="C65" s="36"/>
      <c r="D65" s="36"/>
      <c r="E65" s="27"/>
      <c r="F65" s="27"/>
      <c r="G65" s="27"/>
      <c r="H65" s="37"/>
      <c r="J65" s="60" t="s">
        <v>103</v>
      </c>
      <c r="K65" s="69" t="e">
        <f aca="false">(K89*K59)-(K47*K29)</f>
        <v>#VALUE!</v>
      </c>
      <c r="L65" s="36"/>
      <c r="M65" s="36"/>
      <c r="N65" s="27"/>
      <c r="O65" s="27"/>
      <c r="P65" s="27"/>
      <c r="Q65" s="37"/>
      <c r="S65" s="60" t="s">
        <v>103</v>
      </c>
      <c r="T65" s="69" t="e">
        <f aca="false">(T89*T59)-(K47*K29)</f>
        <v>#VALUE!</v>
      </c>
      <c r="U65" s="36"/>
      <c r="V65" s="36"/>
      <c r="W65" s="27"/>
      <c r="X65" s="27"/>
      <c r="Y65" s="27"/>
      <c r="Z65" s="37"/>
      <c r="AB65" s="60" t="s">
        <v>103</v>
      </c>
      <c r="AC65" s="69" t="e">
        <f aca="false">(AC89*AC59)-(K47*K29)</f>
        <v>#VALUE!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0.015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0.01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0.075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0.01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0.01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206.15004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3039.45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405.26</v>
      </c>
      <c r="U68" s="36"/>
      <c r="V68" s="36"/>
      <c r="W68" s="27"/>
      <c r="X68" s="27"/>
      <c r="Y68" s="27"/>
      <c r="Z68" s="37"/>
      <c r="AB68" s="60" t="s">
        <v>106</v>
      </c>
      <c r="AC68" s="69" t="e">
        <f aca="false">AH158*AC67</f>
        <v>#VALUE!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B73*K29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36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443.85826743972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443.85826743972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443.85826743972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443.85826743972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20615.004</v>
      </c>
      <c r="C81" s="36"/>
      <c r="D81" s="36"/>
      <c r="E81" s="27"/>
      <c r="F81" s="29" t="s">
        <v>118</v>
      </c>
      <c r="G81" s="31" t="n">
        <f aca="false">G158</f>
        <v>20615.004</v>
      </c>
      <c r="H81" s="37"/>
      <c r="J81" s="29" t="s">
        <v>118</v>
      </c>
      <c r="K81" s="31" t="e">
        <f aca="false">P158</f>
        <v>#VALUE!</v>
      </c>
      <c r="L81" s="36"/>
      <c r="M81" s="36"/>
      <c r="N81" s="27"/>
      <c r="O81" s="27"/>
      <c r="P81" s="27"/>
      <c r="Q81" s="37"/>
      <c r="S81" s="29" t="s">
        <v>118</v>
      </c>
      <c r="T81" s="31" t="e">
        <f aca="false">Y158</f>
        <v>#VALUE!</v>
      </c>
      <c r="U81" s="36"/>
      <c r="V81" s="36"/>
      <c r="W81" s="27"/>
      <c r="X81" s="27"/>
      <c r="Y81" s="27"/>
      <c r="Z81" s="37"/>
      <c r="AB81" s="29" t="s">
        <v>118</v>
      </c>
      <c r="AC81" s="31" t="e">
        <f aca="false">AH158</f>
        <v>#VALUE!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0</v>
      </c>
      <c r="C82" s="36"/>
      <c r="D82" s="36"/>
      <c r="E82" s="27"/>
      <c r="F82" s="35" t="s">
        <v>119</v>
      </c>
      <c r="G82" s="37" t="n">
        <f aca="false">IF(A111="YES",A40,0)</f>
        <v>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0.12</v>
      </c>
      <c r="C83" s="36"/>
      <c r="D83" s="36"/>
      <c r="E83" s="27"/>
      <c r="F83" s="35" t="s">
        <v>120</v>
      </c>
      <c r="G83" s="95" t="n">
        <f aca="false">B63</f>
        <v>0.07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0.131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0.131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</v>
      </c>
      <c r="C84" s="36"/>
      <c r="D84" s="36"/>
      <c r="E84" s="27"/>
      <c r="F84" s="35" t="s">
        <v>121</v>
      </c>
      <c r="G84" s="88" t="n">
        <f aca="false">G83/12</f>
        <v>0.00583333333333333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0.0109166666666667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0.0109166666666667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B59</f>
        <v>35</v>
      </c>
      <c r="C85" s="36"/>
      <c r="D85" s="36"/>
      <c r="E85" s="27"/>
      <c r="F85" s="35" t="s">
        <v>122</v>
      </c>
      <c r="G85" s="37" t="n">
        <f aca="false">IF(G82=0,(B59+B58),(B59))</f>
        <v>36</v>
      </c>
      <c r="H85" s="37"/>
      <c r="J85" s="35" t="s">
        <v>122</v>
      </c>
      <c r="K85" s="37" t="n">
        <f aca="false">IF(K82=0,(K59+K58),(K59))</f>
        <v>36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35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35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0</v>
      </c>
      <c r="C86" s="36"/>
      <c r="D86" s="36"/>
      <c r="E86" s="27"/>
      <c r="F86" s="35" t="s">
        <v>123</v>
      </c>
      <c r="G86" s="37" t="n">
        <f aca="false">(G82/((1+G84)^(G85+1)))</f>
        <v>0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0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29.4085800876469</v>
      </c>
      <c r="C87" s="36"/>
      <c r="D87" s="36"/>
      <c r="E87" s="27"/>
      <c r="F87" s="35" t="s">
        <v>124</v>
      </c>
      <c r="G87" s="37" t="n">
        <f aca="false">((1-(1/((1+G84)^G85)))/G84)</f>
        <v>32.3864644516332</v>
      </c>
      <c r="H87" s="37"/>
      <c r="J87" s="35" t="s">
        <v>124</v>
      </c>
      <c r="K87" s="37" t="n">
        <f aca="false">((1-(1/((1+K84)^K85)))/K84)</f>
        <v>25.4888424823874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28.9600651941078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28.9600651941078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20615.004</v>
      </c>
      <c r="C88" s="36"/>
      <c r="D88" s="36"/>
      <c r="E88" s="27"/>
      <c r="F88" s="35" t="s">
        <v>125</v>
      </c>
      <c r="G88" s="37" t="n">
        <f aca="false">G81-G86</f>
        <v>20615.004</v>
      </c>
      <c r="H88" s="37"/>
      <c r="J88" s="35" t="s">
        <v>125</v>
      </c>
      <c r="K88" s="37" t="e">
        <f aca="false">K81-K86</f>
        <v>#VALUE!</v>
      </c>
      <c r="L88" s="36"/>
      <c r="M88" s="36"/>
      <c r="N88" s="27"/>
      <c r="O88" s="27"/>
      <c r="P88" s="27"/>
      <c r="Q88" s="37"/>
      <c r="S88" s="35" t="s">
        <v>125</v>
      </c>
      <c r="T88" s="37" t="e">
        <f aca="false">T81-T86</f>
        <v>#VALUE!</v>
      </c>
      <c r="U88" s="36"/>
      <c r="V88" s="36"/>
      <c r="W88" s="27"/>
      <c r="X88" s="27"/>
      <c r="Y88" s="27"/>
      <c r="Z88" s="37"/>
      <c r="AB88" s="35" t="s">
        <v>125</v>
      </c>
      <c r="AC88" s="37" t="e">
        <f aca="false">AC81-AC86</f>
        <v>#VALUE!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700.986036679118</v>
      </c>
      <c r="C89" s="36"/>
      <c r="D89" s="36"/>
      <c r="E89" s="27"/>
      <c r="F89" s="35" t="s">
        <v>126</v>
      </c>
      <c r="G89" s="37" t="n">
        <f aca="false">(G88/G87)</f>
        <v>636.531475388028</v>
      </c>
      <c r="H89" s="37"/>
      <c r="J89" s="35" t="s">
        <v>126</v>
      </c>
      <c r="K89" s="37" t="e">
        <f aca="false">(K88/K87)</f>
        <v>#VALUE!</v>
      </c>
      <c r="L89" s="36"/>
      <c r="M89" s="36"/>
      <c r="N89" s="27"/>
      <c r="O89" s="27"/>
      <c r="P89" s="27"/>
      <c r="Q89" s="37"/>
      <c r="S89" s="35" t="s">
        <v>126</v>
      </c>
      <c r="T89" s="37" t="e">
        <f aca="false">(T88/T87)</f>
        <v>#VALUE!</v>
      </c>
      <c r="U89" s="36"/>
      <c r="V89" s="36"/>
      <c r="W89" s="27"/>
      <c r="X89" s="27"/>
      <c r="Y89" s="27"/>
      <c r="Z89" s="37"/>
      <c r="AB89" s="35" t="s">
        <v>126</v>
      </c>
      <c r="AC89" s="37" t="e">
        <f aca="false">(AC88/AC87)</f>
        <v>#VALUE!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24534.5112837691</v>
      </c>
      <c r="C90" s="36"/>
      <c r="D90" s="36"/>
      <c r="E90" s="27"/>
      <c r="F90" s="35" t="s">
        <v>127</v>
      </c>
      <c r="G90" s="37" t="n">
        <f aca="false">((G89*(G85))+G77)</f>
        <v>22915.133113969</v>
      </c>
      <c r="H90" s="37"/>
      <c r="J90" s="35" t="s">
        <v>127</v>
      </c>
      <c r="K90" s="37" t="e">
        <f aca="false">((K89*(K85))+K77)</f>
        <v>#VALUE!</v>
      </c>
      <c r="L90" s="36"/>
      <c r="M90" s="36"/>
      <c r="N90" s="27"/>
      <c r="O90" s="27"/>
      <c r="P90" s="27"/>
      <c r="Q90" s="37"/>
      <c r="S90" s="35" t="s">
        <v>127</v>
      </c>
      <c r="T90" s="37" t="e">
        <f aca="false">(T89*(T85))+T77</f>
        <v>#VALUE!</v>
      </c>
      <c r="U90" s="36"/>
      <c r="V90" s="36"/>
      <c r="W90" s="27"/>
      <c r="X90" s="27"/>
      <c r="Y90" s="27"/>
      <c r="Z90" s="37"/>
      <c r="AB90" s="35" t="s">
        <v>127</v>
      </c>
      <c r="AC90" s="37" t="e">
        <f aca="false">(AC89*(AC59))+AC77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e">
        <f aca="false">(K90/(1-K71))*K71</f>
        <v>#VALUE!</v>
      </c>
      <c r="L91" s="36"/>
      <c r="M91" s="36"/>
      <c r="N91" s="27"/>
      <c r="O91" s="27"/>
      <c r="P91" s="27"/>
      <c r="Q91" s="37"/>
      <c r="S91" s="35" t="s">
        <v>128</v>
      </c>
      <c r="T91" s="37" t="e">
        <f aca="false">(T90/(1-T71))*T71</f>
        <v>#VALUE!</v>
      </c>
      <c r="U91" s="36"/>
      <c r="V91" s="36"/>
      <c r="W91" s="27"/>
      <c r="X91" s="27"/>
      <c r="Y91" s="27"/>
      <c r="Z91" s="37"/>
      <c r="AB91" s="35" t="s">
        <v>128</v>
      </c>
      <c r="AC91" s="37" t="e">
        <f aca="false">(AC90/(1-AC71))*AC71</f>
        <v>#VALUE!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24534.5112837691</v>
      </c>
      <c r="C92" s="36"/>
      <c r="D92" s="36"/>
      <c r="E92" s="27"/>
      <c r="F92" s="60" t="s">
        <v>129</v>
      </c>
      <c r="G92" s="69" t="n">
        <f aca="false">(G90+G91)</f>
        <v>22915.133113969</v>
      </c>
      <c r="H92" s="37"/>
      <c r="J92" s="60" t="s">
        <v>129</v>
      </c>
      <c r="K92" s="69" t="e">
        <f aca="false">(K90+K91)</f>
        <v>#VALUE!</v>
      </c>
      <c r="L92" s="36"/>
      <c r="M92" s="36"/>
      <c r="N92" s="27"/>
      <c r="O92" s="27"/>
      <c r="P92" s="27"/>
      <c r="Q92" s="37"/>
      <c r="S92" s="60" t="s">
        <v>129</v>
      </c>
      <c r="T92" s="69" t="e">
        <f aca="false">(T90+T91)</f>
        <v>#VALUE!</v>
      </c>
      <c r="U92" s="36"/>
      <c r="V92" s="36"/>
      <c r="W92" s="27"/>
      <c r="X92" s="27"/>
      <c r="Y92" s="27"/>
      <c r="Z92" s="37"/>
      <c r="AB92" s="60" t="s">
        <v>129</v>
      </c>
      <c r="AC92" s="69" t="e">
        <f aca="false">(AC90+AC91)</f>
        <v>#VALUE!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6" t="str">
        <f aca="false">IF(B26="YES",((E40/B85)*(1+A108)*1.2*(C45/100)),"0")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  <c r="J94" s="92" t="s">
        <v>130</v>
      </c>
      <c r="K94" s="93" t="n">
        <f aca="false">((E40/K85)*(1+J108))*1.2</f>
        <v>0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0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0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(B92/B85)</f>
        <v>700.986036679118</v>
      </c>
      <c r="C95" s="36"/>
      <c r="D95" s="36"/>
      <c r="E95" s="27"/>
      <c r="F95" s="97" t="s">
        <v>131</v>
      </c>
      <c r="G95" s="98" t="n">
        <f aca="false">G92/(G85)</f>
        <v>636.531475388028</v>
      </c>
      <c r="H95" s="37"/>
      <c r="J95" s="97" t="s">
        <v>131</v>
      </c>
      <c r="K95" s="98" t="e">
        <f aca="false">K92/(K85)</f>
        <v>#VALUE!</v>
      </c>
      <c r="L95" s="36"/>
      <c r="M95" s="36"/>
      <c r="N95" s="27"/>
      <c r="O95" s="27"/>
      <c r="P95" s="27"/>
      <c r="Q95" s="37"/>
      <c r="S95" s="97" t="s">
        <v>131</v>
      </c>
      <c r="T95" s="98" t="e">
        <f aca="false">T92/(T85)</f>
        <v>#VALUE!</v>
      </c>
      <c r="U95" s="36"/>
      <c r="V95" s="36"/>
      <c r="W95" s="27"/>
      <c r="X95" s="27"/>
      <c r="Y95" s="27"/>
      <c r="Z95" s="37"/>
      <c r="AB95" s="97" t="s">
        <v>131</v>
      </c>
      <c r="AC95" s="98" t="e">
        <f aca="false">AC92/(AC59)</f>
        <v>#VALUE!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700.986036679118</v>
      </c>
      <c r="C96" s="36"/>
      <c r="D96" s="36"/>
      <c r="E96" s="27"/>
      <c r="F96" s="99" t="s">
        <v>132</v>
      </c>
      <c r="G96" s="100" t="n">
        <f aca="false">G94+G95</f>
        <v>636.531475388028</v>
      </c>
      <c r="H96" s="37"/>
      <c r="J96" s="99" t="s">
        <v>132</v>
      </c>
      <c r="K96" s="100" t="e">
        <f aca="false">(K94+K95)</f>
        <v>#VALUE!</v>
      </c>
      <c r="L96" s="36"/>
      <c r="M96" s="36"/>
      <c r="N96" s="27"/>
      <c r="O96" s="27"/>
      <c r="P96" s="27"/>
      <c r="Q96" s="37"/>
      <c r="S96" s="99" t="s">
        <v>132</v>
      </c>
      <c r="T96" s="100" t="e">
        <f aca="false">T94+T95</f>
        <v>#VALUE!</v>
      </c>
      <c r="U96" s="36"/>
      <c r="V96" s="36"/>
      <c r="W96" s="27"/>
      <c r="X96" s="27"/>
      <c r="Y96" s="27"/>
      <c r="Z96" s="37"/>
      <c r="AB96" s="99" t="s">
        <v>132</v>
      </c>
      <c r="AC96" s="100" t="e">
        <f aca="false">AC94+AC95</f>
        <v>#VALUE!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362" t="s">
        <v>32</v>
      </c>
      <c r="F105" s="362"/>
      <c r="G105" s="362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0.2</v>
      </c>
      <c r="B108" s="109" t="n">
        <v>0</v>
      </c>
      <c r="C108" s="109"/>
      <c r="D108" s="109" t="n">
        <v>0</v>
      </c>
      <c r="E108" s="110" t="n">
        <f aca="false">B83</f>
        <v>0.12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0.131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0.131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400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B9</f>
        <v>14375</v>
      </c>
      <c r="C121" s="44" t="n">
        <v>15625</v>
      </c>
      <c r="D121" s="29" t="n">
        <f aca="false">D3</f>
        <v>0</v>
      </c>
      <c r="E121" s="44" t="n">
        <f aca="false">D121</f>
        <v>0</v>
      </c>
      <c r="F121" s="29" t="n">
        <f aca="false">B11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0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str">
        <f aca="false">F3</f>
        <v> </v>
      </c>
      <c r="P121" s="44" t="str">
        <f aca="false">O121</f>
        <v> </v>
      </c>
      <c r="Q121" s="121" t="n">
        <f aca="false">H3</f>
        <v>0</v>
      </c>
      <c r="S121" s="29" t="s">
        <v>161</v>
      </c>
      <c r="T121" s="29" t="n">
        <f aca="false">B3</f>
        <v>0</v>
      </c>
      <c r="U121" s="44" t="n">
        <f aca="false">T121</f>
        <v>0</v>
      </c>
      <c r="V121" s="29" t="n">
        <f aca="false">D3</f>
        <v>0</v>
      </c>
      <c r="W121" s="44" t="n">
        <f aca="false">V121</f>
        <v>0</v>
      </c>
      <c r="X121" s="29" t="str">
        <f aca="false">F3</f>
        <v> </v>
      </c>
      <c r="Y121" s="44" t="str">
        <f aca="false">X121</f>
        <v> </v>
      </c>
      <c r="Z121" s="121" t="n">
        <f aca="false">H3</f>
        <v>0</v>
      </c>
      <c r="AB121" s="29" t="s">
        <v>161</v>
      </c>
      <c r="AC121" s="29" t="n">
        <f aca="false">B3</f>
        <v>0</v>
      </c>
      <c r="AD121" s="44" t="n">
        <f aca="false">AC121</f>
        <v>0</v>
      </c>
      <c r="AE121" s="29" t="n">
        <f aca="false">D3</f>
        <v>0</v>
      </c>
      <c r="AF121" s="44" t="n">
        <f aca="false">AE121</f>
        <v>0</v>
      </c>
      <c r="AG121" s="29" t="str">
        <f aca="false">F3</f>
        <v> </v>
      </c>
      <c r="AH121" s="44" t="str">
        <f aca="false">AG121</f>
        <v> 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v>0</v>
      </c>
      <c r="D122" s="122" t="n">
        <v>0</v>
      </c>
      <c r="E122" s="123" t="n">
        <v>0</v>
      </c>
      <c r="F122" s="122" t="n">
        <v>0</v>
      </c>
      <c r="G122" s="363" t="n">
        <v>0</v>
      </c>
      <c r="H122" s="125"/>
      <c r="J122" s="35" t="s">
        <v>162</v>
      </c>
      <c r="K122" s="122" t="n">
        <f aca="false">B4</f>
        <v>17250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str">
        <f aca="false">F4</f>
        <v> </v>
      </c>
      <c r="P122" s="363" t="str">
        <f aca="false">O122</f>
        <v> </v>
      </c>
      <c r="Q122" s="125"/>
      <c r="S122" s="35" t="s">
        <v>162</v>
      </c>
      <c r="T122" s="122" t="n">
        <f aca="false">B4</f>
        <v>17250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str">
        <f aca="false">F4</f>
        <v> </v>
      </c>
      <c r="Y122" s="363" t="str">
        <f aca="false">X122</f>
        <v> </v>
      </c>
      <c r="Z122" s="125"/>
      <c r="AB122" s="35" t="s">
        <v>162</v>
      </c>
      <c r="AC122" s="122" t="n">
        <f aca="false">B4</f>
        <v>17250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str">
        <f aca="false">F4</f>
        <v> </v>
      </c>
      <c r="AH122" s="363" t="str">
        <f aca="false">AG122</f>
        <v> 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v>0</v>
      </c>
      <c r="D123" s="35" t="n">
        <v>0</v>
      </c>
      <c r="E123" s="44" t="n">
        <v>0</v>
      </c>
      <c r="F123" s="35" t="n"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str">
        <f aca="false">F5</f>
        <v> </v>
      </c>
      <c r="P123" s="44" t="str">
        <f aca="false">O123</f>
        <v> 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str">
        <f aca="false">F5</f>
        <v> </v>
      </c>
      <c r="Y123" s="44" t="str">
        <f aca="false">X123</f>
        <v> 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str">
        <f aca="false">F5</f>
        <v> </v>
      </c>
      <c r="AH123" s="44" t="str">
        <f aca="false">AG123</f>
        <v> 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0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e">
        <f aca="false">(O121*O122)+O123</f>
        <v>#VALUE!</v>
      </c>
      <c r="P124" s="31" t="e">
        <f aca="false">(P121*P122)+P123</f>
        <v>#VALUE!</v>
      </c>
      <c r="Q124" s="37"/>
      <c r="S124" s="35" t="s">
        <v>164</v>
      </c>
      <c r="T124" s="35" t="n">
        <f aca="false">(T121*T122)+T123</f>
        <v>0</v>
      </c>
      <c r="U124" s="31" t="n">
        <f aca="false">(U121*U122)+U123</f>
        <v>0</v>
      </c>
      <c r="V124" s="35" t="n">
        <f aca="false">(V121*V122)+V123</f>
        <v>0</v>
      </c>
      <c r="W124" s="31" t="n">
        <f aca="false">(W121*W122)+W123</f>
        <v>0</v>
      </c>
      <c r="X124" s="35" t="e">
        <f aca="false">(X121*X122)+X123</f>
        <v>#VALUE!</v>
      </c>
      <c r="Y124" s="31" t="e">
        <f aca="false">(Y121*Y122)+Y123</f>
        <v>#VALUE!</v>
      </c>
      <c r="Z124" s="37"/>
      <c r="AB124" s="35" t="s">
        <v>164</v>
      </c>
      <c r="AC124" s="35" t="n">
        <f aca="false">(AC121*AC122)+AC123</f>
        <v>0</v>
      </c>
      <c r="AD124" s="31" t="n">
        <f aca="false">(AD121*AD122)+AD123</f>
        <v>0</v>
      </c>
      <c r="AE124" s="35" t="n">
        <f aca="false">(AE121*AE122)+AE123</f>
        <v>0</v>
      </c>
      <c r="AF124" s="31" t="n">
        <f aca="false">(AF121*AF122)+AF123</f>
        <v>0</v>
      </c>
      <c r="AG124" s="35" t="e">
        <f aca="false">(AG121*AG122)+AG123</f>
        <v>#VALUE!</v>
      </c>
      <c r="AH124" s="31" t="e">
        <f aca="false">(AH121*AH122)+AH123</f>
        <v>#VALUE!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14375</v>
      </c>
      <c r="C125" s="69" t="n">
        <f aca="false">C121-C124</f>
        <v>16329.17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0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e">
        <f aca="false">O121-O124</f>
        <v>#VALUE!</v>
      </c>
      <c r="P125" s="69" t="e">
        <f aca="false">P121-P124</f>
        <v>#VALUE!</v>
      </c>
      <c r="Q125" s="69"/>
      <c r="S125" s="60" t="s">
        <v>165</v>
      </c>
      <c r="T125" s="60" t="n">
        <f aca="false">T121-T124</f>
        <v>0</v>
      </c>
      <c r="U125" s="69" t="n">
        <f aca="false">U121-U124</f>
        <v>0</v>
      </c>
      <c r="V125" s="60" t="n">
        <f aca="false">V121-V124</f>
        <v>0</v>
      </c>
      <c r="W125" s="69" t="n">
        <f aca="false">W121-W124</f>
        <v>0</v>
      </c>
      <c r="X125" s="60" t="e">
        <f aca="false">X121-X124</f>
        <v>#VALUE!</v>
      </c>
      <c r="Y125" s="69" t="e">
        <f aca="false">Y121-Y124</f>
        <v>#VALUE!</v>
      </c>
      <c r="Z125" s="69"/>
      <c r="AB125" s="60" t="s">
        <v>165</v>
      </c>
      <c r="AC125" s="60" t="n">
        <f aca="false">AC121-AC124</f>
        <v>0</v>
      </c>
      <c r="AD125" s="69" t="n">
        <f aca="false">AD121-AD124</f>
        <v>0</v>
      </c>
      <c r="AE125" s="60" t="n">
        <f aca="false">AE121-AE124</f>
        <v>0</v>
      </c>
      <c r="AF125" s="69" t="n">
        <f aca="false">AF121-AF124</f>
        <v>0</v>
      </c>
      <c r="AG125" s="60" t="e">
        <f aca="false">AG121-AG124</f>
        <v>#VALUE!</v>
      </c>
      <c r="AH125" s="69" t="e">
        <f aca="false">AH121-AH124</f>
        <v>#VALUE!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B121</f>
        <v>14375</v>
      </c>
      <c r="H135" s="144" t="n">
        <f aca="false">C125+E125+G125+H128</f>
        <v>16329.17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0</v>
      </c>
      <c r="Q135" s="144" t="e">
        <f aca="false">L125+N125+P125+Q128</f>
        <v>#VALUE!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0</v>
      </c>
      <c r="Z135" s="144" t="e">
        <f aca="false">U125+W125+Y125+Z128</f>
        <v>#VALUE!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0</v>
      </c>
      <c r="AI135" s="144" t="e">
        <f aca="false">AD125+AF125+AH125+AI128</f>
        <v>#VALUE!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0</v>
      </c>
      <c r="Q136" s="37" t="n">
        <f aca="false">P136</f>
        <v>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0</v>
      </c>
      <c r="Z136" s="37" t="n">
        <f aca="false">Y136</f>
        <v>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0</v>
      </c>
      <c r="AI136" s="37" t="n">
        <f aca="false">AH136</f>
        <v>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2875</v>
      </c>
      <c r="H137" s="37" t="n">
        <f aca="false">(H135+H136)*20%</f>
        <v>3265.834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0</v>
      </c>
      <c r="Q137" s="37" t="e">
        <f aca="false">(Q135+Q136)*20%</f>
        <v>#VALUE!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0</v>
      </c>
      <c r="Z137" s="37" t="e">
        <f aca="false">(Z135+Z136)*20%</f>
        <v>#VALUE!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0</v>
      </c>
      <c r="AI137" s="37" t="e">
        <f aca="false">(AI135+AI136)*20%</f>
        <v>#VALUE!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0</v>
      </c>
      <c r="Q139" s="37" t="n">
        <f aca="false">P139</f>
        <v>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0</v>
      </c>
      <c r="Z139" s="37" t="n">
        <f aca="false">Y139</f>
        <v>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0</v>
      </c>
      <c r="AI139" s="37" t="n">
        <f aca="false">AH139</f>
        <v>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0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0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0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17250</v>
      </c>
      <c r="H141" s="147" t="n">
        <f aca="false">(H135+H136+H139+H140+H137)-H138</f>
        <v>19595.004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0</v>
      </c>
      <c r="Q141" s="147" t="e">
        <f aca="false">(Q135+Q136+Q139+Q140+Q137)-Q138</f>
        <v>#VALUE!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0</v>
      </c>
      <c r="Z141" s="147" t="e">
        <f aca="false">(Z135+Z136+Z139+Z140+Z137)-Z138</f>
        <v>#VALUE!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0</v>
      </c>
      <c r="AI141" s="147" t="e">
        <f aca="false">(AI135+AI136+AI139+AI140+AI137)-AI138</f>
        <v>#VALUE!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17250</v>
      </c>
      <c r="H147" s="154" t="n">
        <f aca="false">H141-((H144*1.2)+(H145*1.2)+(H146*1.2)+(H142*1.2))</f>
        <v>19595.004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0</v>
      </c>
      <c r="Q147" s="154" t="e">
        <f aca="false">Q141-((Q144*1.2)+(Q145*1.2)+(Q146*1.2)+(Q142*1.2))</f>
        <v>#VALUE!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0</v>
      </c>
      <c r="Z147" s="154" t="e">
        <f aca="false">Z141-((Z144*1.2)+(Z145*1.2)+(Z146*1.2)+(Z142*1.2))</f>
        <v>#VALUE!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0</v>
      </c>
      <c r="AI147" s="154" t="e">
        <f aca="false">AI141-((AI144*1.2)+(AI145*1.2)+(AI146*1.2)+(AI142*1.2))</f>
        <v>#VALUE!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1954.17</v>
      </c>
      <c r="I148" s="6" t="n">
        <f aca="false">(H148-G81)/1.2</f>
        <v>-15550.695</v>
      </c>
      <c r="J148" s="145" t="s">
        <v>184</v>
      </c>
      <c r="K148" s="145"/>
      <c r="L148" s="145"/>
      <c r="M148" s="145"/>
      <c r="N148" s="145"/>
      <c r="O148" s="145"/>
      <c r="P148" s="146"/>
      <c r="Q148" s="44" t="e">
        <f aca="false">Q147-P147</f>
        <v>#VALUE!</v>
      </c>
      <c r="S148" s="145" t="s">
        <v>184</v>
      </c>
      <c r="T148" s="145"/>
      <c r="U148" s="145"/>
      <c r="V148" s="145"/>
      <c r="W148" s="145"/>
      <c r="X148" s="145"/>
      <c r="Y148" s="146"/>
      <c r="Z148" s="44" t="e">
        <f aca="false">Z147-Y147</f>
        <v>#VALUE!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e">
        <f aca="false">AI147-AH147</f>
        <v>#VALUE!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400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20615.004</v>
      </c>
      <c r="H158" s="160"/>
      <c r="J158" s="159" t="s">
        <v>192</v>
      </c>
      <c r="K158" s="36"/>
      <c r="L158" s="36"/>
      <c r="M158" s="27"/>
      <c r="N158" s="36"/>
      <c r="O158" s="27"/>
      <c r="P158" s="160" t="e">
        <f aca="false">Q147-P154-P157</f>
        <v>#VALUE!</v>
      </c>
      <c r="Q158" s="160"/>
      <c r="S158" s="159" t="s">
        <v>192</v>
      </c>
      <c r="T158" s="36"/>
      <c r="U158" s="36"/>
      <c r="V158" s="27"/>
      <c r="W158" s="36"/>
      <c r="X158" s="27"/>
      <c r="Y158" s="160" t="e">
        <f aca="false">Z147-Y154-Y157</f>
        <v>#VALUE!</v>
      </c>
      <c r="Z158" s="160"/>
      <c r="AB158" s="159" t="s">
        <v>192</v>
      </c>
      <c r="AC158" s="36"/>
      <c r="AD158" s="36"/>
      <c r="AE158" s="27"/>
      <c r="AF158" s="36"/>
      <c r="AG158" s="27"/>
      <c r="AH158" s="160" t="e">
        <f aca="false">AI147-AH154-AH157</f>
        <v>#VALUE!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165" t="n">
        <f aca="false">B95</f>
        <v>700.986036679118</v>
      </c>
      <c r="B167" s="166" t="str">
        <f aca="false">B94</f>
        <v>0</v>
      </c>
      <c r="C167" s="164"/>
      <c r="D167" s="164"/>
      <c r="E167" s="166" t="n">
        <f aca="false">B96</f>
        <v>700.986036679118</v>
      </c>
      <c r="F167" s="27"/>
      <c r="G167" s="27" t="n">
        <f aca="false">ROUND(G95,2)</f>
        <v>636.53</v>
      </c>
      <c r="H167" s="37"/>
      <c r="J167" s="165" t="e">
        <f aca="false">K95</f>
        <v>#VALUE!</v>
      </c>
      <c r="K167" s="166" t="n">
        <f aca="false">K94</f>
        <v>0</v>
      </c>
      <c r="L167" s="164"/>
      <c r="M167" s="164"/>
      <c r="N167" s="166" t="e">
        <f aca="false">K96</f>
        <v>#VALUE!</v>
      </c>
      <c r="O167" s="27"/>
      <c r="P167" s="27"/>
      <c r="Q167" s="37"/>
      <c r="S167" s="165" t="e">
        <f aca="false">T95</f>
        <v>#VALUE!</v>
      </c>
      <c r="T167" s="166" t="n">
        <f aca="false">T94</f>
        <v>0</v>
      </c>
      <c r="U167" s="164"/>
      <c r="V167" s="164"/>
      <c r="W167" s="166" t="e">
        <f aca="false">T96</f>
        <v>#VALUE!</v>
      </c>
      <c r="X167" s="27"/>
      <c r="Y167" s="27"/>
      <c r="Z167" s="37"/>
      <c r="AB167" s="165" t="e">
        <f aca="false">AC95</f>
        <v>#VALUE!</v>
      </c>
      <c r="AC167" s="166" t="n">
        <f aca="false">AC94</f>
        <v>0</v>
      </c>
      <c r="AD167" s="164"/>
      <c r="AE167" s="164"/>
      <c r="AF167" s="166" t="e">
        <f aca="false">AC96</f>
        <v>#VALUE!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36</v>
      </c>
      <c r="B170" s="168" t="n">
        <f aca="false">K30</f>
        <v>10000</v>
      </c>
      <c r="C170" s="169"/>
      <c r="D170" s="27"/>
      <c r="E170" s="170" t="n">
        <f aca="false">IF(A111="YES",A40,0)</f>
        <v>0</v>
      </c>
      <c r="F170" s="27"/>
      <c r="G170" s="27"/>
      <c r="H170" s="37"/>
      <c r="J170" s="167" t="n">
        <f aca="false">K29</f>
        <v>36</v>
      </c>
      <c r="K170" s="168" t="n">
        <f aca="false">K30</f>
        <v>10000</v>
      </c>
      <c r="L170" s="169"/>
      <c r="M170" s="27"/>
      <c r="N170" s="170" t="n">
        <f aca="false">IF(A111="YES",A40,0)</f>
        <v>0</v>
      </c>
      <c r="O170" s="27"/>
      <c r="P170" s="27"/>
      <c r="Q170" s="37"/>
      <c r="S170" s="167" t="n">
        <f aca="false">K29</f>
        <v>36</v>
      </c>
      <c r="T170" s="168" t="n">
        <f aca="false">K30</f>
        <v>10000</v>
      </c>
      <c r="U170" s="169"/>
      <c r="V170" s="27"/>
      <c r="W170" s="170" t="n">
        <f aca="false">IF(A111="YES",A40,0)</f>
        <v>0</v>
      </c>
      <c r="X170" s="27"/>
      <c r="Y170" s="27"/>
      <c r="Z170" s="37"/>
      <c r="AB170" s="167" t="n">
        <f aca="false">K29</f>
        <v>36</v>
      </c>
      <c r="AC170" s="168" t="n">
        <f aca="false">K30</f>
        <v>10000</v>
      </c>
      <c r="AD170" s="169"/>
      <c r="AE170" s="27"/>
      <c r="AF170" s="170" t="n">
        <f aca="false">IF(A111="YES",A40,0)</f>
        <v>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16329.17</v>
      </c>
      <c r="B173" s="42" t="n">
        <f aca="false">H137</f>
        <v>3265.834</v>
      </c>
      <c r="C173" s="47"/>
      <c r="D173" s="27"/>
      <c r="E173" s="170" t="n">
        <f aca="false">H139+H140</f>
        <v>0</v>
      </c>
      <c r="F173" s="27"/>
      <c r="G173" s="27"/>
      <c r="H173" s="37"/>
      <c r="J173" s="171" t="e">
        <f aca="false">Q141-Q137-Q139-Q140</f>
        <v>#VALUE!</v>
      </c>
      <c r="K173" s="42" t="e">
        <f aca="false">Q137</f>
        <v>#VALUE!</v>
      </c>
      <c r="L173" s="47"/>
      <c r="M173" s="27"/>
      <c r="N173" s="170" t="n">
        <f aca="false">Q139+Q140</f>
        <v>55</v>
      </c>
      <c r="O173" s="27"/>
      <c r="P173" s="27"/>
      <c r="Q173" s="37"/>
      <c r="S173" s="171" t="e">
        <f aca="false">Z141-Z137-Z139-Z140</f>
        <v>#VALUE!</v>
      </c>
      <c r="T173" s="42" t="e">
        <f aca="false">Z137</f>
        <v>#VALUE!</v>
      </c>
      <c r="U173" s="47"/>
      <c r="V173" s="27"/>
      <c r="W173" s="170" t="n">
        <f aca="false">Z139+Z140</f>
        <v>55</v>
      </c>
      <c r="X173" s="27"/>
      <c r="Y173" s="27"/>
      <c r="Z173" s="37"/>
      <c r="AB173" s="171" t="e">
        <f aca="false">AI141-AI137-AI139-AI140</f>
        <v>#VALUE!</v>
      </c>
      <c r="AC173" s="42" t="e">
        <f aca="false">AI137</f>
        <v>#VALUE!</v>
      </c>
      <c r="AD173" s="47"/>
      <c r="AE173" s="27"/>
      <c r="AF173" s="170" t="n">
        <f aca="false">AI139+AI140</f>
        <v>55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H141</f>
        <v>19595.004</v>
      </c>
      <c r="B176" s="42" t="n">
        <f aca="false">B111</f>
        <v>200</v>
      </c>
      <c r="C176" s="42"/>
      <c r="D176" s="27"/>
      <c r="E176" s="42" t="n">
        <f aca="false">E111</f>
        <v>200</v>
      </c>
      <c r="F176" s="27"/>
      <c r="G176" s="27"/>
      <c r="H176" s="107"/>
      <c r="J176" s="171" t="e">
        <f aca="false">Q141</f>
        <v>#VALUE!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e">
        <f aca="false">Z141</f>
        <v>#VALUE!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e">
        <f aca="false">AI141</f>
        <v>#VALUE!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400</v>
      </c>
      <c r="B179" s="42" t="n">
        <f aca="false">G154</f>
        <v>0</v>
      </c>
      <c r="C179" s="42"/>
      <c r="D179" s="27"/>
      <c r="E179" s="42" t="n">
        <f aca="false">G158</f>
        <v>20615.004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e">
        <f aca="false">J176-J179-K179</f>
        <v>#VALUE!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e">
        <f aca="false">S176-S179-T179</f>
        <v>#VALUE!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e">
        <f aca="false">AB176-AB179-AC179</f>
        <v>#VALUE!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(A167*B59)+E185-E179-A185</f>
        <v>4620.49332044825</v>
      </c>
      <c r="B182" s="42" t="n">
        <f aca="false">B114</f>
        <v>239.99</v>
      </c>
      <c r="C182" s="42"/>
      <c r="D182" s="27"/>
      <c r="E182" s="42" t="n">
        <f aca="false">E179+A182+B182+A185</f>
        <v>25485.4873204483</v>
      </c>
      <c r="F182" s="27"/>
      <c r="G182" s="27"/>
      <c r="H182" s="107"/>
      <c r="J182" s="113" t="e">
        <f aca="false">(J167*K59)+N185-N179-J185</f>
        <v>#VALUE!</v>
      </c>
      <c r="K182" s="42" t="n">
        <f aca="false">K114</f>
        <v>239.99</v>
      </c>
      <c r="L182" s="42"/>
      <c r="M182" s="27"/>
      <c r="N182" s="42" t="e">
        <f aca="false">N179+J182+K182+J185</f>
        <v>#VALUE!</v>
      </c>
      <c r="O182" s="27"/>
      <c r="P182" s="27"/>
      <c r="Q182" s="107"/>
      <c r="S182" s="113" t="e">
        <f aca="false">(S167*T59)+W185-W179-S185</f>
        <v>#VALUE!</v>
      </c>
      <c r="T182" s="42" t="n">
        <f aca="false">T114</f>
        <v>199.99</v>
      </c>
      <c r="U182" s="42"/>
      <c r="V182" s="27"/>
      <c r="W182" s="42" t="e">
        <f aca="false">W179+S182+T182+S185</f>
        <v>#VALUE!</v>
      </c>
      <c r="X182" s="27"/>
      <c r="Y182" s="27"/>
      <c r="Z182" s="107"/>
      <c r="AB182" s="113" t="e">
        <f aca="false">(AB167*AC59)+AF185-AF179-AB185</f>
        <v>#VALUE!</v>
      </c>
      <c r="AC182" s="42" t="n">
        <f aca="false">AC114</f>
        <v>239.99</v>
      </c>
      <c r="AD182" s="42"/>
      <c r="AE182" s="27"/>
      <c r="AF182" s="42" t="e">
        <f aca="false">AF179+AB182+AC182+AB185</f>
        <v>#VALUE!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A179+B182</f>
        <v>639.99</v>
      </c>
      <c r="C185" s="42"/>
      <c r="D185" s="27"/>
      <c r="E185" s="42" t="n">
        <f aca="false">IF( E170=0, A185+E167, E170+A185)</f>
        <v>710.986036679118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20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10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10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IF(E105="YES",J18*0.000002,0)</f>
        <v>0</v>
      </c>
      <c r="B188" s="42" t="n">
        <f aca="false">(G158*B67)</f>
        <v>206.15004</v>
      </c>
      <c r="C188" s="36"/>
      <c r="D188" s="36"/>
      <c r="E188" s="42" t="n">
        <f aca="false">(E40*A108)*0.1*C45/100</f>
        <v>0</v>
      </c>
      <c r="F188" s="27"/>
      <c r="G188" s="27"/>
      <c r="H188" s="37"/>
      <c r="J188" s="113" t="n">
        <f aca="false">IF(N105="YES",H15*0.000002,0)</f>
        <v>0</v>
      </c>
      <c r="K188" s="42" t="e">
        <f aca="false">(P158*K67)/1.2</f>
        <v>#VALUE!</v>
      </c>
      <c r="L188" s="36"/>
      <c r="M188" s="36"/>
      <c r="N188" s="42" t="n">
        <f aca="false">(E40*J108)*0.1</f>
        <v>0</v>
      </c>
      <c r="O188" s="27"/>
      <c r="P188" s="27"/>
      <c r="Q188" s="37"/>
      <c r="S188" s="113" t="n">
        <f aca="false">IF(W105="YES",Z15*0.000002,0)</f>
        <v>0</v>
      </c>
      <c r="T188" s="42" t="e">
        <f aca="false">(Y158*T67)/1.2</f>
        <v>#VALUE!</v>
      </c>
      <c r="U188" s="36"/>
      <c r="V188" s="36"/>
      <c r="W188" s="42" t="n">
        <f aca="false">(E40*S108)*0.1</f>
        <v>0</v>
      </c>
      <c r="X188" s="36"/>
      <c r="Y188" s="36"/>
      <c r="Z188" s="37"/>
      <c r="AB188" s="113" t="n">
        <f aca="false">IF(AF105="YES",AI15*0.000002,0)</f>
        <v>0</v>
      </c>
      <c r="AC188" s="42" t="e">
        <f aca="false">(AH158*AC67)/1.2</f>
        <v>#VALUE!</v>
      </c>
      <c r="AD188" s="36"/>
      <c r="AE188" s="36"/>
      <c r="AF188" s="42" t="n">
        <f aca="false">(E40*AB108)*0.1</f>
        <v>0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226.15004</v>
      </c>
      <c r="C191" s="36"/>
      <c r="D191" s="36"/>
      <c r="E191" s="42" t="n">
        <f aca="false">H148</f>
        <v>1954.17</v>
      </c>
      <c r="F191" s="27"/>
      <c r="G191" s="27"/>
      <c r="H191" s="37"/>
      <c r="J191" s="113" t="n">
        <f aca="false">K185-100</f>
        <v>1139.99</v>
      </c>
      <c r="K191" s="42" t="e">
        <f aca="false">K188+N188+J191</f>
        <v>#VALUE!</v>
      </c>
      <c r="L191" s="36"/>
      <c r="M191" s="36"/>
      <c r="N191" s="42" t="e">
        <f aca="false">Q148</f>
        <v>#VALUE!</v>
      </c>
      <c r="O191" s="27"/>
      <c r="P191" s="27"/>
      <c r="Q191" s="37"/>
      <c r="S191" s="113" t="n">
        <f aca="false">T185-100</f>
        <v>1099.99</v>
      </c>
      <c r="T191" s="42" t="e">
        <f aca="false">T188+W188+S191</f>
        <v>#VALUE!</v>
      </c>
      <c r="U191" s="36"/>
      <c r="V191" s="36"/>
      <c r="W191" s="42" t="e">
        <f aca="false">Z148</f>
        <v>#VALUE!</v>
      </c>
      <c r="X191" s="36"/>
      <c r="Y191" s="36"/>
      <c r="Z191" s="37"/>
      <c r="AB191" s="113" t="n">
        <f aca="false">AC185-100</f>
        <v>1139.99</v>
      </c>
      <c r="AC191" s="42" t="e">
        <f aca="false">AC188+AF188+AB191</f>
        <v>#VALUE!</v>
      </c>
      <c r="AD191" s="36"/>
      <c r="AE191" s="36"/>
      <c r="AF191" s="42" t="e">
        <f aca="false">AI148</f>
        <v>#VALUE!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10000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10000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10000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10000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36</v>
      </c>
      <c r="B197" s="78" t="n">
        <f aca="false">B96</f>
        <v>700.986036679118</v>
      </c>
      <c r="C197" s="78"/>
      <c r="D197" s="78"/>
      <c r="E197" s="27"/>
      <c r="F197" s="27"/>
      <c r="G197" s="27"/>
      <c r="H197" s="37"/>
      <c r="J197" s="77" t="n">
        <f aca="false">K29</f>
        <v>36</v>
      </c>
      <c r="K197" s="78" t="e">
        <f aca="false">K96</f>
        <v>#VALUE!</v>
      </c>
      <c r="L197" s="78"/>
      <c r="M197" s="78"/>
      <c r="N197" s="27"/>
      <c r="O197" s="27"/>
      <c r="P197" s="27"/>
      <c r="Q197" s="37"/>
      <c r="S197" s="77" t="n">
        <f aca="false">K29</f>
        <v>36</v>
      </c>
      <c r="T197" s="78" t="e">
        <f aca="false">T96</f>
        <v>#VALUE!</v>
      </c>
      <c r="U197" s="78"/>
      <c r="V197" s="78"/>
      <c r="W197" s="27"/>
      <c r="X197" s="27"/>
      <c r="Y197" s="27"/>
      <c r="Z197" s="37"/>
      <c r="AB197" s="77" t="n">
        <f aca="false">K29</f>
        <v>36</v>
      </c>
      <c r="AC197" s="78" t="e">
        <f aca="false">AC96</f>
        <v>#VALUE!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2300.076</v>
      </c>
      <c r="B201" s="47" t="n">
        <f aca="false">E179+A201+B182+A185</f>
        <v>23165.07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n">
        <f aca="false">A197</f>
        <v>36</v>
      </c>
      <c r="C209" s="164"/>
      <c r="D209" s="164"/>
      <c r="E209" s="164" t="n">
        <f aca="false">B196</f>
        <v>10000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700.986036679118</v>
      </c>
      <c r="B212" s="166" t="str">
        <f aca="false">B167</f>
        <v>0</v>
      </c>
      <c r="C212" s="164"/>
      <c r="D212" s="164"/>
      <c r="E212" s="166" t="n">
        <f aca="false">E167</f>
        <v>700.986036679118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16329.17</v>
      </c>
      <c r="B215" s="42" t="n">
        <f aca="false">B173</f>
        <v>3265.834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19595.004</v>
      </c>
      <c r="B218" s="42" t="n">
        <f aca="false">B176</f>
        <v>200</v>
      </c>
      <c r="C218" s="42"/>
      <c r="D218" s="27"/>
      <c r="E218" s="42" t="n">
        <f aca="false">E176</f>
        <v>200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400</v>
      </c>
      <c r="B221" s="42" t="n">
        <f aca="false">B179</f>
        <v>0</v>
      </c>
      <c r="C221" s="42"/>
      <c r="D221" s="27"/>
      <c r="E221" s="42" t="n">
        <f aca="false">E179</f>
        <v>20615.004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4620.49332044825</v>
      </c>
      <c r="B224" s="42" t="n">
        <f aca="false">B182</f>
        <v>239.99</v>
      </c>
      <c r="C224" s="42"/>
      <c r="D224" s="27"/>
      <c r="E224" s="42" t="n">
        <f aca="false">E182</f>
        <v>25485.4873204483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639.99</v>
      </c>
      <c r="C227" s="42"/>
      <c r="D227" s="27"/>
      <c r="E227" s="42" t="n">
        <f aca="false">B59</f>
        <v>35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700.986036679118</v>
      </c>
      <c r="B230" s="42" t="str">
        <f aca="false">B167</f>
        <v>0</v>
      </c>
      <c r="C230" s="47"/>
      <c r="D230" s="47"/>
      <c r="E230" s="42" t="n">
        <f aca="false">E167</f>
        <v>700.986036679118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0</v>
      </c>
      <c r="B233" s="42" t="n">
        <f aca="false">E185</f>
        <v>710.986036679118</v>
      </c>
      <c r="C233" s="36"/>
      <c r="D233" s="36"/>
      <c r="E233" s="42" t="n">
        <f aca="false">J18*0.000006*100*1.2</f>
        <v>29.17872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IF(E105="YES",J18*0.000002,0)*100*1.2</f>
        <v>0</v>
      </c>
      <c r="B236" s="42" t="n">
        <f aca="false">E233+A236</f>
        <v>29.17872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1954.17</v>
      </c>
      <c r="B240" s="42" t="n">
        <f aca="false">B68</f>
        <v>206.15004</v>
      </c>
      <c r="C240" s="36"/>
      <c r="D240" s="36"/>
      <c r="E240" s="42" t="n">
        <f aca="false">E188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760.320040000001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</v>
      </c>
      <c r="C253" s="182"/>
      <c r="D253" s="183" t="s">
        <v>227</v>
      </c>
      <c r="E253" s="183"/>
      <c r="F253" s="181" t="n">
        <f aca="false">B83</f>
        <v>0.12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2330.41732044825</v>
      </c>
      <c r="C254" s="182"/>
      <c r="D254" s="183" t="s">
        <v>229</v>
      </c>
      <c r="E254" s="183"/>
      <c r="F254" s="185" t="n">
        <f aca="false">F261+F267+F269+B270+B271</f>
        <v>206.15004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2144.26728044825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0.12</v>
      </c>
      <c r="C260" s="47"/>
      <c r="D260" s="156" t="s">
        <v>228</v>
      </c>
      <c r="E260" s="156"/>
      <c r="F260" s="135" t="n">
        <f aca="false">B254</f>
        <v>2330.41732044825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</v>
      </c>
      <c r="C261" s="36"/>
      <c r="D261" s="156" t="s">
        <v>234</v>
      </c>
      <c r="E261" s="156"/>
      <c r="F261" s="142" t="n">
        <f aca="false">B68</f>
        <v>206.15004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2144.26728044825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  <c r="J271" s="6" t="n">
        <v>4</v>
      </c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60">
    <mergeCell ref="A1:F1"/>
    <mergeCell ref="D7:E18"/>
    <mergeCell ref="A16:C18"/>
    <mergeCell ref="A19:D19"/>
    <mergeCell ref="A21:D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B105 K105 N105 T105 W105 AC105 AF105 B108:D108 K108:M108 T108:V108 AC108:AE108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 A111" type="list">
      <formula1>HirePurchaseNonRegulated!$K$9:$K$10</formula1>
      <formula2>0</formula2>
    </dataValidation>
    <dataValidation allowBlank="true" errorStyle="stop" operator="between" showDropDown="false" showErrorMessage="true" showInputMessage="false" sqref="B70" type="list">
      <formula1>HirePurchaseNonRegulated!$K$9:$K$10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B68" activeCellId="0" sqref="B68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7.25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102"/>
      <c r="H1" s="102"/>
      <c r="I1" s="7"/>
      <c r="J1" s="7"/>
    </row>
    <row r="2" customFormat="false" ht="19.7" hidden="false" customHeight="fals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351"/>
      <c r="H2" s="352"/>
      <c r="I2" s="7"/>
      <c r="J2" s="7"/>
    </row>
    <row r="3" customFormat="false" ht="18.75" hidden="false" customHeight="false" outlineLevel="0" collapsed="false">
      <c r="A3" s="244"/>
      <c r="B3" s="245"/>
      <c r="C3" s="245"/>
      <c r="D3" s="245"/>
      <c r="E3" s="245"/>
      <c r="F3" s="246" t="s">
        <v>10</v>
      </c>
      <c r="G3" s="353"/>
      <c r="H3" s="354"/>
      <c r="I3" s="7"/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123"/>
      <c r="H4" s="125"/>
      <c r="I4" s="7"/>
      <c r="J4" s="7"/>
    </row>
    <row r="5" customFormat="false" ht="18.75" hidden="false" customHeight="false" outlineLevel="0" collapsed="false">
      <c r="A5" s="67"/>
      <c r="B5" s="67"/>
      <c r="C5" s="67"/>
      <c r="D5" s="67"/>
      <c r="E5" s="67"/>
      <c r="F5" s="67" t="s">
        <v>10</v>
      </c>
      <c r="G5" s="353"/>
      <c r="H5" s="37"/>
      <c r="I5" s="7"/>
      <c r="J5" s="7"/>
    </row>
    <row r="6" customFormat="false" ht="18.75" hidden="false" customHeight="false" outlineLevel="0" collapsed="false">
      <c r="A6" s="67"/>
      <c r="B6" s="67"/>
      <c r="C6" s="67"/>
      <c r="D6" s="67"/>
      <c r="E6" s="67"/>
      <c r="F6" s="67"/>
      <c r="G6" s="146"/>
      <c r="H6" s="37"/>
      <c r="I6" s="7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146"/>
      <c r="H7" s="37"/>
      <c r="I7" s="7"/>
      <c r="J7" s="7"/>
    </row>
    <row r="8" customFormat="false" ht="18.75" hidden="false" customHeight="false" outlineLevel="0" collapsed="false">
      <c r="A8" s="250"/>
      <c r="B8" s="67"/>
      <c r="C8" s="67"/>
      <c r="D8" s="249"/>
      <c r="E8" s="249"/>
      <c r="F8" s="67"/>
      <c r="G8" s="36"/>
      <c r="H8" s="37"/>
      <c r="I8" s="7"/>
      <c r="J8" s="7"/>
      <c r="L8" s="18" t="s">
        <v>17</v>
      </c>
      <c r="M8" s="14" t="n">
        <f aca="false">H13+H14</f>
        <v>0</v>
      </c>
    </row>
    <row r="9" customFormat="false" ht="19.7" hidden="false" customHeight="fals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129"/>
      <c r="H9" s="355"/>
      <c r="I9" s="7"/>
      <c r="J9" s="7"/>
      <c r="K9" s="6" t="s">
        <v>31</v>
      </c>
      <c r="L9" s="14"/>
      <c r="M9" s="14"/>
    </row>
    <row r="10" customFormat="false" ht="18.75" hidden="false" customHeight="false" outlineLevel="0" collapsed="false">
      <c r="A10" s="251"/>
      <c r="B10" s="67"/>
      <c r="C10" s="67"/>
      <c r="D10" s="249"/>
      <c r="E10" s="249"/>
      <c r="F10" s="67"/>
      <c r="G10" s="146"/>
      <c r="H10" s="354"/>
      <c r="I10" s="7"/>
      <c r="J10" s="7"/>
      <c r="K10" s="6" t="s">
        <v>32</v>
      </c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146"/>
      <c r="H11" s="37"/>
      <c r="I11" s="7"/>
      <c r="J11" s="7"/>
      <c r="L11" s="14"/>
      <c r="M11" s="14"/>
    </row>
    <row r="12" customFormat="false" ht="18.75" hidden="false" customHeight="false" outlineLevel="0" collapsed="false">
      <c r="A12" s="251"/>
      <c r="B12" s="67"/>
      <c r="C12" s="67"/>
      <c r="D12" s="249"/>
      <c r="E12" s="249"/>
      <c r="F12" s="67"/>
      <c r="G12" s="146"/>
      <c r="H12" s="354"/>
      <c r="I12" s="7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146"/>
      <c r="H13" s="354"/>
      <c r="I13" s="7"/>
      <c r="J13" s="7"/>
    </row>
    <row r="14" customFormat="false" ht="18.75" hidden="false" customHeight="false" outlineLevel="0" collapsed="false">
      <c r="A14" s="251"/>
      <c r="B14" s="67"/>
      <c r="C14" s="67"/>
      <c r="D14" s="249"/>
      <c r="E14" s="249"/>
      <c r="F14" s="67"/>
      <c r="G14" s="146"/>
      <c r="H14" s="354"/>
      <c r="I14" s="7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146"/>
      <c r="H15" s="356"/>
      <c r="I15" s="7"/>
      <c r="J15" s="21" t="n">
        <f aca="false">H15</f>
        <v>0</v>
      </c>
    </row>
    <row r="16" customFormat="false" ht="18.75" hidden="false" customHeight="false" outlineLevel="0" collapsed="false">
      <c r="A16" s="252"/>
      <c r="B16" s="252"/>
      <c r="C16" s="252"/>
      <c r="D16" s="249"/>
      <c r="E16" s="249"/>
      <c r="F16" s="67"/>
      <c r="G16" s="146"/>
      <c r="H16" s="354"/>
      <c r="I16" s="7"/>
      <c r="J16" s="7"/>
      <c r="Y16" s="23" t="s">
        <v>26</v>
      </c>
    </row>
    <row r="17" customFormat="false" ht="18.75" hidden="false" customHeight="false" outlineLevel="0" collapsed="false">
      <c r="A17" s="252"/>
      <c r="B17" s="252"/>
      <c r="C17" s="252"/>
      <c r="D17" s="249"/>
      <c r="E17" s="249"/>
      <c r="F17" s="67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252"/>
      <c r="B18" s="252"/>
      <c r="C18" s="252"/>
      <c r="D18" s="249"/>
      <c r="E18" s="249"/>
      <c r="F18" s="67"/>
      <c r="G18" s="43"/>
      <c r="H18" s="357"/>
      <c r="I18" s="7"/>
      <c r="J18" s="21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43"/>
      <c r="H19" s="357"/>
      <c r="I19" s="7"/>
      <c r="J19" s="7"/>
      <c r="Z19" s="7" t="s">
        <v>31</v>
      </c>
    </row>
    <row r="20" customFormat="false" ht="18.75" hidden="false" customHeight="false" outlineLevel="0" collapsed="false">
      <c r="A20" s="254"/>
      <c r="B20" s="67"/>
      <c r="C20" s="67"/>
      <c r="D20" s="67"/>
      <c r="E20" s="255"/>
      <c r="F20" s="67"/>
      <c r="G20" s="43"/>
      <c r="H20" s="357"/>
      <c r="I20" s="7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358"/>
      <c r="H21" s="359"/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32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95</v>
      </c>
      <c r="K29" s="360" t="n">
        <v>24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8000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0</v>
      </c>
    </row>
    <row r="32" customFormat="false" ht="18.75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/>
      <c r="J32" s="33" t="s">
        <v>49</v>
      </c>
      <c r="K32" s="46" t="n">
        <v>0</v>
      </c>
    </row>
    <row r="33" customFormat="false" ht="34.3" hidden="false" customHeight="false" outlineLevel="0" collapsed="false">
      <c r="A33" s="167" t="n">
        <f aca="false">A52</f>
        <v>12</v>
      </c>
      <c r="B33" s="217" t="n">
        <f aca="false">B51</f>
        <v>10000</v>
      </c>
      <c r="C33" s="36"/>
      <c r="D33" s="36"/>
      <c r="E33" s="361" t="n">
        <f aca="false">K48</f>
        <v>1246.48001488384</v>
      </c>
      <c r="F33" s="361"/>
      <c r="G33" s="361"/>
      <c r="H33" s="51"/>
      <c r="I33" s="7"/>
      <c r="J33" s="38" t="s">
        <v>366</v>
      </c>
      <c r="K33" s="52" t="n">
        <f aca="false">E21</f>
        <v>14041.67</v>
      </c>
      <c r="L33" s="6" t="n">
        <f aca="false">H21-H11+(H16*20%)</f>
        <v>0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0.095</v>
      </c>
    </row>
    <row r="36" customFormat="false" ht="18.75" hidden="false" customHeight="false" outlineLevel="0" collapsed="false">
      <c r="A36" s="171" t="n">
        <f aca="false">K47</f>
        <v>1214.98001488384</v>
      </c>
      <c r="B36" s="217" t="n">
        <f aca="false">IF(B26="YES",K42,"0.00")</f>
        <v>31.5</v>
      </c>
      <c r="C36" s="217"/>
      <c r="D36" s="217"/>
      <c r="E36" s="361" t="n">
        <f aca="false">K31</f>
        <v>0</v>
      </c>
      <c r="F36" s="361"/>
      <c r="G36" s="361"/>
      <c r="H36" s="51"/>
      <c r="I36" s="7"/>
      <c r="J36" s="7" t="s">
        <v>63</v>
      </c>
      <c r="K36" s="7" t="n">
        <f aca="false">K29</f>
        <v>12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14041.67</v>
      </c>
      <c r="L39" s="7" t="n">
        <f aca="false">(L47*K46)+K44</f>
        <v>8881.64682777247</v>
      </c>
      <c r="N39" s="6" t="n">
        <f aca="false">K39-L39</f>
        <v>5160.02317222753</v>
      </c>
    </row>
    <row r="40" customFormat="false" ht="18.75" hidden="false" customHeight="false" outlineLevel="0" collapsed="false">
      <c r="A40" s="109" t="n">
        <f aca="false">E36*A45/100</f>
        <v>0</v>
      </c>
      <c r="B40" s="109" t="n">
        <f aca="false">IF(B26="YES",K42,"0.00")</f>
        <v>31.5</v>
      </c>
      <c r="C40" s="109"/>
      <c r="D40" s="109"/>
      <c r="E40" s="170" t="n">
        <f aca="false">K32</f>
        <v>378</v>
      </c>
      <c r="F40" s="47"/>
      <c r="G40" s="47"/>
      <c r="H40" s="51"/>
      <c r="J40" s="7" t="s">
        <v>119</v>
      </c>
      <c r="K40" s="7" t="n">
        <f aca="false">(A40)/1.2</f>
        <v>0</v>
      </c>
      <c r="L40" s="7" t="n">
        <f aca="false">K39-L39</f>
        <v>5160.02317222753</v>
      </c>
      <c r="N40" s="6" t="n">
        <f aca="false">N38-N39</f>
        <v>-2248.34317222753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0.00583333333333333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(K32/K36)*C45/100</f>
        <v>31.5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0</v>
      </c>
      <c r="L44" s="7"/>
    </row>
    <row r="45" customFormat="false" ht="18.75" hidden="false" customHeight="false" outlineLevel="0" collapsed="false">
      <c r="A45" s="65" t="n">
        <v>100</v>
      </c>
      <c r="B45" s="36"/>
      <c r="C45" s="66" t="n">
        <v>100</v>
      </c>
      <c r="D45" s="66"/>
      <c r="E45" s="66"/>
      <c r="F45" s="36"/>
      <c r="G45" s="36"/>
      <c r="H45" s="37"/>
      <c r="J45" s="7" t="s">
        <v>377</v>
      </c>
      <c r="K45" s="7" t="n">
        <f aca="false">(K39-K44)</f>
        <v>14041.67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11.5571201402374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1214.98001488384</v>
      </c>
      <c r="L47" s="7" t="n">
        <f aca="false">L49-K42</f>
        <v>768.5</v>
      </c>
      <c r="M47" s="6" t="n">
        <f aca="false">K47-L47</f>
        <v>446.480014883839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1246.48001488384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10000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12</v>
      </c>
      <c r="B52" s="78" t="n">
        <f aca="false">K48</f>
        <v>1246.48001488384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11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11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11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11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40526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40526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40526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40526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0.0105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0.0105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0.095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0.0425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5437.05569273749</v>
      </c>
      <c r="C65" s="36"/>
      <c r="D65" s="36"/>
      <c r="E65" s="27"/>
      <c r="F65" s="27"/>
      <c r="G65" s="27"/>
      <c r="H65" s="37"/>
      <c r="J65" s="60" t="s">
        <v>103</v>
      </c>
      <c r="K65" s="69" t="e">
        <f aca="false">(K89*K59)-(K47*K29)</f>
        <v>#VALUE!</v>
      </c>
      <c r="L65" s="36"/>
      <c r="M65" s="36"/>
      <c r="N65" s="27"/>
      <c r="O65" s="27"/>
      <c r="P65" s="27"/>
      <c r="Q65" s="37"/>
      <c r="S65" s="60" t="s">
        <v>103</v>
      </c>
      <c r="T65" s="69" t="e">
        <f aca="false">(T89*T59)-(K47*K29)</f>
        <v>#VALUE!</v>
      </c>
      <c r="U65" s="36"/>
      <c r="V65" s="36"/>
      <c r="W65" s="27"/>
      <c r="X65" s="27"/>
      <c r="Y65" s="27"/>
      <c r="Z65" s="37"/>
      <c r="AB65" s="60" t="s">
        <v>103</v>
      </c>
      <c r="AC65" s="69" t="e">
        <f aca="false">(AC89*AC59)-(K47*K29)</f>
        <v>#VALUE!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0.005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0.005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0.005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93.85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2026.3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202.63</v>
      </c>
      <c r="U68" s="36"/>
      <c r="V68" s="36"/>
      <c r="W68" s="27"/>
      <c r="X68" s="27"/>
      <c r="Y68" s="27"/>
      <c r="Z68" s="37"/>
      <c r="AB68" s="60" t="s">
        <v>106</v>
      </c>
      <c r="AC68" s="69" t="e">
        <f aca="false">AH158*AC67</f>
        <v>#VALUE!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B73*K29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36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1214.98001488384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1214.98001488384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1246.48001488384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1246.48001488384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18770</v>
      </c>
      <c r="C81" s="36"/>
      <c r="D81" s="36"/>
      <c r="E81" s="27"/>
      <c r="F81" s="29" t="s">
        <v>118</v>
      </c>
      <c r="G81" s="31" t="n">
        <f aca="false">G158</f>
        <v>18770</v>
      </c>
      <c r="H81" s="37"/>
      <c r="J81" s="29" t="s">
        <v>118</v>
      </c>
      <c r="K81" s="31" t="e">
        <f aca="false">P158</f>
        <v>#VALUE!</v>
      </c>
      <c r="L81" s="36"/>
      <c r="M81" s="36"/>
      <c r="N81" s="27"/>
      <c r="O81" s="27"/>
      <c r="P81" s="27"/>
      <c r="Q81" s="37"/>
      <c r="S81" s="29" t="s">
        <v>118</v>
      </c>
      <c r="T81" s="31" t="e">
        <f aca="false">Y158</f>
        <v>#VALUE!</v>
      </c>
      <c r="U81" s="36"/>
      <c r="V81" s="36"/>
      <c r="W81" s="27"/>
      <c r="X81" s="27"/>
      <c r="Y81" s="27"/>
      <c r="Z81" s="37"/>
      <c r="AB81" s="29" t="s">
        <v>118</v>
      </c>
      <c r="AC81" s="31" t="e">
        <f aca="false">AH158</f>
        <v>#VALUE!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0</v>
      </c>
      <c r="C82" s="36"/>
      <c r="D82" s="36"/>
      <c r="E82" s="27"/>
      <c r="F82" s="35" t="s">
        <v>119</v>
      </c>
      <c r="G82" s="37" t="n">
        <f aca="false">IF(A111="YES",A40,0)</f>
        <v>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0.1305</v>
      </c>
      <c r="C83" s="36"/>
      <c r="D83" s="36"/>
      <c r="E83" s="27"/>
      <c r="F83" s="35" t="s">
        <v>120</v>
      </c>
      <c r="G83" s="95" t="n">
        <f aca="false">B63</f>
        <v>0.07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0.1415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0.1415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0.010875</v>
      </c>
      <c r="C84" s="36"/>
      <c r="D84" s="36"/>
      <c r="E84" s="27"/>
      <c r="F84" s="35" t="s">
        <v>121</v>
      </c>
      <c r="G84" s="88" t="n">
        <f aca="false">G83/12</f>
        <v>0.00583333333333333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0.0117916666666667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0.0117916666666667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B59</f>
        <v>11</v>
      </c>
      <c r="C85" s="36"/>
      <c r="D85" s="36"/>
      <c r="E85" s="27"/>
      <c r="F85" s="35" t="s">
        <v>122</v>
      </c>
      <c r="G85" s="37" t="n">
        <f aca="false">IF(G82=0,(B59+B58),(B59))</f>
        <v>12</v>
      </c>
      <c r="H85" s="37"/>
      <c r="J85" s="35" t="s">
        <v>122</v>
      </c>
      <c r="K85" s="37" t="n">
        <f aca="false">IF(K82=0,(K59+K58),(K59))</f>
        <v>12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11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11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0</v>
      </c>
      <c r="C86" s="36"/>
      <c r="D86" s="36"/>
      <c r="E86" s="27"/>
      <c r="F86" s="35" t="s">
        <v>123</v>
      </c>
      <c r="G86" s="37" t="n">
        <f aca="false">(G82/((1+G84)^(G85+1)))</f>
        <v>0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0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10.3148273595096</v>
      </c>
      <c r="C87" s="36"/>
      <c r="D87" s="36"/>
      <c r="E87" s="27"/>
      <c r="F87" s="35" t="s">
        <v>124</v>
      </c>
      <c r="G87" s="37" t="n">
        <f aca="false">((1-(1/((1+G84)^G85)))/G84)</f>
        <v>11.5571201402374</v>
      </c>
      <c r="H87" s="37"/>
      <c r="J87" s="35" t="s">
        <v>124</v>
      </c>
      <c r="K87" s="37" t="n">
        <f aca="false">((1-(1/((1+K84)^K85)))/K84)</f>
        <v>10.5753412209172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10.2599315027351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10.2599315027351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18770</v>
      </c>
      <c r="C88" s="36"/>
      <c r="D88" s="36"/>
      <c r="E88" s="27"/>
      <c r="F88" s="35" t="s">
        <v>125</v>
      </c>
      <c r="G88" s="37" t="n">
        <f aca="false">G81-G86</f>
        <v>18770</v>
      </c>
      <c r="H88" s="37"/>
      <c r="J88" s="35" t="s">
        <v>125</v>
      </c>
      <c r="K88" s="37" t="e">
        <f aca="false">K81-K86</f>
        <v>#VALUE!</v>
      </c>
      <c r="L88" s="36"/>
      <c r="M88" s="36"/>
      <c r="N88" s="27"/>
      <c r="O88" s="27"/>
      <c r="P88" s="27"/>
      <c r="Q88" s="37"/>
      <c r="S88" s="35" t="s">
        <v>125</v>
      </c>
      <c r="T88" s="37" t="e">
        <f aca="false">T81-T86</f>
        <v>#VALUE!</v>
      </c>
      <c r="U88" s="36"/>
      <c r="V88" s="36"/>
      <c r="W88" s="27"/>
      <c r="X88" s="27"/>
      <c r="Y88" s="27"/>
      <c r="Z88" s="37"/>
      <c r="AB88" s="35" t="s">
        <v>125</v>
      </c>
      <c r="AC88" s="37" t="e">
        <f aca="false">AC81-AC86</f>
        <v>#VALUE!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1819.71053375851</v>
      </c>
      <c r="C89" s="36"/>
      <c r="D89" s="36"/>
      <c r="E89" s="27"/>
      <c r="F89" s="35" t="s">
        <v>126</v>
      </c>
      <c r="G89" s="37" t="n">
        <f aca="false">(G88/G87)</f>
        <v>1624.10702426205</v>
      </c>
      <c r="H89" s="37"/>
      <c r="J89" s="35" t="s">
        <v>126</v>
      </c>
      <c r="K89" s="37" t="e">
        <f aca="false">(K88/K87)</f>
        <v>#VALUE!</v>
      </c>
      <c r="L89" s="36"/>
      <c r="M89" s="36"/>
      <c r="N89" s="27"/>
      <c r="O89" s="27"/>
      <c r="P89" s="27"/>
      <c r="Q89" s="37"/>
      <c r="S89" s="35" t="s">
        <v>126</v>
      </c>
      <c r="T89" s="37" t="e">
        <f aca="false">(T88/T87)</f>
        <v>#VALUE!</v>
      </c>
      <c r="U89" s="36"/>
      <c r="V89" s="36"/>
      <c r="W89" s="27"/>
      <c r="X89" s="27"/>
      <c r="Y89" s="27"/>
      <c r="Z89" s="37"/>
      <c r="AB89" s="35" t="s">
        <v>126</v>
      </c>
      <c r="AC89" s="37" t="e">
        <f aca="false">(AC88/AC87)</f>
        <v>#VALUE!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20016.8158713436</v>
      </c>
      <c r="C90" s="36"/>
      <c r="D90" s="36"/>
      <c r="E90" s="27"/>
      <c r="F90" s="35" t="s">
        <v>127</v>
      </c>
      <c r="G90" s="37" t="n">
        <f aca="false">((G89*(G85))+G77)</f>
        <v>19489.2842911446</v>
      </c>
      <c r="H90" s="37"/>
      <c r="J90" s="35" t="s">
        <v>127</v>
      </c>
      <c r="K90" s="37" t="e">
        <f aca="false">((K89*(K85))+K77)</f>
        <v>#VALUE!</v>
      </c>
      <c r="L90" s="36"/>
      <c r="M90" s="36"/>
      <c r="N90" s="27"/>
      <c r="O90" s="27"/>
      <c r="P90" s="27"/>
      <c r="Q90" s="37"/>
      <c r="S90" s="35" t="s">
        <v>127</v>
      </c>
      <c r="T90" s="37" t="e">
        <f aca="false">(T89*(T85))+T77</f>
        <v>#VALUE!</v>
      </c>
      <c r="U90" s="36"/>
      <c r="V90" s="36"/>
      <c r="W90" s="27"/>
      <c r="X90" s="27"/>
      <c r="Y90" s="27"/>
      <c r="Z90" s="37"/>
      <c r="AB90" s="35" t="s">
        <v>127</v>
      </c>
      <c r="AC90" s="37" t="e">
        <f aca="false">(AC89*(AC59))+AC77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e">
        <f aca="false">(K90/(1-K71))*K71</f>
        <v>#VALUE!</v>
      </c>
      <c r="L91" s="36"/>
      <c r="M91" s="36"/>
      <c r="N91" s="27"/>
      <c r="O91" s="27"/>
      <c r="P91" s="27"/>
      <c r="Q91" s="37"/>
      <c r="S91" s="35" t="s">
        <v>128</v>
      </c>
      <c r="T91" s="37" t="e">
        <f aca="false">(T90/(1-T71))*T71</f>
        <v>#VALUE!</v>
      </c>
      <c r="U91" s="36"/>
      <c r="V91" s="36"/>
      <c r="W91" s="27"/>
      <c r="X91" s="27"/>
      <c r="Y91" s="27"/>
      <c r="Z91" s="37"/>
      <c r="AB91" s="35" t="s">
        <v>128</v>
      </c>
      <c r="AC91" s="37" t="e">
        <f aca="false">(AC90/(1-AC71))*AC71</f>
        <v>#VALUE!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20016.8158713436</v>
      </c>
      <c r="C92" s="36"/>
      <c r="D92" s="36"/>
      <c r="E92" s="27"/>
      <c r="F92" s="60" t="s">
        <v>129</v>
      </c>
      <c r="G92" s="69" t="n">
        <f aca="false">(G90+G91)</f>
        <v>19489.2842911446</v>
      </c>
      <c r="H92" s="37"/>
      <c r="J92" s="60" t="s">
        <v>129</v>
      </c>
      <c r="K92" s="69" t="e">
        <f aca="false">(K90+K91)</f>
        <v>#VALUE!</v>
      </c>
      <c r="L92" s="36"/>
      <c r="M92" s="36"/>
      <c r="N92" s="27"/>
      <c r="O92" s="27"/>
      <c r="P92" s="27"/>
      <c r="Q92" s="37"/>
      <c r="S92" s="60" t="s">
        <v>129</v>
      </c>
      <c r="T92" s="69" t="e">
        <f aca="false">(T90+T91)</f>
        <v>#VALUE!</v>
      </c>
      <c r="U92" s="36"/>
      <c r="V92" s="36"/>
      <c r="W92" s="27"/>
      <c r="X92" s="27"/>
      <c r="Y92" s="27"/>
      <c r="Z92" s="37"/>
      <c r="AB92" s="60" t="s">
        <v>129</v>
      </c>
      <c r="AC92" s="69" t="e">
        <f aca="false">(AC90+AC91)</f>
        <v>#VALUE!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6" t="n">
        <f aca="false">IF(B26="YES",((E40/B85)*(1+A108)*(C45/100)),"0")</f>
        <v>41.2363636363636</v>
      </c>
      <c r="C94" s="36"/>
      <c r="D94" s="36"/>
      <c r="E94" s="27"/>
      <c r="F94" s="92" t="s">
        <v>130</v>
      </c>
      <c r="G94" s="96" t="n">
        <f aca="false">IF(B26="YES",((E40/B85)*(1+A108)*(C45/100)),"0")</f>
        <v>41.2363636363636</v>
      </c>
      <c r="H94" s="37"/>
      <c r="J94" s="92" t="s">
        <v>130</v>
      </c>
      <c r="K94" s="93" t="n">
        <f aca="false">((E40/K85)*(1+J108))*1.2</f>
        <v>49.14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41.2363636363636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49.4836363636364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(B92/B85)</f>
        <v>1819.71053375851</v>
      </c>
      <c r="C95" s="36"/>
      <c r="D95" s="36"/>
      <c r="E95" s="27"/>
      <c r="F95" s="97" t="s">
        <v>131</v>
      </c>
      <c r="G95" s="98" t="n">
        <f aca="false">G92/(G85)</f>
        <v>1624.10702426205</v>
      </c>
      <c r="H95" s="37"/>
      <c r="J95" s="97" t="s">
        <v>131</v>
      </c>
      <c r="K95" s="98" t="e">
        <f aca="false">K92/(K85)</f>
        <v>#VALUE!</v>
      </c>
      <c r="L95" s="36"/>
      <c r="M95" s="36"/>
      <c r="N95" s="27"/>
      <c r="O95" s="27"/>
      <c r="P95" s="27"/>
      <c r="Q95" s="37"/>
      <c r="S95" s="97" t="s">
        <v>131</v>
      </c>
      <c r="T95" s="98" t="e">
        <f aca="false">T92/(T85)</f>
        <v>#VALUE!</v>
      </c>
      <c r="U95" s="36"/>
      <c r="V95" s="36"/>
      <c r="W95" s="27"/>
      <c r="X95" s="27"/>
      <c r="Y95" s="27"/>
      <c r="Z95" s="37"/>
      <c r="AB95" s="97" t="s">
        <v>131</v>
      </c>
      <c r="AC95" s="98" t="e">
        <f aca="false">AC92/(AC59)</f>
        <v>#VALUE!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1860.94689739487</v>
      </c>
      <c r="C96" s="36"/>
      <c r="D96" s="36"/>
      <c r="E96" s="27"/>
      <c r="F96" s="99" t="s">
        <v>132</v>
      </c>
      <c r="G96" s="100" t="n">
        <f aca="false">G94+G95</f>
        <v>1665.34338789841</v>
      </c>
      <c r="H96" s="37"/>
      <c r="J96" s="99" t="s">
        <v>132</v>
      </c>
      <c r="K96" s="100" t="e">
        <f aca="false">(K94+K95)</f>
        <v>#VALUE!</v>
      </c>
      <c r="L96" s="36"/>
      <c r="M96" s="36"/>
      <c r="N96" s="27"/>
      <c r="O96" s="27"/>
      <c r="P96" s="27"/>
      <c r="Q96" s="37"/>
      <c r="S96" s="99" t="s">
        <v>132</v>
      </c>
      <c r="T96" s="100" t="e">
        <f aca="false">T94+T95</f>
        <v>#VALUE!</v>
      </c>
      <c r="U96" s="36"/>
      <c r="V96" s="36"/>
      <c r="W96" s="27"/>
      <c r="X96" s="27"/>
      <c r="Y96" s="27"/>
      <c r="Z96" s="37"/>
      <c r="AB96" s="99" t="s">
        <v>132</v>
      </c>
      <c r="AC96" s="100" t="e">
        <f aca="false">AC94+AC95</f>
        <v>#VALUE!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362" t="s">
        <v>32</v>
      </c>
      <c r="F105" s="362"/>
      <c r="G105" s="362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0.2</v>
      </c>
      <c r="B108" s="109" t="n">
        <v>0</v>
      </c>
      <c r="C108" s="109"/>
      <c r="D108" s="109" t="n">
        <v>0</v>
      </c>
      <c r="E108" s="110" t="n">
        <f aca="false">B83</f>
        <v>0.1305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0.1415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0.1415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2000</v>
      </c>
      <c r="B114" s="109" t="n">
        <v>199.991666666667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B9</f>
        <v>14041.67</v>
      </c>
      <c r="C121" s="44" t="n">
        <v>15625</v>
      </c>
      <c r="D121" s="29" t="n">
        <f aca="false">D3</f>
        <v>0</v>
      </c>
      <c r="E121" s="44" t="n">
        <f aca="false">D121</f>
        <v>0</v>
      </c>
      <c r="F121" s="29" t="n">
        <f aca="false">B11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0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str">
        <f aca="false">F3</f>
        <v> </v>
      </c>
      <c r="P121" s="44" t="str">
        <f aca="false">O121</f>
        <v> </v>
      </c>
      <c r="Q121" s="121" t="n">
        <f aca="false">H3</f>
        <v>0</v>
      </c>
      <c r="S121" s="29" t="s">
        <v>161</v>
      </c>
      <c r="T121" s="29" t="n">
        <f aca="false">B3</f>
        <v>0</v>
      </c>
      <c r="U121" s="44" t="n">
        <f aca="false">T121</f>
        <v>0</v>
      </c>
      <c r="V121" s="29" t="n">
        <f aca="false">D3</f>
        <v>0</v>
      </c>
      <c r="W121" s="44" t="n">
        <f aca="false">V121</f>
        <v>0</v>
      </c>
      <c r="X121" s="29" t="str">
        <f aca="false">F3</f>
        <v> </v>
      </c>
      <c r="Y121" s="44" t="str">
        <f aca="false">X121</f>
        <v> </v>
      </c>
      <c r="Z121" s="121" t="n">
        <f aca="false">H3</f>
        <v>0</v>
      </c>
      <c r="AB121" s="29" t="s">
        <v>161</v>
      </c>
      <c r="AC121" s="29" t="n">
        <f aca="false">B3</f>
        <v>0</v>
      </c>
      <c r="AD121" s="44" t="n">
        <f aca="false">AC121</f>
        <v>0</v>
      </c>
      <c r="AE121" s="29" t="n">
        <f aca="false">D3</f>
        <v>0</v>
      </c>
      <c r="AF121" s="44" t="n">
        <f aca="false">AE121</f>
        <v>0</v>
      </c>
      <c r="AG121" s="29" t="str">
        <f aca="false">F3</f>
        <v> </v>
      </c>
      <c r="AH121" s="44" t="str">
        <f aca="false">AG121</f>
        <v> 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v>0</v>
      </c>
      <c r="D122" s="122" t="n">
        <v>0</v>
      </c>
      <c r="E122" s="123" t="n">
        <v>0</v>
      </c>
      <c r="F122" s="122" t="n">
        <v>0</v>
      </c>
      <c r="G122" s="363" t="n">
        <v>0</v>
      </c>
      <c r="H122" s="125"/>
      <c r="J122" s="35" t="s">
        <v>162</v>
      </c>
      <c r="K122" s="122" t="n">
        <f aca="false">B4</f>
        <v>16850.004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str">
        <f aca="false">F4</f>
        <v> </v>
      </c>
      <c r="P122" s="363" t="str">
        <f aca="false">O122</f>
        <v> </v>
      </c>
      <c r="Q122" s="125"/>
      <c r="S122" s="35" t="s">
        <v>162</v>
      </c>
      <c r="T122" s="122" t="n">
        <f aca="false">B4</f>
        <v>16850.004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str">
        <f aca="false">F4</f>
        <v> </v>
      </c>
      <c r="Y122" s="363" t="str">
        <f aca="false">X122</f>
        <v> </v>
      </c>
      <c r="Z122" s="125"/>
      <c r="AB122" s="35" t="s">
        <v>162</v>
      </c>
      <c r="AC122" s="122" t="n">
        <f aca="false">B4</f>
        <v>16850.004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str">
        <f aca="false">F4</f>
        <v> </v>
      </c>
      <c r="AH122" s="363" t="str">
        <f aca="false">AG122</f>
        <v> 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v>0</v>
      </c>
      <c r="D123" s="35" t="n">
        <v>0</v>
      </c>
      <c r="E123" s="44" t="n">
        <v>0</v>
      </c>
      <c r="F123" s="35" t="n"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str">
        <f aca="false">F5</f>
        <v> </v>
      </c>
      <c r="P123" s="44" t="str">
        <f aca="false">O123</f>
        <v> 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str">
        <f aca="false">F5</f>
        <v> </v>
      </c>
      <c r="Y123" s="44" t="str">
        <f aca="false">X123</f>
        <v> 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str">
        <f aca="false">F5</f>
        <v> </v>
      </c>
      <c r="AH123" s="44" t="str">
        <f aca="false">AG123</f>
        <v> 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0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e">
        <f aca="false">(O121*O122)+O123</f>
        <v>#VALUE!</v>
      </c>
      <c r="P124" s="31" t="e">
        <f aca="false">(P121*P122)+P123</f>
        <v>#VALUE!</v>
      </c>
      <c r="Q124" s="37"/>
      <c r="S124" s="35" t="s">
        <v>164</v>
      </c>
      <c r="T124" s="35" t="n">
        <f aca="false">(T121*T122)+T123</f>
        <v>0</v>
      </c>
      <c r="U124" s="31" t="n">
        <f aca="false">(U121*U122)+U123</f>
        <v>0</v>
      </c>
      <c r="V124" s="35" t="n">
        <f aca="false">(V121*V122)+V123</f>
        <v>0</v>
      </c>
      <c r="W124" s="31" t="n">
        <f aca="false">(W121*W122)+W123</f>
        <v>0</v>
      </c>
      <c r="X124" s="35" t="e">
        <f aca="false">(X121*X122)+X123</f>
        <v>#VALUE!</v>
      </c>
      <c r="Y124" s="31" t="e">
        <f aca="false">(Y121*Y122)+Y123</f>
        <v>#VALUE!</v>
      </c>
      <c r="Z124" s="37"/>
      <c r="AB124" s="35" t="s">
        <v>164</v>
      </c>
      <c r="AC124" s="35" t="n">
        <f aca="false">(AC121*AC122)+AC123</f>
        <v>0</v>
      </c>
      <c r="AD124" s="31" t="n">
        <f aca="false">(AD121*AD122)+AD123</f>
        <v>0</v>
      </c>
      <c r="AE124" s="35" t="n">
        <f aca="false">(AE121*AE122)+AE123</f>
        <v>0</v>
      </c>
      <c r="AF124" s="31" t="n">
        <f aca="false">(AF121*AF122)+AF123</f>
        <v>0</v>
      </c>
      <c r="AG124" s="35" t="e">
        <f aca="false">(AG121*AG122)+AG123</f>
        <v>#VALUE!</v>
      </c>
      <c r="AH124" s="31" t="e">
        <f aca="false">(AH121*AH122)+AH123</f>
        <v>#VALUE!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14041.67</v>
      </c>
      <c r="C125" s="69" t="n">
        <f aca="false">C121-C124</f>
        <v>16125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0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e">
        <f aca="false">O121-O124</f>
        <v>#VALUE!</v>
      </c>
      <c r="P125" s="69" t="e">
        <f aca="false">P121-P124</f>
        <v>#VALUE!</v>
      </c>
      <c r="Q125" s="69"/>
      <c r="S125" s="60" t="s">
        <v>165</v>
      </c>
      <c r="T125" s="60" t="n">
        <f aca="false">T121-T124</f>
        <v>0</v>
      </c>
      <c r="U125" s="69" t="n">
        <f aca="false">U121-U124</f>
        <v>0</v>
      </c>
      <c r="V125" s="60" t="n">
        <f aca="false">V121-V124</f>
        <v>0</v>
      </c>
      <c r="W125" s="69" t="n">
        <f aca="false">W121-W124</f>
        <v>0</v>
      </c>
      <c r="X125" s="60" t="e">
        <f aca="false">X121-X124</f>
        <v>#VALUE!</v>
      </c>
      <c r="Y125" s="69" t="e">
        <f aca="false">Y121-Y124</f>
        <v>#VALUE!</v>
      </c>
      <c r="Z125" s="69"/>
      <c r="AB125" s="60" t="s">
        <v>165</v>
      </c>
      <c r="AC125" s="60" t="n">
        <f aca="false">AC121-AC124</f>
        <v>0</v>
      </c>
      <c r="AD125" s="69" t="n">
        <f aca="false">AD121-AD124</f>
        <v>0</v>
      </c>
      <c r="AE125" s="60" t="n">
        <f aca="false">AE121-AE124</f>
        <v>0</v>
      </c>
      <c r="AF125" s="69" t="n">
        <f aca="false">AF121-AF124</f>
        <v>0</v>
      </c>
      <c r="AG125" s="60" t="e">
        <f aca="false">AG121-AG124</f>
        <v>#VALUE!</v>
      </c>
      <c r="AH125" s="69" t="e">
        <f aca="false">AH121-AH124</f>
        <v>#VALUE!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B121</f>
        <v>14041.67</v>
      </c>
      <c r="H135" s="144" t="n">
        <f aca="false">C125+E125+G125+H128</f>
        <v>16125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0</v>
      </c>
      <c r="Q135" s="144" t="e">
        <f aca="false">L125+N125+P125+Q128</f>
        <v>#VALUE!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0</v>
      </c>
      <c r="Z135" s="144" t="e">
        <f aca="false">U125+W125+Y125+Z128</f>
        <v>#VALUE!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0</v>
      </c>
      <c r="AI135" s="144" t="e">
        <f aca="false">AD125+AF125+AH125+AI128</f>
        <v>#VALUE!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0</v>
      </c>
      <c r="Q136" s="37" t="n">
        <f aca="false">P136</f>
        <v>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0</v>
      </c>
      <c r="Z136" s="37" t="n">
        <f aca="false">Y136</f>
        <v>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0</v>
      </c>
      <c r="AI136" s="37" t="n">
        <f aca="false">AH136</f>
        <v>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2808.334</v>
      </c>
      <c r="H137" s="37" t="n">
        <f aca="false">(H135+H136)*20%</f>
        <v>3225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0</v>
      </c>
      <c r="Q137" s="37" t="e">
        <f aca="false">(Q135+Q136)*20%</f>
        <v>#VALUE!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0</v>
      </c>
      <c r="Z137" s="37" t="e">
        <f aca="false">(Z135+Z136)*20%</f>
        <v>#VALUE!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0</v>
      </c>
      <c r="AI137" s="37" t="e">
        <f aca="false">(AI135+AI136)*20%</f>
        <v>#VALUE!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0</v>
      </c>
      <c r="Q139" s="37" t="n">
        <f aca="false">P139</f>
        <v>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0</v>
      </c>
      <c r="Z139" s="37" t="n">
        <f aca="false">Y139</f>
        <v>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0</v>
      </c>
      <c r="AI139" s="37" t="n">
        <f aca="false">AH139</f>
        <v>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0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0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0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16850.004</v>
      </c>
      <c r="H141" s="147" t="n">
        <f aca="false">(H135+H136+H139+H140+H137)-H138</f>
        <v>19350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0</v>
      </c>
      <c r="Q141" s="147" t="e">
        <f aca="false">(Q135+Q136+Q139+Q140+Q137)-Q138</f>
        <v>#VALUE!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0</v>
      </c>
      <c r="Z141" s="147" t="e">
        <f aca="false">(Z135+Z136+Z139+Z140+Z137)-Z138</f>
        <v>#VALUE!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0</v>
      </c>
      <c r="AI141" s="147" t="e">
        <f aca="false">(AI135+AI136+AI139+AI140+AI137)-AI138</f>
        <v>#VALUE!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16850.004</v>
      </c>
      <c r="H147" s="154" t="n">
        <f aca="false">H141-((H144*1.2)+(H145*1.2)+(H146*1.2)+(H142*1.2))</f>
        <v>19350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0</v>
      </c>
      <c r="Q147" s="154" t="e">
        <f aca="false">Q141-((Q144*1.2)+(Q145*1.2)+(Q146*1.2)+(Q142*1.2))</f>
        <v>#VALUE!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0</v>
      </c>
      <c r="Z147" s="154" t="e">
        <f aca="false">Z141-((Z144*1.2)+(Z145*1.2)+(Z146*1.2)+(Z142*1.2))</f>
        <v>#VALUE!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0</v>
      </c>
      <c r="AI147" s="154" t="e">
        <f aca="false">AI141-((AI144*1.2)+(AI145*1.2)+(AI146*1.2)+(AI142*1.2))</f>
        <v>#VALUE!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-13905.5583333333</v>
      </c>
      <c r="J148" s="145" t="s">
        <v>184</v>
      </c>
      <c r="K148" s="145"/>
      <c r="L148" s="145"/>
      <c r="M148" s="145"/>
      <c r="N148" s="145"/>
      <c r="O148" s="145"/>
      <c r="P148" s="146"/>
      <c r="Q148" s="44" t="e">
        <f aca="false">Q147-P147</f>
        <v>#VALUE!</v>
      </c>
      <c r="S148" s="145" t="s">
        <v>184</v>
      </c>
      <c r="T148" s="145"/>
      <c r="U148" s="145"/>
      <c r="V148" s="145"/>
      <c r="W148" s="145"/>
      <c r="X148" s="145"/>
      <c r="Y148" s="146"/>
      <c r="Z148" s="44" t="e">
        <f aca="false">Z147-Y147</f>
        <v>#VALUE!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e">
        <f aca="false">AI147-AH147</f>
        <v>#VALUE!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2000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18770</v>
      </c>
      <c r="H158" s="160"/>
      <c r="J158" s="159" t="s">
        <v>192</v>
      </c>
      <c r="K158" s="36"/>
      <c r="L158" s="36"/>
      <c r="M158" s="27"/>
      <c r="N158" s="36"/>
      <c r="O158" s="27"/>
      <c r="P158" s="160" t="e">
        <f aca="false">Q147-P154-P157</f>
        <v>#VALUE!</v>
      </c>
      <c r="Q158" s="160"/>
      <c r="S158" s="159" t="s">
        <v>192</v>
      </c>
      <c r="T158" s="36"/>
      <c r="U158" s="36"/>
      <c r="V158" s="27"/>
      <c r="W158" s="36"/>
      <c r="X158" s="27"/>
      <c r="Y158" s="160" t="e">
        <f aca="false">Z147-Y154-Y157</f>
        <v>#VALUE!</v>
      </c>
      <c r="Z158" s="160"/>
      <c r="AB158" s="159" t="s">
        <v>192</v>
      </c>
      <c r="AC158" s="36"/>
      <c r="AD158" s="36"/>
      <c r="AE158" s="27"/>
      <c r="AF158" s="36"/>
      <c r="AG158" s="27"/>
      <c r="AH158" s="160" t="e">
        <f aca="false">AI147-AH154-AH157</f>
        <v>#VALUE!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165" t="n">
        <f aca="false">B95</f>
        <v>1819.71053375851</v>
      </c>
      <c r="B167" s="166" t="n">
        <f aca="false">B94</f>
        <v>41.2363636363636</v>
      </c>
      <c r="C167" s="164"/>
      <c r="D167" s="164"/>
      <c r="E167" s="166" t="n">
        <f aca="false">B96</f>
        <v>1860.94689739487</v>
      </c>
      <c r="F167" s="27"/>
      <c r="G167" s="27" t="n">
        <f aca="false">ROUND(G95,2)</f>
        <v>1624.11</v>
      </c>
      <c r="H167" s="37"/>
      <c r="J167" s="165" t="e">
        <f aca="false">K95</f>
        <v>#VALUE!</v>
      </c>
      <c r="K167" s="166" t="n">
        <f aca="false">K94</f>
        <v>49.14</v>
      </c>
      <c r="L167" s="164"/>
      <c r="M167" s="164"/>
      <c r="N167" s="166" t="e">
        <f aca="false">K96</f>
        <v>#VALUE!</v>
      </c>
      <c r="O167" s="27"/>
      <c r="P167" s="27"/>
      <c r="Q167" s="37"/>
      <c r="S167" s="165" t="e">
        <f aca="false">T95</f>
        <v>#VALUE!</v>
      </c>
      <c r="T167" s="166" t="n">
        <f aca="false">T94</f>
        <v>41.2363636363636</v>
      </c>
      <c r="U167" s="164"/>
      <c r="V167" s="164"/>
      <c r="W167" s="166" t="e">
        <f aca="false">T96</f>
        <v>#VALUE!</v>
      </c>
      <c r="X167" s="27"/>
      <c r="Y167" s="27"/>
      <c r="Z167" s="37"/>
      <c r="AB167" s="165" t="e">
        <f aca="false">AC95</f>
        <v>#VALUE!</v>
      </c>
      <c r="AC167" s="166" t="n">
        <f aca="false">AC94</f>
        <v>49.4836363636364</v>
      </c>
      <c r="AD167" s="164"/>
      <c r="AE167" s="164"/>
      <c r="AF167" s="166" t="e">
        <f aca="false">AC96</f>
        <v>#VALUE!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12</v>
      </c>
      <c r="B170" s="168" t="n">
        <f aca="false">K30</f>
        <v>10000</v>
      </c>
      <c r="C170" s="169"/>
      <c r="D170" s="27"/>
      <c r="E170" s="170" t="n">
        <f aca="false">IF(A111="YES",A40,0)</f>
        <v>0</v>
      </c>
      <c r="F170" s="27"/>
      <c r="G170" s="27"/>
      <c r="H170" s="37"/>
      <c r="J170" s="167" t="n">
        <f aca="false">K29</f>
        <v>12</v>
      </c>
      <c r="K170" s="168" t="n">
        <f aca="false">K30</f>
        <v>10000</v>
      </c>
      <c r="L170" s="169"/>
      <c r="M170" s="27"/>
      <c r="N170" s="170" t="n">
        <f aca="false">IF(A111="YES",A40,0)</f>
        <v>0</v>
      </c>
      <c r="O170" s="27"/>
      <c r="P170" s="27"/>
      <c r="Q170" s="37"/>
      <c r="S170" s="167" t="n">
        <f aca="false">K29</f>
        <v>12</v>
      </c>
      <c r="T170" s="168" t="n">
        <f aca="false">K30</f>
        <v>10000</v>
      </c>
      <c r="U170" s="169"/>
      <c r="V170" s="27"/>
      <c r="W170" s="170" t="n">
        <f aca="false">IF(A111="YES",A40,0)</f>
        <v>0</v>
      </c>
      <c r="X170" s="27"/>
      <c r="Y170" s="27"/>
      <c r="Z170" s="37"/>
      <c r="AB170" s="167" t="n">
        <f aca="false">K29</f>
        <v>12</v>
      </c>
      <c r="AC170" s="168" t="n">
        <f aca="false">K30</f>
        <v>10000</v>
      </c>
      <c r="AD170" s="169"/>
      <c r="AE170" s="27"/>
      <c r="AF170" s="170" t="n">
        <f aca="false">IF(A111="YES",A40,0)</f>
        <v>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16125</v>
      </c>
      <c r="B173" s="42" t="n">
        <f aca="false">H137</f>
        <v>3225</v>
      </c>
      <c r="C173" s="47"/>
      <c r="D173" s="27"/>
      <c r="E173" s="170" t="n">
        <f aca="false">H139+H140</f>
        <v>0</v>
      </c>
      <c r="F173" s="27"/>
      <c r="G173" s="27"/>
      <c r="H173" s="37"/>
      <c r="J173" s="171" t="e">
        <f aca="false">Q141-Q137-Q139-Q140</f>
        <v>#VALUE!</v>
      </c>
      <c r="K173" s="42" t="e">
        <f aca="false">Q137</f>
        <v>#VALUE!</v>
      </c>
      <c r="L173" s="47"/>
      <c r="M173" s="27"/>
      <c r="N173" s="170" t="n">
        <f aca="false">Q139+Q140</f>
        <v>55</v>
      </c>
      <c r="O173" s="27"/>
      <c r="P173" s="27"/>
      <c r="Q173" s="37"/>
      <c r="S173" s="171" t="e">
        <f aca="false">Z141-Z137-Z139-Z140</f>
        <v>#VALUE!</v>
      </c>
      <c r="T173" s="42" t="e">
        <f aca="false">Z137</f>
        <v>#VALUE!</v>
      </c>
      <c r="U173" s="47"/>
      <c r="V173" s="27"/>
      <c r="W173" s="170" t="n">
        <f aca="false">Z139+Z140</f>
        <v>55</v>
      </c>
      <c r="X173" s="27"/>
      <c r="Y173" s="27"/>
      <c r="Z173" s="37"/>
      <c r="AB173" s="171" t="e">
        <f aca="false">AI141-AI137-AI139-AI140</f>
        <v>#VALUE!</v>
      </c>
      <c r="AC173" s="42" t="e">
        <f aca="false">AI137</f>
        <v>#VALUE!</v>
      </c>
      <c r="AD173" s="47"/>
      <c r="AE173" s="27"/>
      <c r="AF173" s="170" t="n">
        <f aca="false">AI139+AI140</f>
        <v>55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H141</f>
        <v>19350</v>
      </c>
      <c r="B176" s="42" t="n">
        <f aca="false">B111</f>
        <v>1000</v>
      </c>
      <c r="C176" s="42"/>
      <c r="D176" s="27"/>
      <c r="E176" s="42" t="n">
        <f aca="false">E111</f>
        <v>1000</v>
      </c>
      <c r="F176" s="27"/>
      <c r="G176" s="27"/>
      <c r="H176" s="107"/>
      <c r="J176" s="171" t="e">
        <f aca="false">Q141</f>
        <v>#VALUE!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e">
        <f aca="false">Z141</f>
        <v>#VALUE!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e">
        <f aca="false">AI141</f>
        <v>#VALUE!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2000</v>
      </c>
      <c r="B179" s="42" t="n">
        <f aca="false">G154</f>
        <v>0</v>
      </c>
      <c r="C179" s="42"/>
      <c r="D179" s="27"/>
      <c r="E179" s="42" t="n">
        <f aca="false">G158</f>
        <v>18770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e">
        <f aca="false">J176-J179-K179</f>
        <v>#VALUE!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e">
        <f aca="false">S176-S179-T179</f>
        <v>#VALUE!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e">
        <f aca="false">AB176-AB179-AC179</f>
        <v>#VALUE!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(A167*B59)+E185-E179-A185</f>
        <v>3107.76276873844</v>
      </c>
      <c r="B182" s="42" t="n">
        <f aca="false">B114</f>
        <v>199.991666666667</v>
      </c>
      <c r="C182" s="42"/>
      <c r="D182" s="27"/>
      <c r="E182" s="42" t="n">
        <f aca="false">E179+A182+(B182*1.2)+A185</f>
        <v>22127.7527687384</v>
      </c>
      <c r="F182" s="27"/>
      <c r="G182" s="27"/>
      <c r="H182" s="107"/>
      <c r="J182" s="113" t="e">
        <f aca="false">(J167*K59)+N185-N179-J185</f>
        <v>#VALUE!</v>
      </c>
      <c r="K182" s="42" t="n">
        <f aca="false">K114</f>
        <v>239.99</v>
      </c>
      <c r="L182" s="42"/>
      <c r="M182" s="27"/>
      <c r="N182" s="42" t="e">
        <f aca="false">N179+J182+K182+J185</f>
        <v>#VALUE!</v>
      </c>
      <c r="O182" s="27"/>
      <c r="P182" s="27"/>
      <c r="Q182" s="107"/>
      <c r="S182" s="113" t="e">
        <f aca="false">(S167*T59)+W185-W179-S185</f>
        <v>#VALUE!</v>
      </c>
      <c r="T182" s="42" t="n">
        <f aca="false">T114</f>
        <v>199.99</v>
      </c>
      <c r="U182" s="42"/>
      <c r="V182" s="27"/>
      <c r="W182" s="42" t="e">
        <f aca="false">W179+S182+T182+S185</f>
        <v>#VALUE!</v>
      </c>
      <c r="X182" s="27"/>
      <c r="Y182" s="27"/>
      <c r="Z182" s="107"/>
      <c r="AB182" s="113" t="e">
        <f aca="false">(AB167*AC59)+AF185-AF179-AB185</f>
        <v>#VALUE!</v>
      </c>
      <c r="AC182" s="42" t="n">
        <f aca="false">AC114</f>
        <v>239.99</v>
      </c>
      <c r="AD182" s="42"/>
      <c r="AE182" s="27"/>
      <c r="AF182" s="42" t="e">
        <f aca="false">AF179+AB182+AC182+AB185</f>
        <v>#VALUE!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A179+B182*1.2</f>
        <v>2239.99</v>
      </c>
      <c r="C185" s="42"/>
      <c r="D185" s="27"/>
      <c r="E185" s="42" t="n">
        <f aca="false">IF( E170=0, A185+E167, E170+A185)</f>
        <v>1870.94689739487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20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10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10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IF(E105="YES",J18*0.000002,0)*100</f>
        <v>8.1052</v>
      </c>
      <c r="B188" s="42" t="n">
        <f aca="false">(G158*B67)</f>
        <v>93.85</v>
      </c>
      <c r="C188" s="36"/>
      <c r="D188" s="36"/>
      <c r="E188" s="42" t="n">
        <f aca="false">(E40*A108)*0.1*(C45/100)</f>
        <v>7.56</v>
      </c>
      <c r="F188" s="27"/>
      <c r="G188" s="27"/>
      <c r="H188" s="37"/>
      <c r="J188" s="113" t="n">
        <f aca="false">IF(N105="YES",H15*0.000002,0)</f>
        <v>0</v>
      </c>
      <c r="K188" s="42" t="e">
        <f aca="false">(P158*K67)/1.2</f>
        <v>#VALUE!</v>
      </c>
      <c r="L188" s="36"/>
      <c r="M188" s="36"/>
      <c r="N188" s="42" t="n">
        <f aca="false">(E40*J108)*0.1</f>
        <v>11.34</v>
      </c>
      <c r="O188" s="27"/>
      <c r="P188" s="27"/>
      <c r="Q188" s="37"/>
      <c r="S188" s="113" t="n">
        <f aca="false">IF(W105="YES",Z15*0.000002,0)</f>
        <v>0</v>
      </c>
      <c r="T188" s="42" t="e">
        <f aca="false">(Y158*T67)/1.2</f>
        <v>#VALUE!</v>
      </c>
      <c r="U188" s="36"/>
      <c r="V188" s="36"/>
      <c r="W188" s="42" t="n">
        <f aca="false">(E40*S108)*0.1</f>
        <v>7.56</v>
      </c>
      <c r="X188" s="36"/>
      <c r="Y188" s="36"/>
      <c r="Z188" s="37"/>
      <c r="AB188" s="113" t="n">
        <f aca="false">IF(AF105="YES",AI15*0.000002,0)</f>
        <v>0</v>
      </c>
      <c r="AC188" s="42" t="e">
        <f aca="false">(AH158*AC67)/1.2</f>
        <v>#VALUE!</v>
      </c>
      <c r="AD188" s="36"/>
      <c r="AE188" s="36"/>
      <c r="AF188" s="42" t="n">
        <f aca="false">(E40*AB108)*0.1</f>
        <v>7.56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121.41</v>
      </c>
      <c r="C191" s="36"/>
      <c r="D191" s="36"/>
      <c r="E191" s="42" t="n">
        <f aca="false">H148</f>
        <v>2083.33</v>
      </c>
      <c r="F191" s="27"/>
      <c r="G191" s="27"/>
      <c r="H191" s="37"/>
      <c r="J191" s="113" t="n">
        <f aca="false">K185-100</f>
        <v>1139.99</v>
      </c>
      <c r="K191" s="42" t="e">
        <f aca="false">K188+N188+J191</f>
        <v>#VALUE!</v>
      </c>
      <c r="L191" s="36"/>
      <c r="M191" s="36"/>
      <c r="N191" s="42" t="e">
        <f aca="false">Q148</f>
        <v>#VALUE!</v>
      </c>
      <c r="O191" s="27"/>
      <c r="P191" s="27"/>
      <c r="Q191" s="37"/>
      <c r="S191" s="113" t="n">
        <f aca="false">T185-100</f>
        <v>1099.99</v>
      </c>
      <c r="T191" s="42" t="e">
        <f aca="false">T188+W188+S191</f>
        <v>#VALUE!</v>
      </c>
      <c r="U191" s="36"/>
      <c r="V191" s="36"/>
      <c r="W191" s="42" t="e">
        <f aca="false">Z148</f>
        <v>#VALUE!</v>
      </c>
      <c r="X191" s="36"/>
      <c r="Y191" s="36"/>
      <c r="Z191" s="37"/>
      <c r="AB191" s="113" t="n">
        <f aca="false">AC185-100</f>
        <v>1139.99</v>
      </c>
      <c r="AC191" s="42" t="e">
        <f aca="false">AC188+AF188+AB191</f>
        <v>#VALUE!</v>
      </c>
      <c r="AD191" s="36"/>
      <c r="AE191" s="36"/>
      <c r="AF191" s="42" t="e">
        <f aca="false">AI148</f>
        <v>#VALUE!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10000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10000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10000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10000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12</v>
      </c>
      <c r="B197" s="78" t="n">
        <f aca="false">B96</f>
        <v>1860.94689739487</v>
      </c>
      <c r="C197" s="78"/>
      <c r="D197" s="78"/>
      <c r="E197" s="27"/>
      <c r="F197" s="27"/>
      <c r="G197" s="27"/>
      <c r="H197" s="37"/>
      <c r="J197" s="77" t="n">
        <f aca="false">K29</f>
        <v>12</v>
      </c>
      <c r="K197" s="78" t="e">
        <f aca="false">K96</f>
        <v>#VALUE!</v>
      </c>
      <c r="L197" s="78"/>
      <c r="M197" s="78"/>
      <c r="N197" s="27"/>
      <c r="O197" s="27"/>
      <c r="P197" s="27"/>
      <c r="Q197" s="37"/>
      <c r="S197" s="77" t="n">
        <f aca="false">K29</f>
        <v>12</v>
      </c>
      <c r="T197" s="78" t="e">
        <f aca="false">T96</f>
        <v>#VALUE!</v>
      </c>
      <c r="U197" s="78"/>
      <c r="V197" s="78"/>
      <c r="W197" s="27"/>
      <c r="X197" s="27"/>
      <c r="Y197" s="27"/>
      <c r="Z197" s="37"/>
      <c r="AB197" s="77" t="n">
        <f aca="false">K29</f>
        <v>12</v>
      </c>
      <c r="AC197" s="78" t="e">
        <f aca="false">AC96</f>
        <v>#VALUE!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719.32</v>
      </c>
      <c r="B201" s="47" t="n">
        <f aca="false">E179+A201+(B182*1.2)+A185</f>
        <v>19739.31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n">
        <f aca="false">A197</f>
        <v>12</v>
      </c>
      <c r="C209" s="164"/>
      <c r="D209" s="164"/>
      <c r="E209" s="164" t="n">
        <f aca="false">B196</f>
        <v>10000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1819.71053375851</v>
      </c>
      <c r="B212" s="166" t="n">
        <f aca="false">B167</f>
        <v>41.2363636363636</v>
      </c>
      <c r="C212" s="164"/>
      <c r="D212" s="164"/>
      <c r="E212" s="166" t="n">
        <f aca="false">E167</f>
        <v>1860.94689739487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16125</v>
      </c>
      <c r="B215" s="42" t="n">
        <f aca="false">B173</f>
        <v>3225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19350</v>
      </c>
      <c r="B218" s="42" t="n">
        <f aca="false">B176</f>
        <v>1000</v>
      </c>
      <c r="C218" s="42"/>
      <c r="D218" s="27"/>
      <c r="E218" s="42" t="n">
        <f aca="false">E176</f>
        <v>1000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2000</v>
      </c>
      <c r="B221" s="42" t="n">
        <f aca="false">B179</f>
        <v>0</v>
      </c>
      <c r="C221" s="42"/>
      <c r="D221" s="27"/>
      <c r="E221" s="42" t="n">
        <f aca="false">E179</f>
        <v>18770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3107.76276873844</v>
      </c>
      <c r="B224" s="42" t="n">
        <f aca="false">B182</f>
        <v>199.991666666667</v>
      </c>
      <c r="C224" s="42"/>
      <c r="D224" s="27"/>
      <c r="E224" s="42" t="n">
        <f aca="false">E182</f>
        <v>22127.7527687384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2239.99</v>
      </c>
      <c r="C227" s="42"/>
      <c r="D227" s="27"/>
      <c r="E227" s="42" t="n">
        <f aca="false">B59</f>
        <v>11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1819.71053375851</v>
      </c>
      <c r="B230" s="42" t="n">
        <f aca="false">B167</f>
        <v>41.2363636363636</v>
      </c>
      <c r="C230" s="47"/>
      <c r="D230" s="47"/>
      <c r="E230" s="42" t="n">
        <f aca="false">E167</f>
        <v>1860.94689739487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0</v>
      </c>
      <c r="B233" s="42" t="n">
        <f aca="false">E185</f>
        <v>1870.94689739487</v>
      </c>
      <c r="C233" s="36"/>
      <c r="D233" s="36"/>
      <c r="E233" s="42" t="n">
        <f aca="false">J18*0.000006*100</f>
        <v>24.3156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IF(E105="YES",J18*0.000002,0)*100</f>
        <v>8.1052</v>
      </c>
      <c r="B236" s="42" t="n">
        <f aca="false">E233+A236</f>
        <v>32.4208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B68</f>
        <v>93.85</v>
      </c>
      <c r="C240" s="36"/>
      <c r="D240" s="36"/>
      <c r="E240" s="42" t="n">
        <f aca="false">E188</f>
        <v>7.56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784.739999999999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</v>
      </c>
      <c r="C253" s="182"/>
      <c r="D253" s="183" t="s">
        <v>227</v>
      </c>
      <c r="E253" s="183"/>
      <c r="F253" s="181" t="n">
        <f aca="false">B83</f>
        <v>0.1305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5" t="n">
        <f aca="false">(E182-B182)-(B201-B182-A185)</f>
        <v>2398.44276873844</v>
      </c>
      <c r="C254" s="182"/>
      <c r="D254" s="183" t="s">
        <v>229</v>
      </c>
      <c r="E254" s="183"/>
      <c r="F254" s="185" t="n">
        <f aca="false">F261+F267+F269+B270+B271</f>
        <v>93.85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95.6</v>
      </c>
      <c r="C255" s="182"/>
      <c r="D255" s="183" t="s">
        <v>231</v>
      </c>
      <c r="E255" s="183"/>
      <c r="F255" s="185" t="n">
        <f aca="false">(B254-F254)+B255</f>
        <v>2400.19276873844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0.1305</v>
      </c>
      <c r="C260" s="47"/>
      <c r="D260" s="156" t="s">
        <v>228</v>
      </c>
      <c r="E260" s="156"/>
      <c r="F260" s="135" t="n">
        <f aca="false">B254</f>
        <v>2398.44276873844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0.005</v>
      </c>
      <c r="C261" s="36"/>
      <c r="D261" s="156" t="s">
        <v>234</v>
      </c>
      <c r="E261" s="156"/>
      <c r="F261" s="142" t="n">
        <f aca="false">B68</f>
        <v>93.85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75.6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2400.19276873844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  <c r="J271" s="6" t="n">
        <v>4</v>
      </c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60">
    <mergeCell ref="A1:F1"/>
    <mergeCell ref="D7:E18"/>
    <mergeCell ref="A16:C18"/>
    <mergeCell ref="A19:D19"/>
    <mergeCell ref="A21:D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B105 K105 N105 T105 W105 AC105 AF105 B108:D108 K108:M108 T108:V108 AC108:AE108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 A111" type="list">
      <formula1>HirePurchaseNonRegulated!$K$9:$K$10</formula1>
      <formula2>0</formula2>
    </dataValidation>
    <dataValidation allowBlank="true" errorStyle="stop" operator="between" showDropDown="false" showErrorMessage="true" showInputMessage="false" sqref="B70" type="list">
      <formula1>HirePurchaseNonRegulated!$K$9:$K$10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47" colorId="64" zoomScale="100" zoomScaleNormal="100" zoomScalePageLayoutView="100" workbookViewId="0">
      <selection pane="topLeft" activeCell="F262" activeCellId="0" sqref="F262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102"/>
      <c r="H1" s="102"/>
      <c r="I1" s="7"/>
      <c r="J1" s="7"/>
    </row>
    <row r="2" customFormat="false" ht="19.7" hidden="false" customHeight="fals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351"/>
      <c r="H2" s="352"/>
      <c r="I2" s="7"/>
      <c r="J2" s="7"/>
    </row>
    <row r="3" customFormat="false" ht="18.75" hidden="false" customHeight="false" outlineLevel="0" collapsed="false">
      <c r="A3" s="244"/>
      <c r="B3" s="245"/>
      <c r="C3" s="245"/>
      <c r="D3" s="245"/>
      <c r="E3" s="245"/>
      <c r="F3" s="246" t="s">
        <v>10</v>
      </c>
      <c r="G3" s="353"/>
      <c r="H3" s="354"/>
      <c r="I3" s="7"/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123"/>
      <c r="H4" s="125"/>
      <c r="I4" s="7"/>
      <c r="J4" s="7"/>
    </row>
    <row r="5" customFormat="false" ht="18.75" hidden="false" customHeight="false" outlineLevel="0" collapsed="false">
      <c r="A5" s="67"/>
      <c r="B5" s="67"/>
      <c r="C5" s="67"/>
      <c r="D5" s="67"/>
      <c r="E5" s="67"/>
      <c r="F5" s="67" t="s">
        <v>10</v>
      </c>
      <c r="G5" s="353"/>
      <c r="H5" s="37"/>
      <c r="I5" s="7"/>
      <c r="J5" s="7"/>
    </row>
    <row r="6" customFormat="false" ht="18.75" hidden="false" customHeight="false" outlineLevel="0" collapsed="false">
      <c r="A6" s="67"/>
      <c r="B6" s="67"/>
      <c r="C6" s="67"/>
      <c r="D6" s="67"/>
      <c r="E6" s="67"/>
      <c r="F6" s="67"/>
      <c r="G6" s="146"/>
      <c r="H6" s="37"/>
      <c r="I6" s="7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146"/>
      <c r="H7" s="37"/>
      <c r="I7" s="7"/>
      <c r="J7" s="7"/>
    </row>
    <row r="8" customFormat="false" ht="18.75" hidden="false" customHeight="false" outlineLevel="0" collapsed="false">
      <c r="A8" s="250"/>
      <c r="B8" s="67"/>
      <c r="C8" s="67"/>
      <c r="D8" s="249"/>
      <c r="E8" s="249"/>
      <c r="F8" s="67"/>
      <c r="G8" s="36"/>
      <c r="H8" s="37"/>
      <c r="I8" s="7"/>
      <c r="J8" s="7"/>
      <c r="L8" s="18" t="s">
        <v>17</v>
      </c>
      <c r="M8" s="14" t="n">
        <f aca="false">H13+H14</f>
        <v>0</v>
      </c>
    </row>
    <row r="9" customFormat="false" ht="19.7" hidden="false" customHeight="fals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129"/>
      <c r="H9" s="355"/>
      <c r="I9" s="7"/>
      <c r="J9" s="7"/>
      <c r="K9" s="6" t="s">
        <v>31</v>
      </c>
      <c r="L9" s="14"/>
      <c r="M9" s="14"/>
    </row>
    <row r="10" customFormat="false" ht="18.75" hidden="false" customHeight="false" outlineLevel="0" collapsed="false">
      <c r="A10" s="251"/>
      <c r="B10" s="67"/>
      <c r="C10" s="67"/>
      <c r="D10" s="249"/>
      <c r="E10" s="249"/>
      <c r="F10" s="67"/>
      <c r="G10" s="146"/>
      <c r="H10" s="354"/>
      <c r="I10" s="7"/>
      <c r="J10" s="7"/>
      <c r="K10" s="6" t="s">
        <v>32</v>
      </c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146"/>
      <c r="H11" s="37"/>
      <c r="I11" s="7"/>
      <c r="J11" s="7"/>
      <c r="L11" s="14"/>
      <c r="M11" s="14"/>
    </row>
    <row r="12" customFormat="false" ht="18.75" hidden="false" customHeight="false" outlineLevel="0" collapsed="false">
      <c r="A12" s="251"/>
      <c r="B12" s="67"/>
      <c r="C12" s="67"/>
      <c r="D12" s="249"/>
      <c r="E12" s="249"/>
      <c r="F12" s="67"/>
      <c r="G12" s="146"/>
      <c r="H12" s="354"/>
      <c r="I12" s="7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146"/>
      <c r="H13" s="354"/>
      <c r="I13" s="7"/>
      <c r="J13" s="7"/>
    </row>
    <row r="14" customFormat="false" ht="18.75" hidden="false" customHeight="false" outlineLevel="0" collapsed="false">
      <c r="A14" s="251"/>
      <c r="B14" s="67"/>
      <c r="C14" s="67"/>
      <c r="D14" s="249"/>
      <c r="E14" s="249"/>
      <c r="F14" s="67"/>
      <c r="G14" s="146"/>
      <c r="H14" s="354"/>
      <c r="I14" s="7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146"/>
      <c r="H15" s="356"/>
      <c r="I15" s="7"/>
      <c r="J15" s="21" t="n">
        <f aca="false">H15</f>
        <v>0</v>
      </c>
    </row>
    <row r="16" customFormat="false" ht="18.75" hidden="false" customHeight="false" outlineLevel="0" collapsed="false">
      <c r="A16" s="252"/>
      <c r="B16" s="252"/>
      <c r="C16" s="252"/>
      <c r="D16" s="249"/>
      <c r="E16" s="249"/>
      <c r="F16" s="67"/>
      <c r="G16" s="146"/>
      <c r="H16" s="354"/>
      <c r="I16" s="7"/>
      <c r="J16" s="7"/>
      <c r="Y16" s="23" t="s">
        <v>26</v>
      </c>
    </row>
    <row r="17" customFormat="false" ht="18.75" hidden="false" customHeight="false" outlineLevel="0" collapsed="false">
      <c r="A17" s="252"/>
      <c r="B17" s="252"/>
      <c r="C17" s="252"/>
      <c r="D17" s="249"/>
      <c r="E17" s="249"/>
      <c r="F17" s="67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252"/>
      <c r="B18" s="252"/>
      <c r="C18" s="252"/>
      <c r="D18" s="249"/>
      <c r="E18" s="249"/>
      <c r="F18" s="67"/>
      <c r="G18" s="43"/>
      <c r="H18" s="357"/>
      <c r="I18" s="7"/>
      <c r="J18" s="21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43"/>
      <c r="H19" s="357"/>
      <c r="I19" s="7"/>
      <c r="J19" s="7"/>
      <c r="Z19" s="7" t="s">
        <v>31</v>
      </c>
    </row>
    <row r="20" customFormat="false" ht="18.75" hidden="false" customHeight="false" outlineLevel="0" collapsed="false">
      <c r="A20" s="254"/>
      <c r="B20" s="67"/>
      <c r="C20" s="67"/>
      <c r="D20" s="67"/>
      <c r="E20" s="255"/>
      <c r="F20" s="67"/>
      <c r="G20" s="43"/>
      <c r="H20" s="357"/>
      <c r="I20" s="7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358"/>
      <c r="H21" s="359"/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32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95</v>
      </c>
      <c r="K29" s="360" t="n">
        <v>24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8000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0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/>
      <c r="J32" s="33" t="s">
        <v>49</v>
      </c>
      <c r="K32" s="46" t="n">
        <v>0</v>
      </c>
    </row>
    <row r="33" customFormat="false" ht="34.3" hidden="false" customHeight="false" outlineLevel="0" collapsed="false">
      <c r="A33" s="167" t="n">
        <f aca="false">A52</f>
        <v>36</v>
      </c>
      <c r="B33" s="217" t="n">
        <f aca="false">B51</f>
        <v>10000</v>
      </c>
      <c r="C33" s="36"/>
      <c r="D33" s="36"/>
      <c r="E33" s="361" t="n">
        <f aca="false">K48</f>
        <v>433.566004741586</v>
      </c>
      <c r="F33" s="361"/>
      <c r="G33" s="361"/>
      <c r="H33" s="51"/>
      <c r="I33" s="7"/>
      <c r="J33" s="38" t="s">
        <v>366</v>
      </c>
      <c r="K33" s="52" t="n">
        <f aca="false">E21</f>
        <v>14041.67</v>
      </c>
      <c r="L33" s="6" t="n">
        <f aca="false">H21-H11+(H16*20%)</f>
        <v>0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0.095</v>
      </c>
    </row>
    <row r="36" customFormat="false" ht="18.75" hidden="false" customHeight="false" outlineLevel="0" collapsed="false">
      <c r="A36" s="171" t="n">
        <f aca="false">K47</f>
        <v>433.566004741586</v>
      </c>
      <c r="B36" s="217" t="str">
        <f aca="false">IF(B26="YES",K42,"0.00")</f>
        <v>0.00</v>
      </c>
      <c r="C36" s="217"/>
      <c r="D36" s="217"/>
      <c r="E36" s="361" t="n">
        <f aca="false">K31</f>
        <v>0</v>
      </c>
      <c r="F36" s="361"/>
      <c r="G36" s="361"/>
      <c r="H36" s="51"/>
      <c r="I36" s="7"/>
      <c r="J36" s="7" t="s">
        <v>63</v>
      </c>
      <c r="K36" s="7" t="n">
        <f aca="false">K29</f>
        <v>36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14041.67</v>
      </c>
      <c r="L39" s="7" t="n">
        <f aca="false">(L47*K46)+K44</f>
        <v>25909.1715613066</v>
      </c>
      <c r="N39" s="6" t="n">
        <f aca="false">K39-L39</f>
        <v>-11867.5015613066</v>
      </c>
    </row>
    <row r="40" customFormat="false" ht="18.75" hidden="false" customHeight="false" outlineLevel="0" collapsed="false">
      <c r="A40" s="109" t="n">
        <f aca="false">E36*A45/100</f>
        <v>0</v>
      </c>
      <c r="B40" s="109" t="str">
        <f aca="false">IF(B26="YES",K42,"0.00")</f>
        <v>0.00</v>
      </c>
      <c r="C40" s="109"/>
      <c r="D40" s="109"/>
      <c r="E40" s="170" t="n">
        <f aca="false">K32</f>
        <v>0</v>
      </c>
      <c r="F40" s="47"/>
      <c r="G40" s="47"/>
      <c r="H40" s="51"/>
      <c r="J40" s="7" t="s">
        <v>119</v>
      </c>
      <c r="K40" s="7" t="n">
        <f aca="false">(A40)/1.2</f>
        <v>0</v>
      </c>
      <c r="L40" s="7" t="n">
        <f aca="false">K39-L39</f>
        <v>-11867.5015613066</v>
      </c>
      <c r="N40" s="6" t="n">
        <f aca="false">N38-N39</f>
        <v>14779.1815613066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0.00583333333333333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(K32/K36)*C45/100</f>
        <v>0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0</v>
      </c>
      <c r="L44" s="7"/>
    </row>
    <row r="45" customFormat="false" ht="18.75" hidden="false" customHeight="false" outlineLevel="0" collapsed="false">
      <c r="A45" s="65" t="n">
        <v>100</v>
      </c>
      <c r="B45" s="36"/>
      <c r="C45" s="66" t="n">
        <v>100</v>
      </c>
      <c r="D45" s="66"/>
      <c r="E45" s="66"/>
      <c r="F45" s="36"/>
      <c r="G45" s="36"/>
      <c r="H45" s="37"/>
      <c r="J45" s="7" t="s">
        <v>377</v>
      </c>
      <c r="K45" s="7" t="n">
        <f aca="false">(K39-K44)</f>
        <v>14041.67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32.3864644516332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433.566004741586</v>
      </c>
      <c r="L47" s="7" t="n">
        <f aca="false">L49-K42</f>
        <v>800</v>
      </c>
      <c r="M47" s="6" t="n">
        <f aca="false">K47-L47</f>
        <v>-366.433995258414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433.566004741586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10000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36</v>
      </c>
      <c r="B52" s="78" t="n">
        <f aca="false">K48</f>
        <v>433.566004741586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35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35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35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35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40526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40526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40526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40526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0.095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0.0725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6211.76466085548</v>
      </c>
      <c r="C65" s="36"/>
      <c r="D65" s="36"/>
      <c r="E65" s="27"/>
      <c r="F65" s="27"/>
      <c r="G65" s="27"/>
      <c r="H65" s="37"/>
      <c r="J65" s="60" t="s">
        <v>103</v>
      </c>
      <c r="K65" s="69" t="e">
        <f aca="false">(K89*K59)-(K47*K29)</f>
        <v>#VALUE!</v>
      </c>
      <c r="L65" s="36"/>
      <c r="M65" s="36"/>
      <c r="N65" s="27"/>
      <c r="O65" s="27"/>
      <c r="P65" s="27"/>
      <c r="Q65" s="37"/>
      <c r="S65" s="60" t="s">
        <v>103</v>
      </c>
      <c r="T65" s="69" t="e">
        <f aca="false">(T89*T59)-(K47*K29)</f>
        <v>#VALUE!</v>
      </c>
      <c r="U65" s="36"/>
      <c r="V65" s="36"/>
      <c r="W65" s="27"/>
      <c r="X65" s="27"/>
      <c r="Y65" s="27"/>
      <c r="Z65" s="37"/>
      <c r="AB65" s="60" t="s">
        <v>103</v>
      </c>
      <c r="AC65" s="69" t="e">
        <f aca="false">(AC89*AC59)-(K47*K29)</f>
        <v>#VALUE!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0.015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0.02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0.075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0.01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0.01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375.4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3039.45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405.26</v>
      </c>
      <c r="U68" s="36"/>
      <c r="V68" s="36"/>
      <c r="W68" s="27"/>
      <c r="X68" s="27"/>
      <c r="Y68" s="27"/>
      <c r="Z68" s="37"/>
      <c r="AB68" s="60" t="s">
        <v>106</v>
      </c>
      <c r="AC68" s="69" t="e">
        <f aca="false">AH158*AC67</f>
        <v>#VALUE!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B73*K29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36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433.566004741586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433.566004741586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433.566004741586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433.566004741586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18770</v>
      </c>
      <c r="C81" s="36"/>
      <c r="D81" s="36"/>
      <c r="E81" s="27"/>
      <c r="F81" s="29" t="s">
        <v>118</v>
      </c>
      <c r="G81" s="31" t="n">
        <f aca="false">G158</f>
        <v>18770</v>
      </c>
      <c r="H81" s="37"/>
      <c r="J81" s="29" t="s">
        <v>118</v>
      </c>
      <c r="K81" s="31" t="e">
        <f aca="false">P158</f>
        <v>#VALUE!</v>
      </c>
      <c r="L81" s="36"/>
      <c r="M81" s="36"/>
      <c r="N81" s="27"/>
      <c r="O81" s="27"/>
      <c r="P81" s="27"/>
      <c r="Q81" s="37"/>
      <c r="S81" s="29" t="s">
        <v>118</v>
      </c>
      <c r="T81" s="31" t="e">
        <f aca="false">Y158</f>
        <v>#VALUE!</v>
      </c>
      <c r="U81" s="36"/>
      <c r="V81" s="36"/>
      <c r="W81" s="27"/>
      <c r="X81" s="27"/>
      <c r="Y81" s="27"/>
      <c r="Z81" s="37"/>
      <c r="AB81" s="29" t="s">
        <v>118</v>
      </c>
      <c r="AC81" s="31" t="e">
        <f aca="false">AH158</f>
        <v>#VALUE!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0</v>
      </c>
      <c r="C82" s="36"/>
      <c r="D82" s="36"/>
      <c r="E82" s="27"/>
      <c r="F82" s="35" t="s">
        <v>119</v>
      </c>
      <c r="G82" s="37" t="n">
        <f aca="false">IF(A111="YES",A40,0)</f>
        <v>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0.12</v>
      </c>
      <c r="C83" s="36"/>
      <c r="D83" s="36"/>
      <c r="E83" s="27"/>
      <c r="F83" s="35" t="s">
        <v>120</v>
      </c>
      <c r="G83" s="95" t="n">
        <f aca="false">B63</f>
        <v>0.07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0.131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0.131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</v>
      </c>
      <c r="C84" s="36"/>
      <c r="D84" s="36"/>
      <c r="E84" s="27"/>
      <c r="F84" s="35" t="s">
        <v>121</v>
      </c>
      <c r="G84" s="88" t="n">
        <f aca="false">G83/12</f>
        <v>0.00583333333333333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0.0109166666666667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0.0109166666666667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36</v>
      </c>
      <c r="C85" s="36"/>
      <c r="D85" s="36"/>
      <c r="E85" s="27"/>
      <c r="F85" s="35" t="s">
        <v>122</v>
      </c>
      <c r="G85" s="37" t="n">
        <f aca="false">IF(G82=0,(B59+B58),(B59))</f>
        <v>36</v>
      </c>
      <c r="H85" s="37"/>
      <c r="J85" s="35" t="s">
        <v>122</v>
      </c>
      <c r="K85" s="37" t="n">
        <f aca="false">IF(K82=0,(K59+K58),(K59))</f>
        <v>36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35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35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0</v>
      </c>
      <c r="C86" s="36"/>
      <c r="D86" s="36"/>
      <c r="E86" s="27"/>
      <c r="F86" s="35" t="s">
        <v>123</v>
      </c>
      <c r="G86" s="37" t="n">
        <f aca="false">(G82/((1+G84)^(G85+1)))</f>
        <v>0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0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30.1075050372741</v>
      </c>
      <c r="C87" s="36"/>
      <c r="D87" s="36"/>
      <c r="E87" s="27"/>
      <c r="F87" s="35" t="s">
        <v>124</v>
      </c>
      <c r="G87" s="37" t="n">
        <f aca="false">((1-(1/((1+G84)^G85)))/G84)</f>
        <v>32.3864644516332</v>
      </c>
      <c r="H87" s="37"/>
      <c r="J87" s="35" t="s">
        <v>124</v>
      </c>
      <c r="K87" s="37" t="n">
        <f aca="false">((1-(1/((1+K84)^K85)))/K84)</f>
        <v>25.4888424823874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28.9600651941078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28.9600651941078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18770</v>
      </c>
      <c r="C88" s="36"/>
      <c r="D88" s="36"/>
      <c r="E88" s="27"/>
      <c r="F88" s="35" t="s">
        <v>125</v>
      </c>
      <c r="G88" s="37" t="n">
        <f aca="false">G81-G86</f>
        <v>18770</v>
      </c>
      <c r="H88" s="37"/>
      <c r="J88" s="35" t="s">
        <v>125</v>
      </c>
      <c r="K88" s="37" t="e">
        <f aca="false">K81-K86</f>
        <v>#VALUE!</v>
      </c>
      <c r="L88" s="36"/>
      <c r="M88" s="36"/>
      <c r="N88" s="27"/>
      <c r="O88" s="27"/>
      <c r="P88" s="27"/>
      <c r="Q88" s="37"/>
      <c r="S88" s="35" t="s">
        <v>125</v>
      </c>
      <c r="T88" s="37" t="e">
        <f aca="false">T81-T86</f>
        <v>#VALUE!</v>
      </c>
      <c r="U88" s="36"/>
      <c r="V88" s="36"/>
      <c r="W88" s="27"/>
      <c r="X88" s="27"/>
      <c r="Y88" s="27"/>
      <c r="Z88" s="37"/>
      <c r="AB88" s="35" t="s">
        <v>125</v>
      </c>
      <c r="AC88" s="37" t="e">
        <f aca="false">AC81-AC86</f>
        <v>#VALUE!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623.432595187216</v>
      </c>
      <c r="C89" s="36"/>
      <c r="D89" s="36"/>
      <c r="E89" s="27"/>
      <c r="F89" s="35" t="s">
        <v>126</v>
      </c>
      <c r="G89" s="37" t="n">
        <f aca="false">(G88/G87)</f>
        <v>579.563108163029</v>
      </c>
      <c r="H89" s="37"/>
      <c r="J89" s="35" t="s">
        <v>126</v>
      </c>
      <c r="K89" s="37" t="e">
        <f aca="false">(K88/K87)</f>
        <v>#VALUE!</v>
      </c>
      <c r="L89" s="36"/>
      <c r="M89" s="36"/>
      <c r="N89" s="27"/>
      <c r="O89" s="27"/>
      <c r="P89" s="27"/>
      <c r="Q89" s="37"/>
      <c r="S89" s="35" t="s">
        <v>126</v>
      </c>
      <c r="T89" s="37" t="e">
        <f aca="false">(T88/T87)</f>
        <v>#VALUE!</v>
      </c>
      <c r="U89" s="36"/>
      <c r="V89" s="36"/>
      <c r="W89" s="27"/>
      <c r="X89" s="27"/>
      <c r="Y89" s="27"/>
      <c r="Z89" s="37"/>
      <c r="AB89" s="35" t="s">
        <v>126</v>
      </c>
      <c r="AC89" s="37" t="e">
        <f aca="false">(AC88/AC87)</f>
        <v>#VALUE!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22443.5734267398</v>
      </c>
      <c r="C90" s="36"/>
      <c r="D90" s="36"/>
      <c r="E90" s="27"/>
      <c r="F90" s="35" t="s">
        <v>127</v>
      </c>
      <c r="G90" s="37" t="n">
        <f aca="false">((G89*(G85))+G77)</f>
        <v>20864.2718938691</v>
      </c>
      <c r="H90" s="37"/>
      <c r="J90" s="35" t="s">
        <v>127</v>
      </c>
      <c r="K90" s="37" t="e">
        <f aca="false">((K89*(K85))+K77)</f>
        <v>#VALUE!</v>
      </c>
      <c r="L90" s="36"/>
      <c r="M90" s="36"/>
      <c r="N90" s="27"/>
      <c r="O90" s="27"/>
      <c r="P90" s="27"/>
      <c r="Q90" s="37"/>
      <c r="S90" s="35" t="s">
        <v>127</v>
      </c>
      <c r="T90" s="37" t="e">
        <f aca="false">(T89*(T85))+T77</f>
        <v>#VALUE!</v>
      </c>
      <c r="U90" s="36"/>
      <c r="V90" s="36"/>
      <c r="W90" s="27"/>
      <c r="X90" s="27"/>
      <c r="Y90" s="27"/>
      <c r="Z90" s="37"/>
      <c r="AB90" s="35" t="s">
        <v>127</v>
      </c>
      <c r="AC90" s="37" t="e">
        <f aca="false">(AC89*(AC59))+AC77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e">
        <f aca="false">(K90/(1-K71))*K71</f>
        <v>#VALUE!</v>
      </c>
      <c r="L91" s="36"/>
      <c r="M91" s="36"/>
      <c r="N91" s="27"/>
      <c r="O91" s="27"/>
      <c r="P91" s="27"/>
      <c r="Q91" s="37"/>
      <c r="S91" s="35" t="s">
        <v>128</v>
      </c>
      <c r="T91" s="37" t="e">
        <f aca="false">(T90/(1-T71))*T71</f>
        <v>#VALUE!</v>
      </c>
      <c r="U91" s="36"/>
      <c r="V91" s="36"/>
      <c r="W91" s="27"/>
      <c r="X91" s="27"/>
      <c r="Y91" s="27"/>
      <c r="Z91" s="37"/>
      <c r="AB91" s="35" t="s">
        <v>128</v>
      </c>
      <c r="AC91" s="37" t="e">
        <f aca="false">(AC90/(1-AC71))*AC71</f>
        <v>#VALUE!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22443.5734267398</v>
      </c>
      <c r="C92" s="36"/>
      <c r="D92" s="36"/>
      <c r="E92" s="27"/>
      <c r="F92" s="60" t="s">
        <v>129</v>
      </c>
      <c r="G92" s="69" t="n">
        <f aca="false">(G90+G91)</f>
        <v>20864.2718938691</v>
      </c>
      <c r="H92" s="37"/>
      <c r="J92" s="60" t="s">
        <v>129</v>
      </c>
      <c r="K92" s="69" t="e">
        <f aca="false">(K90+K91)</f>
        <v>#VALUE!</v>
      </c>
      <c r="L92" s="36"/>
      <c r="M92" s="36"/>
      <c r="N92" s="27"/>
      <c r="O92" s="27"/>
      <c r="P92" s="27"/>
      <c r="Q92" s="37"/>
      <c r="S92" s="60" t="s">
        <v>129</v>
      </c>
      <c r="T92" s="69" t="e">
        <f aca="false">(T90+T91)</f>
        <v>#VALUE!</v>
      </c>
      <c r="U92" s="36"/>
      <c r="V92" s="36"/>
      <c r="W92" s="27"/>
      <c r="X92" s="27"/>
      <c r="Y92" s="27"/>
      <c r="Z92" s="37"/>
      <c r="AB92" s="60" t="s">
        <v>129</v>
      </c>
      <c r="AC92" s="69" t="e">
        <f aca="false">(AC90+AC91)</f>
        <v>#VALUE!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6" t="str">
        <f aca="false">IF(B26="YES",((E40/B85)*(1+A108)*1.2*(C45/100)),"0")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  <c r="J94" s="92" t="s">
        <v>130</v>
      </c>
      <c r="K94" s="93" t="n">
        <f aca="false">((E40/K85)*(1+J108))*1.2</f>
        <v>0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0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0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623.432595187216</v>
      </c>
      <c r="C95" s="36"/>
      <c r="D95" s="36"/>
      <c r="E95" s="27"/>
      <c r="F95" s="97" t="s">
        <v>131</v>
      </c>
      <c r="G95" s="98" t="n">
        <f aca="false">G92/(G85)</f>
        <v>579.563108163029</v>
      </c>
      <c r="H95" s="37"/>
      <c r="J95" s="97" t="s">
        <v>131</v>
      </c>
      <c r="K95" s="98" t="e">
        <f aca="false">K92/(K85)</f>
        <v>#VALUE!</v>
      </c>
      <c r="L95" s="36"/>
      <c r="M95" s="36"/>
      <c r="N95" s="27"/>
      <c r="O95" s="27"/>
      <c r="P95" s="27"/>
      <c r="Q95" s="37"/>
      <c r="S95" s="97" t="s">
        <v>131</v>
      </c>
      <c r="T95" s="98" t="e">
        <f aca="false">T92/(T85)</f>
        <v>#VALUE!</v>
      </c>
      <c r="U95" s="36"/>
      <c r="V95" s="36"/>
      <c r="W95" s="27"/>
      <c r="X95" s="27"/>
      <c r="Y95" s="27"/>
      <c r="Z95" s="37"/>
      <c r="AB95" s="97" t="s">
        <v>131</v>
      </c>
      <c r="AC95" s="98" t="e">
        <f aca="false">AC92/(AC59)</f>
        <v>#VALUE!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623.432595187216</v>
      </c>
      <c r="C96" s="36"/>
      <c r="D96" s="36"/>
      <c r="E96" s="27"/>
      <c r="F96" s="99" t="s">
        <v>132</v>
      </c>
      <c r="G96" s="100" t="n">
        <f aca="false">G94+G95</f>
        <v>579.563108163029</v>
      </c>
      <c r="H96" s="37"/>
      <c r="J96" s="99" t="s">
        <v>132</v>
      </c>
      <c r="K96" s="100" t="e">
        <f aca="false">(K94+K95)</f>
        <v>#VALUE!</v>
      </c>
      <c r="L96" s="36"/>
      <c r="M96" s="36"/>
      <c r="N96" s="27"/>
      <c r="O96" s="27"/>
      <c r="P96" s="27"/>
      <c r="Q96" s="37"/>
      <c r="S96" s="99" t="s">
        <v>132</v>
      </c>
      <c r="T96" s="100" t="e">
        <f aca="false">T94+T95</f>
        <v>#VALUE!</v>
      </c>
      <c r="U96" s="36"/>
      <c r="V96" s="36"/>
      <c r="W96" s="27"/>
      <c r="X96" s="27"/>
      <c r="Y96" s="27"/>
      <c r="Z96" s="37"/>
      <c r="AB96" s="99" t="s">
        <v>132</v>
      </c>
      <c r="AC96" s="100" t="e">
        <f aca="false">AC94+AC95</f>
        <v>#VALUE!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362" t="s">
        <v>32</v>
      </c>
      <c r="F105" s="362"/>
      <c r="G105" s="362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0.2</v>
      </c>
      <c r="B108" s="109" t="n">
        <v>0</v>
      </c>
      <c r="C108" s="109"/>
      <c r="D108" s="109" t="n">
        <v>0</v>
      </c>
      <c r="E108" s="110" t="n">
        <f aca="false">B83</f>
        <v>0.12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0.131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0.131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2000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B9</f>
        <v>14041.67</v>
      </c>
      <c r="C121" s="44" t="n">
        <v>15625</v>
      </c>
      <c r="D121" s="29" t="n">
        <f aca="false">D3</f>
        <v>0</v>
      </c>
      <c r="E121" s="44" t="n">
        <f aca="false">D121</f>
        <v>0</v>
      </c>
      <c r="F121" s="29" t="n">
        <f aca="false">B11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0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str">
        <f aca="false">F3</f>
        <v> </v>
      </c>
      <c r="P121" s="44" t="str">
        <f aca="false">O121</f>
        <v> </v>
      </c>
      <c r="Q121" s="121" t="n">
        <f aca="false">H3</f>
        <v>0</v>
      </c>
      <c r="S121" s="29" t="s">
        <v>161</v>
      </c>
      <c r="T121" s="29" t="n">
        <f aca="false">B3</f>
        <v>0</v>
      </c>
      <c r="U121" s="44" t="n">
        <f aca="false">T121</f>
        <v>0</v>
      </c>
      <c r="V121" s="29" t="n">
        <f aca="false">D3</f>
        <v>0</v>
      </c>
      <c r="W121" s="44" t="n">
        <f aca="false">V121</f>
        <v>0</v>
      </c>
      <c r="X121" s="29" t="str">
        <f aca="false">F3</f>
        <v> </v>
      </c>
      <c r="Y121" s="44" t="str">
        <f aca="false">X121</f>
        <v> </v>
      </c>
      <c r="Z121" s="121" t="n">
        <f aca="false">H3</f>
        <v>0</v>
      </c>
      <c r="AB121" s="29" t="s">
        <v>161</v>
      </c>
      <c r="AC121" s="29" t="n">
        <f aca="false">B3</f>
        <v>0</v>
      </c>
      <c r="AD121" s="44" t="n">
        <f aca="false">AC121</f>
        <v>0</v>
      </c>
      <c r="AE121" s="29" t="n">
        <f aca="false">D3</f>
        <v>0</v>
      </c>
      <c r="AF121" s="44" t="n">
        <f aca="false">AE121</f>
        <v>0</v>
      </c>
      <c r="AG121" s="29" t="str">
        <f aca="false">F3</f>
        <v> </v>
      </c>
      <c r="AH121" s="44" t="str">
        <f aca="false">AG121</f>
        <v> 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v>0</v>
      </c>
      <c r="D122" s="122" t="n">
        <v>0</v>
      </c>
      <c r="E122" s="123" t="n">
        <v>0</v>
      </c>
      <c r="F122" s="122" t="n">
        <v>0</v>
      </c>
      <c r="G122" s="363" t="n">
        <v>0</v>
      </c>
      <c r="H122" s="125"/>
      <c r="J122" s="35" t="s">
        <v>162</v>
      </c>
      <c r="K122" s="122" t="n">
        <f aca="false">B4</f>
        <v>16850.004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str">
        <f aca="false">F4</f>
        <v> </v>
      </c>
      <c r="P122" s="363" t="str">
        <f aca="false">O122</f>
        <v> </v>
      </c>
      <c r="Q122" s="125"/>
      <c r="S122" s="35" t="s">
        <v>162</v>
      </c>
      <c r="T122" s="122" t="n">
        <f aca="false">B4</f>
        <v>16850.004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str">
        <f aca="false">F4</f>
        <v> </v>
      </c>
      <c r="Y122" s="363" t="str">
        <f aca="false">X122</f>
        <v> </v>
      </c>
      <c r="Z122" s="125"/>
      <c r="AB122" s="35" t="s">
        <v>162</v>
      </c>
      <c r="AC122" s="122" t="n">
        <f aca="false">B4</f>
        <v>16850.004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str">
        <f aca="false">F4</f>
        <v> </v>
      </c>
      <c r="AH122" s="363" t="str">
        <f aca="false">AG122</f>
        <v> 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v>0</v>
      </c>
      <c r="D123" s="35" t="n">
        <v>0</v>
      </c>
      <c r="E123" s="44" t="n">
        <v>0</v>
      </c>
      <c r="F123" s="35" t="n"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str">
        <f aca="false">F5</f>
        <v> </v>
      </c>
      <c r="P123" s="44" t="str">
        <f aca="false">O123</f>
        <v> 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str">
        <f aca="false">F5</f>
        <v> </v>
      </c>
      <c r="Y123" s="44" t="str">
        <f aca="false">X123</f>
        <v> 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str">
        <f aca="false">F5</f>
        <v> </v>
      </c>
      <c r="AH123" s="44" t="str">
        <f aca="false">AG123</f>
        <v> 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0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e">
        <f aca="false">(O121*O122)+O123</f>
        <v>#VALUE!</v>
      </c>
      <c r="P124" s="31" t="e">
        <f aca="false">(P121*P122)+P123</f>
        <v>#VALUE!</v>
      </c>
      <c r="Q124" s="37"/>
      <c r="S124" s="35" t="s">
        <v>164</v>
      </c>
      <c r="T124" s="35" t="n">
        <f aca="false">(T121*T122)+T123</f>
        <v>0</v>
      </c>
      <c r="U124" s="31" t="n">
        <f aca="false">(U121*U122)+U123</f>
        <v>0</v>
      </c>
      <c r="V124" s="35" t="n">
        <f aca="false">(V121*V122)+V123</f>
        <v>0</v>
      </c>
      <c r="W124" s="31" t="n">
        <f aca="false">(W121*W122)+W123</f>
        <v>0</v>
      </c>
      <c r="X124" s="35" t="e">
        <f aca="false">(X121*X122)+X123</f>
        <v>#VALUE!</v>
      </c>
      <c r="Y124" s="31" t="e">
        <f aca="false">(Y121*Y122)+Y123</f>
        <v>#VALUE!</v>
      </c>
      <c r="Z124" s="37"/>
      <c r="AB124" s="35" t="s">
        <v>164</v>
      </c>
      <c r="AC124" s="35" t="n">
        <f aca="false">(AC121*AC122)+AC123</f>
        <v>0</v>
      </c>
      <c r="AD124" s="31" t="n">
        <f aca="false">(AD121*AD122)+AD123</f>
        <v>0</v>
      </c>
      <c r="AE124" s="35" t="n">
        <f aca="false">(AE121*AE122)+AE123</f>
        <v>0</v>
      </c>
      <c r="AF124" s="31" t="n">
        <f aca="false">(AF121*AF122)+AF123</f>
        <v>0</v>
      </c>
      <c r="AG124" s="35" t="e">
        <f aca="false">(AG121*AG122)+AG123</f>
        <v>#VALUE!</v>
      </c>
      <c r="AH124" s="31" t="e">
        <f aca="false">(AH121*AH122)+AH123</f>
        <v>#VALUE!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14041.67</v>
      </c>
      <c r="C125" s="69" t="n">
        <f aca="false">C121-C124</f>
        <v>16125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0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e">
        <f aca="false">O121-O124</f>
        <v>#VALUE!</v>
      </c>
      <c r="P125" s="69" t="e">
        <f aca="false">P121-P124</f>
        <v>#VALUE!</v>
      </c>
      <c r="Q125" s="69"/>
      <c r="S125" s="60" t="s">
        <v>165</v>
      </c>
      <c r="T125" s="60" t="n">
        <f aca="false">T121-T124</f>
        <v>0</v>
      </c>
      <c r="U125" s="69" t="n">
        <f aca="false">U121-U124</f>
        <v>0</v>
      </c>
      <c r="V125" s="60" t="n">
        <f aca="false">V121-V124</f>
        <v>0</v>
      </c>
      <c r="W125" s="69" t="n">
        <f aca="false">W121-W124</f>
        <v>0</v>
      </c>
      <c r="X125" s="60" t="e">
        <f aca="false">X121-X124</f>
        <v>#VALUE!</v>
      </c>
      <c r="Y125" s="69" t="e">
        <f aca="false">Y121-Y124</f>
        <v>#VALUE!</v>
      </c>
      <c r="Z125" s="69"/>
      <c r="AB125" s="60" t="s">
        <v>165</v>
      </c>
      <c r="AC125" s="60" t="n">
        <f aca="false">AC121-AC124</f>
        <v>0</v>
      </c>
      <c r="AD125" s="69" t="n">
        <f aca="false">AD121-AD124</f>
        <v>0</v>
      </c>
      <c r="AE125" s="60" t="n">
        <f aca="false">AE121-AE124</f>
        <v>0</v>
      </c>
      <c r="AF125" s="69" t="n">
        <f aca="false">AF121-AF124</f>
        <v>0</v>
      </c>
      <c r="AG125" s="60" t="e">
        <f aca="false">AG121-AG124</f>
        <v>#VALUE!</v>
      </c>
      <c r="AH125" s="69" t="e">
        <f aca="false">AH121-AH124</f>
        <v>#VALUE!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B121</f>
        <v>14041.67</v>
      </c>
      <c r="H135" s="144" t="n">
        <f aca="false">C125+E125+G125+H128</f>
        <v>16125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0</v>
      </c>
      <c r="Q135" s="144" t="e">
        <f aca="false">L125+N125+P125+Q128</f>
        <v>#VALUE!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0</v>
      </c>
      <c r="Z135" s="144" t="e">
        <f aca="false">U125+W125+Y125+Z128</f>
        <v>#VALUE!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0</v>
      </c>
      <c r="AI135" s="144" t="e">
        <f aca="false">AD125+AF125+AH125+AI128</f>
        <v>#VALUE!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0</v>
      </c>
      <c r="Q136" s="37" t="n">
        <f aca="false">P136</f>
        <v>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0</v>
      </c>
      <c r="Z136" s="37" t="n">
        <f aca="false">Y136</f>
        <v>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0</v>
      </c>
      <c r="AI136" s="37" t="n">
        <f aca="false">AH136</f>
        <v>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2808.334</v>
      </c>
      <c r="H137" s="37" t="n">
        <f aca="false">(H135+H136)*20%</f>
        <v>3225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0</v>
      </c>
      <c r="Q137" s="37" t="e">
        <f aca="false">(Q135+Q136)*20%</f>
        <v>#VALUE!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0</v>
      </c>
      <c r="Z137" s="37" t="e">
        <f aca="false">(Z135+Z136)*20%</f>
        <v>#VALUE!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0</v>
      </c>
      <c r="AI137" s="37" t="e">
        <f aca="false">(AI135+AI136)*20%</f>
        <v>#VALUE!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0</v>
      </c>
      <c r="Q139" s="37" t="n">
        <f aca="false">P139</f>
        <v>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0</v>
      </c>
      <c r="Z139" s="37" t="n">
        <f aca="false">Y139</f>
        <v>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0</v>
      </c>
      <c r="AI139" s="37" t="n">
        <f aca="false">AH139</f>
        <v>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0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0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0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16850.004</v>
      </c>
      <c r="H141" s="147" t="n">
        <f aca="false">(H135+H136+H139+H140+H137)-H138</f>
        <v>19350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0</v>
      </c>
      <c r="Q141" s="147" t="e">
        <f aca="false">(Q135+Q136+Q139+Q140+Q137)-Q138</f>
        <v>#VALUE!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0</v>
      </c>
      <c r="Z141" s="147" t="e">
        <f aca="false">(Z135+Z136+Z139+Z140+Z137)-Z138</f>
        <v>#VALUE!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0</v>
      </c>
      <c r="AI141" s="147" t="e">
        <f aca="false">(AI135+AI136+AI139+AI140+AI137)-AI138</f>
        <v>#VALUE!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16850.004</v>
      </c>
      <c r="H147" s="154" t="n">
        <f aca="false">H141-((H144*1.2)+(H145*1.2)+(H146*1.2)+(H142*1.2))</f>
        <v>19350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0</v>
      </c>
      <c r="Q147" s="154" t="e">
        <f aca="false">Q141-((Q144*1.2)+(Q145*1.2)+(Q146*1.2)+(Q142*1.2))</f>
        <v>#VALUE!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0</v>
      </c>
      <c r="Z147" s="154" t="e">
        <f aca="false">Z141-((Z144*1.2)+(Z145*1.2)+(Z146*1.2)+(Z142*1.2))</f>
        <v>#VALUE!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0</v>
      </c>
      <c r="AI147" s="154" t="e">
        <f aca="false">AI141-((AI144*1.2)+(AI145*1.2)+(AI146*1.2)+(AI142*1.2))</f>
        <v>#VALUE!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-13905.5583333333</v>
      </c>
      <c r="J148" s="145" t="s">
        <v>184</v>
      </c>
      <c r="K148" s="145"/>
      <c r="L148" s="145"/>
      <c r="M148" s="145"/>
      <c r="N148" s="145"/>
      <c r="O148" s="145"/>
      <c r="P148" s="146"/>
      <c r="Q148" s="44" t="e">
        <f aca="false">Q147-P147</f>
        <v>#VALUE!</v>
      </c>
      <c r="S148" s="145" t="s">
        <v>184</v>
      </c>
      <c r="T148" s="145"/>
      <c r="U148" s="145"/>
      <c r="V148" s="145"/>
      <c r="W148" s="145"/>
      <c r="X148" s="145"/>
      <c r="Y148" s="146"/>
      <c r="Z148" s="44" t="e">
        <f aca="false">Z147-Y147</f>
        <v>#VALUE!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e">
        <f aca="false">AI147-AH147</f>
        <v>#VALUE!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2000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18770</v>
      </c>
      <c r="H158" s="160"/>
      <c r="J158" s="159" t="s">
        <v>192</v>
      </c>
      <c r="K158" s="36"/>
      <c r="L158" s="36"/>
      <c r="M158" s="27"/>
      <c r="N158" s="36"/>
      <c r="O158" s="27"/>
      <c r="P158" s="160" t="e">
        <f aca="false">Q147-P154-P157</f>
        <v>#VALUE!</v>
      </c>
      <c r="Q158" s="160"/>
      <c r="S158" s="159" t="s">
        <v>192</v>
      </c>
      <c r="T158" s="36"/>
      <c r="U158" s="36"/>
      <c r="V158" s="27"/>
      <c r="W158" s="36"/>
      <c r="X158" s="27"/>
      <c r="Y158" s="160" t="e">
        <f aca="false">Z147-Y154-Y157</f>
        <v>#VALUE!</v>
      </c>
      <c r="Z158" s="160"/>
      <c r="AB158" s="159" t="s">
        <v>192</v>
      </c>
      <c r="AC158" s="36"/>
      <c r="AD158" s="36"/>
      <c r="AE158" s="27"/>
      <c r="AF158" s="36"/>
      <c r="AG158" s="27"/>
      <c r="AH158" s="160" t="e">
        <f aca="false">AI147-AH154-AH157</f>
        <v>#VALUE!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165" t="n">
        <f aca="false">B95</f>
        <v>623.432595187216</v>
      </c>
      <c r="B167" s="166" t="str">
        <f aca="false">B94</f>
        <v>0</v>
      </c>
      <c r="C167" s="164"/>
      <c r="D167" s="164"/>
      <c r="E167" s="166" t="n">
        <f aca="false">B96</f>
        <v>623.432595187216</v>
      </c>
      <c r="F167" s="27"/>
      <c r="G167" s="27" t="n">
        <f aca="false">ROUND(G95,2)</f>
        <v>579.56</v>
      </c>
      <c r="H167" s="37"/>
      <c r="J167" s="165" t="e">
        <f aca="false">K95</f>
        <v>#VALUE!</v>
      </c>
      <c r="K167" s="166" t="n">
        <f aca="false">K94</f>
        <v>0</v>
      </c>
      <c r="L167" s="164"/>
      <c r="M167" s="164"/>
      <c r="N167" s="166" t="e">
        <f aca="false">K96</f>
        <v>#VALUE!</v>
      </c>
      <c r="O167" s="27"/>
      <c r="P167" s="27"/>
      <c r="Q167" s="37"/>
      <c r="S167" s="165" t="e">
        <f aca="false">T95</f>
        <v>#VALUE!</v>
      </c>
      <c r="T167" s="166" t="n">
        <f aca="false">T94</f>
        <v>0</v>
      </c>
      <c r="U167" s="164"/>
      <c r="V167" s="164"/>
      <c r="W167" s="166" t="e">
        <f aca="false">T96</f>
        <v>#VALUE!</v>
      </c>
      <c r="X167" s="27"/>
      <c r="Y167" s="27"/>
      <c r="Z167" s="37"/>
      <c r="AB167" s="165" t="e">
        <f aca="false">AC95</f>
        <v>#VALUE!</v>
      </c>
      <c r="AC167" s="166" t="n">
        <f aca="false">AC94</f>
        <v>0</v>
      </c>
      <c r="AD167" s="164"/>
      <c r="AE167" s="164"/>
      <c r="AF167" s="166" t="e">
        <f aca="false">AC96</f>
        <v>#VALUE!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36</v>
      </c>
      <c r="B170" s="168" t="n">
        <f aca="false">K30</f>
        <v>10000</v>
      </c>
      <c r="C170" s="169"/>
      <c r="D170" s="27"/>
      <c r="E170" s="170" t="n">
        <f aca="false">IF(A111="YES",A40,0)</f>
        <v>0</v>
      </c>
      <c r="F170" s="27"/>
      <c r="G170" s="27"/>
      <c r="H170" s="37"/>
      <c r="J170" s="167" t="n">
        <f aca="false">K29</f>
        <v>36</v>
      </c>
      <c r="K170" s="168" t="n">
        <f aca="false">K30</f>
        <v>10000</v>
      </c>
      <c r="L170" s="169"/>
      <c r="M170" s="27"/>
      <c r="N170" s="170" t="n">
        <f aca="false">IF(A111="YES",A40,0)</f>
        <v>0</v>
      </c>
      <c r="O170" s="27"/>
      <c r="P170" s="27"/>
      <c r="Q170" s="37"/>
      <c r="S170" s="167" t="n">
        <f aca="false">K29</f>
        <v>36</v>
      </c>
      <c r="T170" s="168" t="n">
        <f aca="false">K30</f>
        <v>10000</v>
      </c>
      <c r="U170" s="169"/>
      <c r="V170" s="27"/>
      <c r="W170" s="170" t="n">
        <f aca="false">IF(A111="YES",A40,0)</f>
        <v>0</v>
      </c>
      <c r="X170" s="27"/>
      <c r="Y170" s="27"/>
      <c r="Z170" s="37"/>
      <c r="AB170" s="167" t="n">
        <f aca="false">K29</f>
        <v>36</v>
      </c>
      <c r="AC170" s="168" t="n">
        <f aca="false">K30</f>
        <v>10000</v>
      </c>
      <c r="AD170" s="169"/>
      <c r="AE170" s="27"/>
      <c r="AF170" s="170" t="n">
        <f aca="false">IF(A111="YES",A40,0)</f>
        <v>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16125</v>
      </c>
      <c r="B173" s="42" t="n">
        <f aca="false">H137</f>
        <v>3225</v>
      </c>
      <c r="C173" s="47"/>
      <c r="D173" s="27"/>
      <c r="E173" s="170" t="n">
        <f aca="false">H139+H140</f>
        <v>0</v>
      </c>
      <c r="F173" s="27"/>
      <c r="G173" s="27"/>
      <c r="H173" s="37"/>
      <c r="J173" s="171" t="e">
        <f aca="false">Q141-Q137-Q139-Q140</f>
        <v>#VALUE!</v>
      </c>
      <c r="K173" s="42" t="e">
        <f aca="false">Q137</f>
        <v>#VALUE!</v>
      </c>
      <c r="L173" s="47"/>
      <c r="M173" s="27"/>
      <c r="N173" s="170" t="n">
        <f aca="false">Q139+Q140</f>
        <v>55</v>
      </c>
      <c r="O173" s="27"/>
      <c r="P173" s="27"/>
      <c r="Q173" s="37"/>
      <c r="S173" s="171" t="e">
        <f aca="false">Z141-Z137-Z139-Z140</f>
        <v>#VALUE!</v>
      </c>
      <c r="T173" s="42" t="e">
        <f aca="false">Z137</f>
        <v>#VALUE!</v>
      </c>
      <c r="U173" s="47"/>
      <c r="V173" s="27"/>
      <c r="W173" s="170" t="n">
        <f aca="false">Z139+Z140</f>
        <v>55</v>
      </c>
      <c r="X173" s="27"/>
      <c r="Y173" s="27"/>
      <c r="Z173" s="37"/>
      <c r="AB173" s="171" t="e">
        <f aca="false">AI141-AI137-AI139-AI140</f>
        <v>#VALUE!</v>
      </c>
      <c r="AC173" s="42" t="e">
        <f aca="false">AI137</f>
        <v>#VALUE!</v>
      </c>
      <c r="AD173" s="47"/>
      <c r="AE173" s="27"/>
      <c r="AF173" s="170" t="n">
        <f aca="false">AI139+AI140</f>
        <v>55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H147</f>
        <v>19350</v>
      </c>
      <c r="B176" s="42" t="n">
        <f aca="false">B111</f>
        <v>1000</v>
      </c>
      <c r="C176" s="42"/>
      <c r="D176" s="27"/>
      <c r="E176" s="42" t="n">
        <f aca="false">E111</f>
        <v>1000</v>
      </c>
      <c r="F176" s="27"/>
      <c r="G176" s="27"/>
      <c r="H176" s="107"/>
      <c r="J176" s="171" t="e">
        <f aca="false">Q141</f>
        <v>#VALUE!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e">
        <f aca="false">Z141</f>
        <v>#VALUE!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e">
        <f aca="false">AI141</f>
        <v>#VALUE!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2000</v>
      </c>
      <c r="B179" s="42" t="n">
        <f aca="false">G154</f>
        <v>0</v>
      </c>
      <c r="C179" s="42"/>
      <c r="D179" s="27"/>
      <c r="E179" s="42" t="n">
        <f aca="false">G158</f>
        <v>18770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e">
        <f aca="false">J176-J179-K179</f>
        <v>#VALUE!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e">
        <f aca="false">S176-S179-T179</f>
        <v>#VALUE!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e">
        <f aca="false">AB176-AB179-AC179</f>
        <v>#VALUE!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(A167*B59)+E185-E179-A185</f>
        <v>3673.57342673979</v>
      </c>
      <c r="B182" s="42" t="n">
        <f aca="false">B114</f>
        <v>239.99</v>
      </c>
      <c r="C182" s="42"/>
      <c r="D182" s="27"/>
      <c r="E182" s="42" t="n">
        <f aca="false">E179+A182+B182+A185</f>
        <v>22693.5634267398</v>
      </c>
      <c r="F182" s="27"/>
      <c r="G182" s="27"/>
      <c r="H182" s="107"/>
      <c r="J182" s="113" t="e">
        <f aca="false">(J167*K59)+N185-N179-J185</f>
        <v>#VALUE!</v>
      </c>
      <c r="K182" s="42" t="n">
        <f aca="false">K114</f>
        <v>239.99</v>
      </c>
      <c r="L182" s="42"/>
      <c r="M182" s="27"/>
      <c r="N182" s="42" t="e">
        <f aca="false">N179+J182+K182+J185</f>
        <v>#VALUE!</v>
      </c>
      <c r="O182" s="27"/>
      <c r="P182" s="27"/>
      <c r="Q182" s="107"/>
      <c r="S182" s="113" t="e">
        <f aca="false">(S167*T59)+W185-W179-S185</f>
        <v>#VALUE!</v>
      </c>
      <c r="T182" s="42" t="n">
        <f aca="false">T114</f>
        <v>199.99</v>
      </c>
      <c r="U182" s="42"/>
      <c r="V182" s="27"/>
      <c r="W182" s="42" t="e">
        <f aca="false">W179+S182+T182+S185</f>
        <v>#VALUE!</v>
      </c>
      <c r="X182" s="27"/>
      <c r="Y182" s="27"/>
      <c r="Z182" s="107"/>
      <c r="AB182" s="113" t="e">
        <f aca="false">(AB167*AC59)+AF185-AF179-AB185</f>
        <v>#VALUE!</v>
      </c>
      <c r="AC182" s="42" t="n">
        <f aca="false">AC114</f>
        <v>239.99</v>
      </c>
      <c r="AD182" s="42"/>
      <c r="AE182" s="27"/>
      <c r="AF182" s="42" t="e">
        <f aca="false">AF179+AB182+AC182+AB185</f>
        <v>#VALUE!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A179+(B182)</f>
        <v>2239.99</v>
      </c>
      <c r="C185" s="42"/>
      <c r="D185" s="27"/>
      <c r="E185" s="42" t="n">
        <f aca="false">IF( E170=0, A185+E167, E170+A185)</f>
        <v>633.432595187216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20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10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10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IF(E105="YES",J18*0.000002,0)*100*1.2</f>
        <v>0</v>
      </c>
      <c r="B188" s="42" t="n">
        <f aca="false">(G158*B67)</f>
        <v>375.4</v>
      </c>
      <c r="C188" s="36"/>
      <c r="D188" s="36"/>
      <c r="E188" s="42" t="n">
        <f aca="false">(E40*A108)*0.1*(C45/100)</f>
        <v>0</v>
      </c>
      <c r="F188" s="27"/>
      <c r="G188" s="27"/>
      <c r="H188" s="37"/>
      <c r="J188" s="113" t="n">
        <f aca="false">IF(N105="YES",H15*0.000002,0)</f>
        <v>0</v>
      </c>
      <c r="K188" s="42" t="e">
        <f aca="false">(P158*K67)/1.2</f>
        <v>#VALUE!</v>
      </c>
      <c r="L188" s="36"/>
      <c r="M188" s="36"/>
      <c r="N188" s="42" t="n">
        <f aca="false">(E40*J108)*0.1</f>
        <v>0</v>
      </c>
      <c r="O188" s="27"/>
      <c r="P188" s="27"/>
      <c r="Q188" s="37"/>
      <c r="S188" s="113" t="n">
        <f aca="false">IF(W105="YES",Z15*0.000002,0)</f>
        <v>0</v>
      </c>
      <c r="T188" s="42" t="e">
        <f aca="false">(Y158*T67)/1.2</f>
        <v>#VALUE!</v>
      </c>
      <c r="U188" s="36"/>
      <c r="V188" s="36"/>
      <c r="W188" s="42" t="n">
        <f aca="false">(E40*S108)*0.1</f>
        <v>0</v>
      </c>
      <c r="X188" s="36"/>
      <c r="Y188" s="36"/>
      <c r="Z188" s="37"/>
      <c r="AB188" s="113" t="n">
        <f aca="false">IF(AF105="YES",AI15*0.000002,0)</f>
        <v>0</v>
      </c>
      <c r="AC188" s="42" t="e">
        <f aca="false">(AH158*AC67)/1.2</f>
        <v>#VALUE!</v>
      </c>
      <c r="AD188" s="36"/>
      <c r="AE188" s="36"/>
      <c r="AF188" s="42" t="n">
        <f aca="false">(E40*AB108)*0.1</f>
        <v>0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395.4</v>
      </c>
      <c r="C191" s="36"/>
      <c r="D191" s="36"/>
      <c r="E191" s="42" t="n">
        <f aca="false">H148</f>
        <v>2083.33</v>
      </c>
      <c r="F191" s="27"/>
      <c r="G191" s="27"/>
      <c r="H191" s="37"/>
      <c r="J191" s="113" t="n">
        <f aca="false">K185-100</f>
        <v>1139.99</v>
      </c>
      <c r="K191" s="42" t="e">
        <f aca="false">K188+N188+J191</f>
        <v>#VALUE!</v>
      </c>
      <c r="L191" s="36"/>
      <c r="M191" s="36"/>
      <c r="N191" s="42" t="e">
        <f aca="false">Q148</f>
        <v>#VALUE!</v>
      </c>
      <c r="O191" s="27"/>
      <c r="P191" s="27"/>
      <c r="Q191" s="37"/>
      <c r="S191" s="113" t="n">
        <f aca="false">T185-100</f>
        <v>1099.99</v>
      </c>
      <c r="T191" s="42" t="e">
        <f aca="false">T188+W188+S191</f>
        <v>#VALUE!</v>
      </c>
      <c r="U191" s="36"/>
      <c r="V191" s="36"/>
      <c r="W191" s="42" t="e">
        <f aca="false">Z148</f>
        <v>#VALUE!</v>
      </c>
      <c r="X191" s="36"/>
      <c r="Y191" s="36"/>
      <c r="Z191" s="37"/>
      <c r="AB191" s="113" t="n">
        <f aca="false">AC185-100</f>
        <v>1139.99</v>
      </c>
      <c r="AC191" s="42" t="e">
        <f aca="false">AC188+AF188+AB191</f>
        <v>#VALUE!</v>
      </c>
      <c r="AD191" s="36"/>
      <c r="AE191" s="36"/>
      <c r="AF191" s="42" t="e">
        <f aca="false">AI148</f>
        <v>#VALUE!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10000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10000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10000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10000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36</v>
      </c>
      <c r="B197" s="78" t="n">
        <f aca="false">B96</f>
        <v>623.432595187216</v>
      </c>
      <c r="C197" s="78"/>
      <c r="D197" s="78"/>
      <c r="E197" s="27"/>
      <c r="F197" s="27"/>
      <c r="G197" s="27"/>
      <c r="H197" s="37"/>
      <c r="J197" s="77" t="n">
        <f aca="false">K29</f>
        <v>36</v>
      </c>
      <c r="K197" s="78" t="e">
        <f aca="false">K96</f>
        <v>#VALUE!</v>
      </c>
      <c r="L197" s="78"/>
      <c r="M197" s="78"/>
      <c r="N197" s="27"/>
      <c r="O197" s="27"/>
      <c r="P197" s="27"/>
      <c r="Q197" s="37"/>
      <c r="S197" s="77" t="n">
        <f aca="false">K29</f>
        <v>36</v>
      </c>
      <c r="T197" s="78" t="e">
        <f aca="false">T96</f>
        <v>#VALUE!</v>
      </c>
      <c r="U197" s="78"/>
      <c r="V197" s="78"/>
      <c r="W197" s="27"/>
      <c r="X197" s="27"/>
      <c r="Y197" s="27"/>
      <c r="Z197" s="37"/>
      <c r="AB197" s="77" t="n">
        <f aca="false">K29</f>
        <v>36</v>
      </c>
      <c r="AC197" s="78" t="e">
        <f aca="false">AC96</f>
        <v>#VALUE!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2094.16</v>
      </c>
      <c r="B201" s="47" t="n">
        <f aca="false">E179+A201+B182+A185</f>
        <v>21114.15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n">
        <f aca="false">A197</f>
        <v>36</v>
      </c>
      <c r="C209" s="164"/>
      <c r="D209" s="164"/>
      <c r="E209" s="164" t="n">
        <f aca="false">B196</f>
        <v>10000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623.432595187216</v>
      </c>
      <c r="B212" s="166" t="str">
        <f aca="false">B167</f>
        <v>0</v>
      </c>
      <c r="C212" s="164"/>
      <c r="D212" s="164"/>
      <c r="E212" s="166" t="n">
        <f aca="false">E167</f>
        <v>623.432595187216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16125</v>
      </c>
      <c r="B215" s="42" t="n">
        <f aca="false">B173</f>
        <v>3225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19350</v>
      </c>
      <c r="B218" s="42" t="n">
        <f aca="false">B176</f>
        <v>1000</v>
      </c>
      <c r="C218" s="42"/>
      <c r="D218" s="27"/>
      <c r="E218" s="42" t="n">
        <f aca="false">E176</f>
        <v>1000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2000</v>
      </c>
      <c r="B221" s="42" t="n">
        <f aca="false">B179</f>
        <v>0</v>
      </c>
      <c r="C221" s="42"/>
      <c r="D221" s="27"/>
      <c r="E221" s="42" t="n">
        <f aca="false">E179</f>
        <v>18770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3673.57342673979</v>
      </c>
      <c r="B224" s="42" t="n">
        <f aca="false">B182</f>
        <v>239.99</v>
      </c>
      <c r="C224" s="42"/>
      <c r="D224" s="27"/>
      <c r="E224" s="42" t="n">
        <f aca="false">E182</f>
        <v>22693.5634267398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2239.99</v>
      </c>
      <c r="C227" s="42"/>
      <c r="D227" s="27"/>
      <c r="E227" s="42" t="n">
        <f aca="false">B59</f>
        <v>35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623.432595187216</v>
      </c>
      <c r="B230" s="42" t="str">
        <f aca="false">B167</f>
        <v>0</v>
      </c>
      <c r="C230" s="47"/>
      <c r="D230" s="47"/>
      <c r="E230" s="42" t="n">
        <f aca="false">E167</f>
        <v>623.432595187216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0</v>
      </c>
      <c r="B233" s="42" t="n">
        <f aca="false">E185</f>
        <v>633.432595187216</v>
      </c>
      <c r="C233" s="36"/>
      <c r="D233" s="36"/>
      <c r="E233" s="42" t="n">
        <f aca="false">A188</f>
        <v>0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B68</f>
        <v>375.4</v>
      </c>
      <c r="C240" s="36"/>
      <c r="D240" s="36"/>
      <c r="E240" s="42" t="n">
        <f aca="false">E188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1058.73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</v>
      </c>
      <c r="C253" s="182"/>
      <c r="D253" s="183" t="s">
        <v>227</v>
      </c>
      <c r="E253" s="183"/>
      <c r="F253" s="181" t="n">
        <f aca="false">B83</f>
        <v>0.12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1589.41342673979</v>
      </c>
      <c r="C254" s="182"/>
      <c r="D254" s="183" t="s">
        <v>229</v>
      </c>
      <c r="E254" s="183"/>
      <c r="F254" s="185" t="n">
        <f aca="false">F261+F267+F269+B270+B271</f>
        <v>375.4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1234.01342673979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0.12</v>
      </c>
      <c r="C260" s="47"/>
      <c r="D260" s="156" t="s">
        <v>228</v>
      </c>
      <c r="E260" s="156"/>
      <c r="F260" s="135" t="n">
        <f aca="false">B254</f>
        <v>1589.41342673979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0.02</v>
      </c>
      <c r="C261" s="36"/>
      <c r="D261" s="156" t="s">
        <v>234</v>
      </c>
      <c r="E261" s="156"/>
      <c r="F261" s="142" t="n">
        <f aca="false">B68</f>
        <v>375.4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1234.01342673979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  <c r="J271" s="6" t="n">
        <v>4</v>
      </c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60">
    <mergeCell ref="A1:F1"/>
    <mergeCell ref="D7:E18"/>
    <mergeCell ref="A16:C18"/>
    <mergeCell ref="A19:D19"/>
    <mergeCell ref="A21:D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B105 K105 N105 T105 W105 AC105 AF105 B108:D108 K108:M108 T108:V108 AC108:AE108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 A111" type="list">
      <formula1>HirePurchaseNonRegulated!$K$9:$K$10</formula1>
      <formula2>0</formula2>
    </dataValidation>
    <dataValidation allowBlank="true" errorStyle="stop" operator="between" showDropDown="false" showErrorMessage="true" showInputMessage="false" sqref="B70" type="list">
      <formula1>HirePurchaseNonRegulated!$K$9:$K$10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46" colorId="64" zoomScale="100" zoomScaleNormal="100" zoomScalePageLayoutView="100" workbookViewId="0">
      <selection pane="topLeft" activeCell="F262" activeCellId="0" sqref="F262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7.25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102"/>
      <c r="H1" s="102"/>
      <c r="I1" s="7"/>
      <c r="J1" s="7"/>
    </row>
    <row r="2" customFormat="false" ht="19.7" hidden="false" customHeight="fals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351"/>
      <c r="H2" s="352"/>
      <c r="I2" s="7"/>
      <c r="J2" s="7"/>
    </row>
    <row r="3" customFormat="false" ht="18.75" hidden="false" customHeight="false" outlineLevel="0" collapsed="false">
      <c r="A3" s="244"/>
      <c r="B3" s="245"/>
      <c r="C3" s="245"/>
      <c r="D3" s="245"/>
      <c r="E3" s="245"/>
      <c r="F3" s="246" t="s">
        <v>10</v>
      </c>
      <c r="G3" s="353"/>
      <c r="H3" s="354"/>
      <c r="I3" s="7"/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123"/>
      <c r="H4" s="125"/>
      <c r="I4" s="7"/>
      <c r="J4" s="7"/>
    </row>
    <row r="5" customFormat="false" ht="18.75" hidden="false" customHeight="false" outlineLevel="0" collapsed="false">
      <c r="A5" s="67"/>
      <c r="B5" s="67"/>
      <c r="C5" s="67"/>
      <c r="D5" s="67"/>
      <c r="E5" s="67"/>
      <c r="F5" s="67" t="s">
        <v>10</v>
      </c>
      <c r="G5" s="353"/>
      <c r="H5" s="37"/>
      <c r="I5" s="7"/>
      <c r="J5" s="7"/>
    </row>
    <row r="6" customFormat="false" ht="18.75" hidden="false" customHeight="false" outlineLevel="0" collapsed="false">
      <c r="A6" s="67"/>
      <c r="B6" s="67"/>
      <c r="C6" s="67"/>
      <c r="D6" s="67"/>
      <c r="E6" s="67"/>
      <c r="F6" s="67"/>
      <c r="G6" s="146"/>
      <c r="H6" s="37"/>
      <c r="I6" s="7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146"/>
      <c r="H7" s="37"/>
      <c r="I7" s="7"/>
      <c r="J7" s="7"/>
    </row>
    <row r="8" customFormat="false" ht="18.75" hidden="false" customHeight="false" outlineLevel="0" collapsed="false">
      <c r="A8" s="250"/>
      <c r="B8" s="67"/>
      <c r="C8" s="67"/>
      <c r="D8" s="249"/>
      <c r="E8" s="249"/>
      <c r="F8" s="67"/>
      <c r="G8" s="36"/>
      <c r="H8" s="37"/>
      <c r="I8" s="7"/>
      <c r="J8" s="7"/>
      <c r="L8" s="18" t="s">
        <v>17</v>
      </c>
      <c r="M8" s="14" t="n">
        <f aca="false">H13+H14</f>
        <v>0</v>
      </c>
    </row>
    <row r="9" customFormat="false" ht="19.7" hidden="false" customHeight="fals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129"/>
      <c r="H9" s="355"/>
      <c r="I9" s="7"/>
      <c r="J9" s="7"/>
      <c r="K9" s="6" t="s">
        <v>31</v>
      </c>
      <c r="L9" s="14"/>
      <c r="M9" s="14"/>
    </row>
    <row r="10" customFormat="false" ht="18.75" hidden="false" customHeight="false" outlineLevel="0" collapsed="false">
      <c r="A10" s="251"/>
      <c r="B10" s="67"/>
      <c r="C10" s="67"/>
      <c r="D10" s="249"/>
      <c r="E10" s="249"/>
      <c r="F10" s="67"/>
      <c r="G10" s="146"/>
      <c r="H10" s="354"/>
      <c r="I10" s="7"/>
      <c r="J10" s="7"/>
      <c r="K10" s="6" t="s">
        <v>32</v>
      </c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146"/>
      <c r="H11" s="37"/>
      <c r="I11" s="7"/>
      <c r="J11" s="7"/>
      <c r="L11" s="14"/>
      <c r="M11" s="14"/>
    </row>
    <row r="12" customFormat="false" ht="18.75" hidden="false" customHeight="false" outlineLevel="0" collapsed="false">
      <c r="A12" s="251"/>
      <c r="B12" s="67"/>
      <c r="C12" s="67"/>
      <c r="D12" s="249"/>
      <c r="E12" s="249"/>
      <c r="F12" s="67"/>
      <c r="G12" s="146"/>
      <c r="H12" s="354"/>
      <c r="I12" s="7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146"/>
      <c r="H13" s="354"/>
      <c r="I13" s="7"/>
      <c r="J13" s="7"/>
    </row>
    <row r="14" customFormat="false" ht="18.75" hidden="false" customHeight="false" outlineLevel="0" collapsed="false">
      <c r="A14" s="251"/>
      <c r="B14" s="67"/>
      <c r="C14" s="67"/>
      <c r="D14" s="249"/>
      <c r="E14" s="249"/>
      <c r="F14" s="67"/>
      <c r="G14" s="146"/>
      <c r="H14" s="354"/>
      <c r="I14" s="7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146"/>
      <c r="H15" s="356"/>
      <c r="I15" s="7"/>
      <c r="J15" s="21" t="n">
        <f aca="false">H15</f>
        <v>0</v>
      </c>
    </row>
    <row r="16" customFormat="false" ht="18.75" hidden="false" customHeight="false" outlineLevel="0" collapsed="false">
      <c r="A16" s="252"/>
      <c r="B16" s="252"/>
      <c r="C16" s="252"/>
      <c r="D16" s="249"/>
      <c r="E16" s="249"/>
      <c r="F16" s="67"/>
      <c r="G16" s="146"/>
      <c r="H16" s="354"/>
      <c r="I16" s="7"/>
      <c r="J16" s="7"/>
      <c r="Y16" s="23" t="s">
        <v>26</v>
      </c>
    </row>
    <row r="17" customFormat="false" ht="18.75" hidden="false" customHeight="false" outlineLevel="0" collapsed="false">
      <c r="A17" s="252"/>
      <c r="B17" s="252"/>
      <c r="C17" s="252"/>
      <c r="D17" s="249"/>
      <c r="E17" s="249"/>
      <c r="F17" s="67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252"/>
      <c r="B18" s="252"/>
      <c r="C18" s="252"/>
      <c r="D18" s="249"/>
      <c r="E18" s="249"/>
      <c r="F18" s="67"/>
      <c r="G18" s="43"/>
      <c r="H18" s="357"/>
      <c r="I18" s="7"/>
      <c r="J18" s="21" t="n">
        <v>40526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43"/>
      <c r="H19" s="357"/>
      <c r="I19" s="7"/>
      <c r="J19" s="7"/>
      <c r="Z19" s="7" t="s">
        <v>31</v>
      </c>
    </row>
    <row r="20" customFormat="false" ht="18.75" hidden="false" customHeight="false" outlineLevel="0" collapsed="false">
      <c r="A20" s="254"/>
      <c r="B20" s="67"/>
      <c r="C20" s="67"/>
      <c r="D20" s="67"/>
      <c r="E20" s="255"/>
      <c r="F20" s="67"/>
      <c r="G20" s="43"/>
      <c r="H20" s="357"/>
      <c r="I20" s="7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358"/>
      <c r="H21" s="359"/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32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95</v>
      </c>
      <c r="K29" s="360" t="n">
        <v>24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8000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0</v>
      </c>
    </row>
    <row r="32" customFormat="false" ht="18.75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/>
      <c r="J32" s="33" t="s">
        <v>49</v>
      </c>
      <c r="K32" s="46" t="n">
        <v>0</v>
      </c>
    </row>
    <row r="33" customFormat="false" ht="34.3" hidden="false" customHeight="false" outlineLevel="0" collapsed="false">
      <c r="A33" s="167" t="n">
        <f aca="false">A52</f>
        <v>12</v>
      </c>
      <c r="B33" s="217" t="n">
        <f aca="false">B51</f>
        <v>10000</v>
      </c>
      <c r="C33" s="36"/>
      <c r="D33" s="36"/>
      <c r="E33" s="361" t="n">
        <f aca="false">K48</f>
        <v>1246.48001488384</v>
      </c>
      <c r="F33" s="361"/>
      <c r="G33" s="361"/>
      <c r="H33" s="51"/>
      <c r="I33" s="7"/>
      <c r="J33" s="38" t="s">
        <v>366</v>
      </c>
      <c r="K33" s="52" t="n">
        <f aca="false">E21</f>
        <v>14041.67</v>
      </c>
      <c r="L33" s="6" t="n">
        <f aca="false">H21-H11+(H16*20%)</f>
        <v>0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0.095</v>
      </c>
    </row>
    <row r="36" customFormat="false" ht="18.75" hidden="false" customHeight="false" outlineLevel="0" collapsed="false">
      <c r="A36" s="171" t="n">
        <f aca="false">K47</f>
        <v>1214.98001488384</v>
      </c>
      <c r="B36" s="217" t="n">
        <f aca="false">IF(B26="YES",K42,"0.00")</f>
        <v>31.5</v>
      </c>
      <c r="C36" s="217"/>
      <c r="D36" s="217"/>
      <c r="E36" s="361" t="n">
        <f aca="false">K31</f>
        <v>0</v>
      </c>
      <c r="F36" s="361"/>
      <c r="G36" s="361"/>
      <c r="H36" s="51"/>
      <c r="I36" s="7"/>
      <c r="J36" s="7" t="s">
        <v>63</v>
      </c>
      <c r="K36" s="7" t="n">
        <f aca="false">K29</f>
        <v>12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14041.67</v>
      </c>
      <c r="L39" s="7" t="n">
        <f aca="false">(L47*K46)+K44</f>
        <v>8881.64682777247</v>
      </c>
      <c r="N39" s="6" t="n">
        <f aca="false">K39-L39</f>
        <v>5160.02317222753</v>
      </c>
    </row>
    <row r="40" customFormat="false" ht="18.75" hidden="false" customHeight="false" outlineLevel="0" collapsed="false">
      <c r="A40" s="109" t="n">
        <f aca="false">E36*A45/100</f>
        <v>0</v>
      </c>
      <c r="B40" s="109" t="n">
        <f aca="false">IF(B26="YES",K42,"0.00")</f>
        <v>31.5</v>
      </c>
      <c r="C40" s="109"/>
      <c r="D40" s="109"/>
      <c r="E40" s="170" t="n">
        <f aca="false">K32</f>
        <v>378</v>
      </c>
      <c r="F40" s="47"/>
      <c r="G40" s="47"/>
      <c r="H40" s="51"/>
      <c r="J40" s="7" t="s">
        <v>119</v>
      </c>
      <c r="K40" s="7" t="n">
        <f aca="false">(A40)/1.2</f>
        <v>0</v>
      </c>
      <c r="L40" s="7" t="n">
        <f aca="false">K39-L39</f>
        <v>5160.02317222753</v>
      </c>
      <c r="N40" s="6" t="n">
        <f aca="false">N38-N39</f>
        <v>-2248.34317222753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0.00583333333333333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(K32/K36)*C45/100</f>
        <v>31.5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0</v>
      </c>
      <c r="L44" s="7"/>
    </row>
    <row r="45" customFormat="false" ht="18.75" hidden="false" customHeight="false" outlineLevel="0" collapsed="false">
      <c r="A45" s="65" t="n">
        <v>100</v>
      </c>
      <c r="B45" s="36"/>
      <c r="C45" s="66" t="n">
        <v>100</v>
      </c>
      <c r="D45" s="66"/>
      <c r="E45" s="66"/>
      <c r="F45" s="36"/>
      <c r="G45" s="36"/>
      <c r="H45" s="37"/>
      <c r="J45" s="7" t="s">
        <v>377</v>
      </c>
      <c r="K45" s="7" t="n">
        <f aca="false">(K39-K44)</f>
        <v>14041.67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11.5571201402374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1214.98001488384</v>
      </c>
      <c r="L47" s="7" t="n">
        <f aca="false">L49-K42</f>
        <v>768.5</v>
      </c>
      <c r="M47" s="6" t="n">
        <f aca="false">K47-L47</f>
        <v>446.480014883839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1246.48001488384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10000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12</v>
      </c>
      <c r="B52" s="78" t="n">
        <f aca="false">K48</f>
        <v>1246.48001488384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11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11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11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11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40526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40526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40526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40526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0.0105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0.0105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0.095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0.0425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3866.42151011276</v>
      </c>
      <c r="C65" s="36"/>
      <c r="D65" s="36"/>
      <c r="E65" s="27"/>
      <c r="F65" s="27"/>
      <c r="G65" s="27"/>
      <c r="H65" s="37"/>
      <c r="J65" s="60" t="s">
        <v>103</v>
      </c>
      <c r="K65" s="69" t="e">
        <f aca="false">(K89*K59)-(K47*K29)</f>
        <v>#VALUE!</v>
      </c>
      <c r="L65" s="36"/>
      <c r="M65" s="36"/>
      <c r="N65" s="27"/>
      <c r="O65" s="27"/>
      <c r="P65" s="27"/>
      <c r="Q65" s="37"/>
      <c r="S65" s="60" t="s">
        <v>103</v>
      </c>
      <c r="T65" s="69" t="e">
        <f aca="false">(T89*T59)-(K47*K29)</f>
        <v>#VALUE!</v>
      </c>
      <c r="U65" s="36"/>
      <c r="V65" s="36"/>
      <c r="W65" s="27"/>
      <c r="X65" s="27"/>
      <c r="Y65" s="27"/>
      <c r="Z65" s="37"/>
      <c r="AB65" s="60" t="s">
        <v>103</v>
      </c>
      <c r="AC65" s="69" t="e">
        <f aca="false">(AC89*AC59)-(K47*K29)</f>
        <v>#VALUE!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 t="s">
        <v>105</v>
      </c>
      <c r="B67" s="88" t="n">
        <f aca="false">B66+(B66*0.5*(K29/12-1))</f>
        <v>0.005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0.005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0.005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(G158*B67)/1.2</f>
        <v>78.2083333333333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2026.3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202.63</v>
      </c>
      <c r="U68" s="36"/>
      <c r="V68" s="36"/>
      <c r="W68" s="27"/>
      <c r="X68" s="27"/>
      <c r="Y68" s="27"/>
      <c r="Z68" s="37"/>
      <c r="AB68" s="60" t="s">
        <v>106</v>
      </c>
      <c r="AC68" s="69" t="e">
        <f aca="false">AH158*AC67</f>
        <v>#VALUE!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B73*K29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36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1214.98001488384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1214.98001488384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1246.48001488384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1246.48001488384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18770</v>
      </c>
      <c r="C81" s="36"/>
      <c r="D81" s="36"/>
      <c r="E81" s="27"/>
      <c r="F81" s="29" t="s">
        <v>118</v>
      </c>
      <c r="G81" s="31" t="n">
        <f aca="false">G158</f>
        <v>18770</v>
      </c>
      <c r="H81" s="37"/>
      <c r="J81" s="29" t="s">
        <v>118</v>
      </c>
      <c r="K81" s="31" t="e">
        <f aca="false">P158</f>
        <v>#VALUE!</v>
      </c>
      <c r="L81" s="36"/>
      <c r="M81" s="36"/>
      <c r="N81" s="27"/>
      <c r="O81" s="27"/>
      <c r="P81" s="27"/>
      <c r="Q81" s="37"/>
      <c r="S81" s="29" t="s">
        <v>118</v>
      </c>
      <c r="T81" s="31" t="e">
        <f aca="false">Y158</f>
        <v>#VALUE!</v>
      </c>
      <c r="U81" s="36"/>
      <c r="V81" s="36"/>
      <c r="W81" s="27"/>
      <c r="X81" s="27"/>
      <c r="Y81" s="27"/>
      <c r="Z81" s="37"/>
      <c r="AB81" s="29" t="s">
        <v>118</v>
      </c>
      <c r="AC81" s="31" t="e">
        <f aca="false">AH158</f>
        <v>#VALUE!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0</v>
      </c>
      <c r="C82" s="36"/>
      <c r="D82" s="36"/>
      <c r="E82" s="27"/>
      <c r="F82" s="35" t="s">
        <v>119</v>
      </c>
      <c r="G82" s="37" t="n">
        <f aca="false">IF(A111="YES",A40,0)</f>
        <v>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0.1305</v>
      </c>
      <c r="C83" s="36"/>
      <c r="D83" s="36"/>
      <c r="E83" s="27"/>
      <c r="F83" s="35" t="s">
        <v>120</v>
      </c>
      <c r="G83" s="95" t="n">
        <f aca="false">B63</f>
        <v>0.07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0.1415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0.1415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0.010875</v>
      </c>
      <c r="C84" s="36"/>
      <c r="D84" s="36"/>
      <c r="E84" s="27"/>
      <c r="F84" s="35" t="s">
        <v>121</v>
      </c>
      <c r="G84" s="88" t="n">
        <f aca="false">G83/12</f>
        <v>0.00583333333333333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0.0117916666666667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0.0117916666666667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12</v>
      </c>
      <c r="C85" s="36"/>
      <c r="D85" s="36"/>
      <c r="E85" s="27"/>
      <c r="F85" s="35" t="s">
        <v>122</v>
      </c>
      <c r="G85" s="37" t="n">
        <f aca="false">IF(G82=0,(B59+B58),(B59))</f>
        <v>12</v>
      </c>
      <c r="H85" s="37"/>
      <c r="J85" s="35" t="s">
        <v>122</v>
      </c>
      <c r="K85" s="37" t="n">
        <f aca="false">IF(K82=0,(K59+K58),(K59))</f>
        <v>12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11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11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0</v>
      </c>
      <c r="C86" s="36"/>
      <c r="D86" s="36"/>
      <c r="E86" s="27"/>
      <c r="F86" s="35" t="s">
        <v>123</v>
      </c>
      <c r="G86" s="37" t="n">
        <f aca="false">(G82/((1+G84)^(G85+1)))</f>
        <v>0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0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11.1931023712225</v>
      </c>
      <c r="C87" s="36"/>
      <c r="D87" s="36"/>
      <c r="E87" s="27"/>
      <c r="F87" s="35" t="s">
        <v>124</v>
      </c>
      <c r="G87" s="37" t="n">
        <f aca="false">((1-(1/((1+G84)^G85)))/G84)</f>
        <v>11.5571201402374</v>
      </c>
      <c r="H87" s="37"/>
      <c r="J87" s="35" t="s">
        <v>124</v>
      </c>
      <c r="K87" s="37" t="n">
        <f aca="false">((1-(1/((1+K84)^K85)))/K84)</f>
        <v>10.5753412209172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10.2599315027351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10.2599315027351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18770</v>
      </c>
      <c r="C88" s="36"/>
      <c r="D88" s="36"/>
      <c r="E88" s="27"/>
      <c r="F88" s="35" t="s">
        <v>125</v>
      </c>
      <c r="G88" s="37" t="n">
        <f aca="false">G81-G86</f>
        <v>18770</v>
      </c>
      <c r="H88" s="37"/>
      <c r="J88" s="35" t="s">
        <v>125</v>
      </c>
      <c r="K88" s="37" t="e">
        <f aca="false">K81-K86</f>
        <v>#VALUE!</v>
      </c>
      <c r="L88" s="36"/>
      <c r="M88" s="36"/>
      <c r="N88" s="27"/>
      <c r="O88" s="27"/>
      <c r="P88" s="27"/>
      <c r="Q88" s="37"/>
      <c r="S88" s="35" t="s">
        <v>125</v>
      </c>
      <c r="T88" s="37" t="e">
        <f aca="false">T81-T86</f>
        <v>#VALUE!</v>
      </c>
      <c r="U88" s="36"/>
      <c r="V88" s="36"/>
      <c r="W88" s="27"/>
      <c r="X88" s="27"/>
      <c r="Y88" s="27"/>
      <c r="Z88" s="37"/>
      <c r="AB88" s="35" t="s">
        <v>125</v>
      </c>
      <c r="AC88" s="37" t="e">
        <f aca="false">AC81-AC86</f>
        <v>#VALUE!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1676.92560806535</v>
      </c>
      <c r="C89" s="36"/>
      <c r="D89" s="36"/>
      <c r="E89" s="27"/>
      <c r="F89" s="35" t="s">
        <v>126</v>
      </c>
      <c r="G89" s="37" t="n">
        <f aca="false">(G88/G87)</f>
        <v>1624.10702426205</v>
      </c>
      <c r="H89" s="37"/>
      <c r="J89" s="35" t="s">
        <v>126</v>
      </c>
      <c r="K89" s="37" t="e">
        <f aca="false">(K88/K87)</f>
        <v>#VALUE!</v>
      </c>
      <c r="L89" s="36"/>
      <c r="M89" s="36"/>
      <c r="N89" s="27"/>
      <c r="O89" s="27"/>
      <c r="P89" s="27"/>
      <c r="Q89" s="37"/>
      <c r="S89" s="35" t="s">
        <v>126</v>
      </c>
      <c r="T89" s="37" t="e">
        <f aca="false">(T88/T87)</f>
        <v>#VALUE!</v>
      </c>
      <c r="U89" s="36"/>
      <c r="V89" s="36"/>
      <c r="W89" s="27"/>
      <c r="X89" s="27"/>
      <c r="Y89" s="27"/>
      <c r="Z89" s="37"/>
      <c r="AB89" s="35" t="s">
        <v>126</v>
      </c>
      <c r="AC89" s="37" t="e">
        <f aca="false">(AC88/AC87)</f>
        <v>#VALUE!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20123.1072967842</v>
      </c>
      <c r="C90" s="36"/>
      <c r="D90" s="36"/>
      <c r="E90" s="27"/>
      <c r="F90" s="35" t="s">
        <v>127</v>
      </c>
      <c r="G90" s="37" t="n">
        <f aca="false">((G89*(G85))+G77)</f>
        <v>19489.2842911446</v>
      </c>
      <c r="H90" s="37"/>
      <c r="J90" s="35" t="s">
        <v>127</v>
      </c>
      <c r="K90" s="37" t="e">
        <f aca="false">((K89*(K85))+K77)</f>
        <v>#VALUE!</v>
      </c>
      <c r="L90" s="36"/>
      <c r="M90" s="36"/>
      <c r="N90" s="27"/>
      <c r="O90" s="27"/>
      <c r="P90" s="27"/>
      <c r="Q90" s="37"/>
      <c r="S90" s="35" t="s">
        <v>127</v>
      </c>
      <c r="T90" s="37" t="e">
        <f aca="false">(T89*(T85))+T77</f>
        <v>#VALUE!</v>
      </c>
      <c r="U90" s="36"/>
      <c r="V90" s="36"/>
      <c r="W90" s="27"/>
      <c r="X90" s="27"/>
      <c r="Y90" s="27"/>
      <c r="Z90" s="37"/>
      <c r="AB90" s="35" t="s">
        <v>127</v>
      </c>
      <c r="AC90" s="37" t="e">
        <f aca="false">(AC89*(AC59))+AC77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e">
        <f aca="false">(K90/(1-K71))*K71</f>
        <v>#VALUE!</v>
      </c>
      <c r="L91" s="36"/>
      <c r="M91" s="36"/>
      <c r="N91" s="27"/>
      <c r="O91" s="27"/>
      <c r="P91" s="27"/>
      <c r="Q91" s="37"/>
      <c r="S91" s="35" t="s">
        <v>128</v>
      </c>
      <c r="T91" s="37" t="e">
        <f aca="false">(T90/(1-T71))*T71</f>
        <v>#VALUE!</v>
      </c>
      <c r="U91" s="36"/>
      <c r="V91" s="36"/>
      <c r="W91" s="27"/>
      <c r="X91" s="27"/>
      <c r="Y91" s="27"/>
      <c r="Z91" s="37"/>
      <c r="AB91" s="35" t="s">
        <v>128</v>
      </c>
      <c r="AC91" s="37" t="e">
        <f aca="false">(AC90/(1-AC71))*AC71</f>
        <v>#VALUE!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20123.1072967842</v>
      </c>
      <c r="C92" s="36"/>
      <c r="D92" s="36"/>
      <c r="E92" s="27"/>
      <c r="F92" s="60" t="s">
        <v>129</v>
      </c>
      <c r="G92" s="69" t="n">
        <f aca="false">(G90+G91)</f>
        <v>19489.2842911446</v>
      </c>
      <c r="H92" s="37"/>
      <c r="J92" s="60" t="s">
        <v>129</v>
      </c>
      <c r="K92" s="69" t="e">
        <f aca="false">(K90+K91)</f>
        <v>#VALUE!</v>
      </c>
      <c r="L92" s="36"/>
      <c r="M92" s="36"/>
      <c r="N92" s="27"/>
      <c r="O92" s="27"/>
      <c r="P92" s="27"/>
      <c r="Q92" s="37"/>
      <c r="S92" s="60" t="s">
        <v>129</v>
      </c>
      <c r="T92" s="69" t="e">
        <f aca="false">(T90+T91)</f>
        <v>#VALUE!</v>
      </c>
      <c r="U92" s="36"/>
      <c r="V92" s="36"/>
      <c r="W92" s="27"/>
      <c r="X92" s="27"/>
      <c r="Y92" s="27"/>
      <c r="Z92" s="37"/>
      <c r="AB92" s="60" t="s">
        <v>129</v>
      </c>
      <c r="AC92" s="69" t="e">
        <f aca="false">(AC90+AC91)</f>
        <v>#VALUE!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6" t="n">
        <f aca="false">IF(B26="YES",((E40/B85)*(1+A108)*(C45/100)),"0")</f>
        <v>40.95</v>
      </c>
      <c r="C94" s="36"/>
      <c r="D94" s="36"/>
      <c r="E94" s="27"/>
      <c r="F94" s="92" t="s">
        <v>130</v>
      </c>
      <c r="G94" s="96" t="n">
        <f aca="false">IF(B26="YES",((E40/B85)*(1+A108)*(C45/100)),"0")</f>
        <v>40.95</v>
      </c>
      <c r="H94" s="37"/>
      <c r="J94" s="92" t="s">
        <v>130</v>
      </c>
      <c r="K94" s="93" t="n">
        <f aca="false">((E40/K85)*(1+J108))*1.2</f>
        <v>49.14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41.2363636363636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49.4836363636364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1676.92560806535</v>
      </c>
      <c r="C95" s="36"/>
      <c r="D95" s="36"/>
      <c r="E95" s="27"/>
      <c r="F95" s="97" t="s">
        <v>131</v>
      </c>
      <c r="G95" s="98" t="n">
        <f aca="false">G92/(G85)</f>
        <v>1624.10702426205</v>
      </c>
      <c r="H95" s="37"/>
      <c r="J95" s="97" t="s">
        <v>131</v>
      </c>
      <c r="K95" s="98" t="e">
        <f aca="false">K92/(K85)</f>
        <v>#VALUE!</v>
      </c>
      <c r="L95" s="36"/>
      <c r="M95" s="36"/>
      <c r="N95" s="27"/>
      <c r="O95" s="27"/>
      <c r="P95" s="27"/>
      <c r="Q95" s="37"/>
      <c r="S95" s="97" t="s">
        <v>131</v>
      </c>
      <c r="T95" s="98" t="e">
        <f aca="false">T92/(T85)</f>
        <v>#VALUE!</v>
      </c>
      <c r="U95" s="36"/>
      <c r="V95" s="36"/>
      <c r="W95" s="27"/>
      <c r="X95" s="27"/>
      <c r="Y95" s="27"/>
      <c r="Z95" s="37"/>
      <c r="AB95" s="97" t="s">
        <v>131</v>
      </c>
      <c r="AC95" s="98" t="e">
        <f aca="false">AC92/(AC59)</f>
        <v>#VALUE!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1717.87560806535</v>
      </c>
      <c r="C96" s="36"/>
      <c r="D96" s="36"/>
      <c r="E96" s="27"/>
      <c r="F96" s="99" t="s">
        <v>132</v>
      </c>
      <c r="G96" s="100" t="n">
        <f aca="false">G94+G95</f>
        <v>1665.05702426205</v>
      </c>
      <c r="H96" s="37"/>
      <c r="J96" s="99" t="s">
        <v>132</v>
      </c>
      <c r="K96" s="100" t="e">
        <f aca="false">(K94+K95)</f>
        <v>#VALUE!</v>
      </c>
      <c r="L96" s="36"/>
      <c r="M96" s="36"/>
      <c r="N96" s="27"/>
      <c r="O96" s="27"/>
      <c r="P96" s="27"/>
      <c r="Q96" s="37"/>
      <c r="S96" s="99" t="s">
        <v>132</v>
      </c>
      <c r="T96" s="100" t="e">
        <f aca="false">T94+T95</f>
        <v>#VALUE!</v>
      </c>
      <c r="U96" s="36"/>
      <c r="V96" s="36"/>
      <c r="W96" s="27"/>
      <c r="X96" s="27"/>
      <c r="Y96" s="27"/>
      <c r="Z96" s="37"/>
      <c r="AB96" s="99" t="s">
        <v>132</v>
      </c>
      <c r="AC96" s="100" t="e">
        <f aca="false">AC94+AC95</f>
        <v>#VALUE!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362" t="s">
        <v>32</v>
      </c>
      <c r="F105" s="362"/>
      <c r="G105" s="362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0.2</v>
      </c>
      <c r="B108" s="109" t="n">
        <v>0</v>
      </c>
      <c r="C108" s="109"/>
      <c r="D108" s="109" t="n">
        <v>0</v>
      </c>
      <c r="E108" s="110" t="n">
        <f aca="false">B83</f>
        <v>0.1305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0.1415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0.1415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2000</v>
      </c>
      <c r="B114" s="109" t="n">
        <v>199.991666666667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B9</f>
        <v>14041.67</v>
      </c>
      <c r="C121" s="44" t="n">
        <v>15625</v>
      </c>
      <c r="D121" s="29" t="n">
        <f aca="false">D3</f>
        <v>0</v>
      </c>
      <c r="E121" s="44" t="n">
        <f aca="false">D121</f>
        <v>0</v>
      </c>
      <c r="F121" s="29" t="n">
        <f aca="false">B11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0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str">
        <f aca="false">F3</f>
        <v> </v>
      </c>
      <c r="P121" s="44" t="str">
        <f aca="false">O121</f>
        <v> </v>
      </c>
      <c r="Q121" s="121" t="n">
        <f aca="false">H3</f>
        <v>0</v>
      </c>
      <c r="S121" s="29" t="s">
        <v>161</v>
      </c>
      <c r="T121" s="29" t="n">
        <f aca="false">B3</f>
        <v>0</v>
      </c>
      <c r="U121" s="44" t="n">
        <f aca="false">T121</f>
        <v>0</v>
      </c>
      <c r="V121" s="29" t="n">
        <f aca="false">D3</f>
        <v>0</v>
      </c>
      <c r="W121" s="44" t="n">
        <f aca="false">V121</f>
        <v>0</v>
      </c>
      <c r="X121" s="29" t="str">
        <f aca="false">F3</f>
        <v> </v>
      </c>
      <c r="Y121" s="44" t="str">
        <f aca="false">X121</f>
        <v> </v>
      </c>
      <c r="Z121" s="121" t="n">
        <f aca="false">H3</f>
        <v>0</v>
      </c>
      <c r="AB121" s="29" t="s">
        <v>161</v>
      </c>
      <c r="AC121" s="29" t="n">
        <f aca="false">B3</f>
        <v>0</v>
      </c>
      <c r="AD121" s="44" t="n">
        <f aca="false">AC121</f>
        <v>0</v>
      </c>
      <c r="AE121" s="29" t="n">
        <f aca="false">D3</f>
        <v>0</v>
      </c>
      <c r="AF121" s="44" t="n">
        <f aca="false">AE121</f>
        <v>0</v>
      </c>
      <c r="AG121" s="29" t="str">
        <f aca="false">F3</f>
        <v> </v>
      </c>
      <c r="AH121" s="44" t="str">
        <f aca="false">AG121</f>
        <v> 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v>0</v>
      </c>
      <c r="D122" s="122" t="n">
        <v>0</v>
      </c>
      <c r="E122" s="123" t="n">
        <v>0</v>
      </c>
      <c r="F122" s="122" t="n">
        <v>0</v>
      </c>
      <c r="G122" s="363" t="n">
        <v>0</v>
      </c>
      <c r="H122" s="125"/>
      <c r="J122" s="35" t="s">
        <v>162</v>
      </c>
      <c r="K122" s="122" t="n">
        <f aca="false">B4</f>
        <v>16850.004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str">
        <f aca="false">F4</f>
        <v> </v>
      </c>
      <c r="P122" s="363" t="str">
        <f aca="false">O122</f>
        <v> </v>
      </c>
      <c r="Q122" s="125"/>
      <c r="S122" s="35" t="s">
        <v>162</v>
      </c>
      <c r="T122" s="122" t="n">
        <f aca="false">B4</f>
        <v>16850.004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str">
        <f aca="false">F4</f>
        <v> </v>
      </c>
      <c r="Y122" s="363" t="str">
        <f aca="false">X122</f>
        <v> </v>
      </c>
      <c r="Z122" s="125"/>
      <c r="AB122" s="35" t="s">
        <v>162</v>
      </c>
      <c r="AC122" s="122" t="n">
        <f aca="false">B4</f>
        <v>16850.004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str">
        <f aca="false">F4</f>
        <v> </v>
      </c>
      <c r="AH122" s="363" t="str">
        <f aca="false">AG122</f>
        <v> 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v>0</v>
      </c>
      <c r="D123" s="35" t="n">
        <v>0</v>
      </c>
      <c r="E123" s="44" t="n">
        <v>0</v>
      </c>
      <c r="F123" s="35" t="n"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str">
        <f aca="false">F5</f>
        <v> </v>
      </c>
      <c r="P123" s="44" t="str">
        <f aca="false">O123</f>
        <v> 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str">
        <f aca="false">F5</f>
        <v> </v>
      </c>
      <c r="Y123" s="44" t="str">
        <f aca="false">X123</f>
        <v> 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str">
        <f aca="false">F5</f>
        <v> </v>
      </c>
      <c r="AH123" s="44" t="str">
        <f aca="false">AG123</f>
        <v> 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0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e">
        <f aca="false">(O121*O122)+O123</f>
        <v>#VALUE!</v>
      </c>
      <c r="P124" s="31" t="e">
        <f aca="false">(P121*P122)+P123</f>
        <v>#VALUE!</v>
      </c>
      <c r="Q124" s="37"/>
      <c r="S124" s="35" t="s">
        <v>164</v>
      </c>
      <c r="T124" s="35" t="n">
        <f aca="false">(T121*T122)+T123</f>
        <v>0</v>
      </c>
      <c r="U124" s="31" t="n">
        <f aca="false">(U121*U122)+U123</f>
        <v>0</v>
      </c>
      <c r="V124" s="35" t="n">
        <f aca="false">(V121*V122)+V123</f>
        <v>0</v>
      </c>
      <c r="W124" s="31" t="n">
        <f aca="false">(W121*W122)+W123</f>
        <v>0</v>
      </c>
      <c r="X124" s="35" t="e">
        <f aca="false">(X121*X122)+X123</f>
        <v>#VALUE!</v>
      </c>
      <c r="Y124" s="31" t="e">
        <f aca="false">(Y121*Y122)+Y123</f>
        <v>#VALUE!</v>
      </c>
      <c r="Z124" s="37"/>
      <c r="AB124" s="35" t="s">
        <v>164</v>
      </c>
      <c r="AC124" s="35" t="n">
        <f aca="false">(AC121*AC122)+AC123</f>
        <v>0</v>
      </c>
      <c r="AD124" s="31" t="n">
        <f aca="false">(AD121*AD122)+AD123</f>
        <v>0</v>
      </c>
      <c r="AE124" s="35" t="n">
        <f aca="false">(AE121*AE122)+AE123</f>
        <v>0</v>
      </c>
      <c r="AF124" s="31" t="n">
        <f aca="false">(AF121*AF122)+AF123</f>
        <v>0</v>
      </c>
      <c r="AG124" s="35" t="e">
        <f aca="false">(AG121*AG122)+AG123</f>
        <v>#VALUE!</v>
      </c>
      <c r="AH124" s="31" t="e">
        <f aca="false">(AH121*AH122)+AH123</f>
        <v>#VALUE!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14041.67</v>
      </c>
      <c r="C125" s="69" t="n">
        <f aca="false">C121-C124</f>
        <v>16125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0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e">
        <f aca="false">O121-O124</f>
        <v>#VALUE!</v>
      </c>
      <c r="P125" s="69" t="e">
        <f aca="false">P121-P124</f>
        <v>#VALUE!</v>
      </c>
      <c r="Q125" s="69"/>
      <c r="S125" s="60" t="s">
        <v>165</v>
      </c>
      <c r="T125" s="60" t="n">
        <f aca="false">T121-T124</f>
        <v>0</v>
      </c>
      <c r="U125" s="69" t="n">
        <f aca="false">U121-U124</f>
        <v>0</v>
      </c>
      <c r="V125" s="60" t="n">
        <f aca="false">V121-V124</f>
        <v>0</v>
      </c>
      <c r="W125" s="69" t="n">
        <f aca="false">W121-W124</f>
        <v>0</v>
      </c>
      <c r="X125" s="60" t="e">
        <f aca="false">X121-X124</f>
        <v>#VALUE!</v>
      </c>
      <c r="Y125" s="69" t="e">
        <f aca="false">Y121-Y124</f>
        <v>#VALUE!</v>
      </c>
      <c r="Z125" s="69"/>
      <c r="AB125" s="60" t="s">
        <v>165</v>
      </c>
      <c r="AC125" s="60" t="n">
        <f aca="false">AC121-AC124</f>
        <v>0</v>
      </c>
      <c r="AD125" s="69" t="n">
        <f aca="false">AD121-AD124</f>
        <v>0</v>
      </c>
      <c r="AE125" s="60" t="n">
        <f aca="false">AE121-AE124</f>
        <v>0</v>
      </c>
      <c r="AF125" s="69" t="n">
        <f aca="false">AF121-AF124</f>
        <v>0</v>
      </c>
      <c r="AG125" s="60" t="e">
        <f aca="false">AG121-AG124</f>
        <v>#VALUE!</v>
      </c>
      <c r="AH125" s="69" t="e">
        <f aca="false">AH121-AH124</f>
        <v>#VALUE!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B121</f>
        <v>14041.67</v>
      </c>
      <c r="H135" s="144" t="n">
        <f aca="false">C125+E125+G125+H128</f>
        <v>16125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0</v>
      </c>
      <c r="Q135" s="144" t="e">
        <f aca="false">L125+N125+P125+Q128</f>
        <v>#VALUE!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0</v>
      </c>
      <c r="Z135" s="144" t="e">
        <f aca="false">U125+W125+Y125+Z128</f>
        <v>#VALUE!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0</v>
      </c>
      <c r="AI135" s="144" t="e">
        <f aca="false">AD125+AF125+AH125+AI128</f>
        <v>#VALUE!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0</v>
      </c>
      <c r="Q136" s="37" t="n">
        <f aca="false">P136</f>
        <v>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0</v>
      </c>
      <c r="Z136" s="37" t="n">
        <f aca="false">Y136</f>
        <v>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0</v>
      </c>
      <c r="AI136" s="37" t="n">
        <f aca="false">AH136</f>
        <v>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2808.334</v>
      </c>
      <c r="H137" s="37" t="n">
        <f aca="false">(H135+H136)*20%</f>
        <v>3225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0</v>
      </c>
      <c r="Q137" s="37" t="e">
        <f aca="false">(Q135+Q136)*20%</f>
        <v>#VALUE!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0</v>
      </c>
      <c r="Z137" s="37" t="e">
        <f aca="false">(Z135+Z136)*20%</f>
        <v>#VALUE!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0</v>
      </c>
      <c r="AI137" s="37" t="e">
        <f aca="false">(AI135+AI136)*20%</f>
        <v>#VALUE!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0</v>
      </c>
      <c r="Q139" s="37" t="n">
        <f aca="false">P139</f>
        <v>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0</v>
      </c>
      <c r="Z139" s="37" t="n">
        <f aca="false">Y139</f>
        <v>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0</v>
      </c>
      <c r="AI139" s="37" t="n">
        <f aca="false">AH139</f>
        <v>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0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0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0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16850.004</v>
      </c>
      <c r="H141" s="147" t="n">
        <f aca="false">(H135+H136+H139+H140+H137)-H138</f>
        <v>19350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0</v>
      </c>
      <c r="Q141" s="147" t="e">
        <f aca="false">(Q135+Q136+Q139+Q140+Q137)-Q138</f>
        <v>#VALUE!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0</v>
      </c>
      <c r="Z141" s="147" t="e">
        <f aca="false">(Z135+Z136+Z139+Z140+Z137)-Z138</f>
        <v>#VALUE!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0</v>
      </c>
      <c r="AI141" s="147" t="e">
        <f aca="false">(AI135+AI136+AI139+AI140+AI137)-AI138</f>
        <v>#VALUE!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16850.004</v>
      </c>
      <c r="H147" s="154" t="n">
        <f aca="false">H141-((H144*1.2)+(H145*1.2)+(H146*1.2)+(H142*1.2))</f>
        <v>19350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0</v>
      </c>
      <c r="Q147" s="154" t="e">
        <f aca="false">Q141-((Q144*1.2)+(Q145*1.2)+(Q146*1.2)+(Q142*1.2))</f>
        <v>#VALUE!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0</v>
      </c>
      <c r="Z147" s="154" t="e">
        <f aca="false">Z141-((Z144*1.2)+(Z145*1.2)+(Z146*1.2)+(Z142*1.2))</f>
        <v>#VALUE!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0</v>
      </c>
      <c r="AI147" s="154" t="e">
        <f aca="false">AI141-((AI144*1.2)+(AI145*1.2)+(AI146*1.2)+(AI142*1.2))</f>
        <v>#VALUE!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-13905.5583333333</v>
      </c>
      <c r="J148" s="145" t="s">
        <v>184</v>
      </c>
      <c r="K148" s="145"/>
      <c r="L148" s="145"/>
      <c r="M148" s="145"/>
      <c r="N148" s="145"/>
      <c r="O148" s="145"/>
      <c r="P148" s="146"/>
      <c r="Q148" s="44" t="e">
        <f aca="false">Q147-P147</f>
        <v>#VALUE!</v>
      </c>
      <c r="S148" s="145" t="s">
        <v>184</v>
      </c>
      <c r="T148" s="145"/>
      <c r="U148" s="145"/>
      <c r="V148" s="145"/>
      <c r="W148" s="145"/>
      <c r="X148" s="145"/>
      <c r="Y148" s="146"/>
      <c r="Z148" s="44" t="e">
        <f aca="false">Z147-Y147</f>
        <v>#VALUE!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e">
        <f aca="false">AI147-AH147</f>
        <v>#VALUE!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2000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18770</v>
      </c>
      <c r="H158" s="160"/>
      <c r="J158" s="159" t="s">
        <v>192</v>
      </c>
      <c r="K158" s="36"/>
      <c r="L158" s="36"/>
      <c r="M158" s="27"/>
      <c r="N158" s="36"/>
      <c r="O158" s="27"/>
      <c r="P158" s="160" t="e">
        <f aca="false">Q147-P154-P157</f>
        <v>#VALUE!</v>
      </c>
      <c r="Q158" s="160"/>
      <c r="S158" s="159" t="s">
        <v>192</v>
      </c>
      <c r="T158" s="36"/>
      <c r="U158" s="36"/>
      <c r="V158" s="27"/>
      <c r="W158" s="36"/>
      <c r="X158" s="27"/>
      <c r="Y158" s="160" t="e">
        <f aca="false">Z147-Y154-Y157</f>
        <v>#VALUE!</v>
      </c>
      <c r="Z158" s="160"/>
      <c r="AB158" s="159" t="s">
        <v>192</v>
      </c>
      <c r="AC158" s="36"/>
      <c r="AD158" s="36"/>
      <c r="AE158" s="27"/>
      <c r="AF158" s="36"/>
      <c r="AG158" s="27"/>
      <c r="AH158" s="160" t="e">
        <f aca="false">AI147-AH154-AH157</f>
        <v>#VALUE!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241" t="n">
        <f aca="false">B95</f>
        <v>1676.92560806535</v>
      </c>
      <c r="B167" s="166" t="n">
        <f aca="false">B94</f>
        <v>40.95</v>
      </c>
      <c r="C167" s="164"/>
      <c r="D167" s="164"/>
      <c r="E167" s="166" t="n">
        <f aca="false">B96</f>
        <v>1717.87560806535</v>
      </c>
      <c r="F167" s="27"/>
      <c r="G167" s="27" t="n">
        <f aca="false">ROUND(G95,2)</f>
        <v>1624.11</v>
      </c>
      <c r="H167" s="37"/>
      <c r="J167" s="165" t="e">
        <f aca="false">K95</f>
        <v>#VALUE!</v>
      </c>
      <c r="K167" s="166" t="n">
        <f aca="false">K94</f>
        <v>49.14</v>
      </c>
      <c r="L167" s="164"/>
      <c r="M167" s="164"/>
      <c r="N167" s="166" t="e">
        <f aca="false">K96</f>
        <v>#VALUE!</v>
      </c>
      <c r="O167" s="27"/>
      <c r="P167" s="27"/>
      <c r="Q167" s="37"/>
      <c r="S167" s="165" t="e">
        <f aca="false">T95</f>
        <v>#VALUE!</v>
      </c>
      <c r="T167" s="166" t="n">
        <f aca="false">T94</f>
        <v>41.2363636363636</v>
      </c>
      <c r="U167" s="164"/>
      <c r="V167" s="164"/>
      <c r="W167" s="166" t="e">
        <f aca="false">T96</f>
        <v>#VALUE!</v>
      </c>
      <c r="X167" s="27"/>
      <c r="Y167" s="27"/>
      <c r="Z167" s="37"/>
      <c r="AB167" s="165" t="e">
        <f aca="false">AC95</f>
        <v>#VALUE!</v>
      </c>
      <c r="AC167" s="166" t="n">
        <f aca="false">AC94</f>
        <v>49.4836363636364</v>
      </c>
      <c r="AD167" s="164"/>
      <c r="AE167" s="164"/>
      <c r="AF167" s="166" t="e">
        <f aca="false">AC96</f>
        <v>#VALUE!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12</v>
      </c>
      <c r="B170" s="168" t="n">
        <f aca="false">K30</f>
        <v>10000</v>
      </c>
      <c r="C170" s="169"/>
      <c r="D170" s="27"/>
      <c r="E170" s="170" t="n">
        <f aca="false">IF(A111="YES",A40,0)</f>
        <v>0</v>
      </c>
      <c r="F170" s="27"/>
      <c r="G170" s="27"/>
      <c r="H170" s="37"/>
      <c r="J170" s="167" t="n">
        <f aca="false">K29</f>
        <v>12</v>
      </c>
      <c r="K170" s="168" t="n">
        <f aca="false">K30</f>
        <v>10000</v>
      </c>
      <c r="L170" s="169"/>
      <c r="M170" s="27"/>
      <c r="N170" s="170" t="n">
        <f aca="false">IF(A111="YES",A40,0)</f>
        <v>0</v>
      </c>
      <c r="O170" s="27"/>
      <c r="P170" s="27"/>
      <c r="Q170" s="37"/>
      <c r="S170" s="167" t="n">
        <f aca="false">K29</f>
        <v>12</v>
      </c>
      <c r="T170" s="168" t="n">
        <f aca="false">K30</f>
        <v>10000</v>
      </c>
      <c r="U170" s="169"/>
      <c r="V170" s="27"/>
      <c r="W170" s="170" t="n">
        <f aca="false">IF(A111="YES",A40,0)</f>
        <v>0</v>
      </c>
      <c r="X170" s="27"/>
      <c r="Y170" s="27"/>
      <c r="Z170" s="37"/>
      <c r="AB170" s="167" t="n">
        <f aca="false">K29</f>
        <v>12</v>
      </c>
      <c r="AC170" s="168" t="n">
        <f aca="false">K30</f>
        <v>10000</v>
      </c>
      <c r="AD170" s="169"/>
      <c r="AE170" s="27"/>
      <c r="AF170" s="170" t="n">
        <f aca="false">IF(A111="YES",A40,0)</f>
        <v>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16125</v>
      </c>
      <c r="B173" s="42" t="n">
        <f aca="false">H137</f>
        <v>3225</v>
      </c>
      <c r="C173" s="47"/>
      <c r="D173" s="27"/>
      <c r="E173" s="170" t="n">
        <f aca="false">H139+H140</f>
        <v>0</v>
      </c>
      <c r="F173" s="27"/>
      <c r="G173" s="27"/>
      <c r="H173" s="37"/>
      <c r="J173" s="171" t="e">
        <f aca="false">Q141-Q137-Q139-Q140</f>
        <v>#VALUE!</v>
      </c>
      <c r="K173" s="42" t="e">
        <f aca="false">Q137</f>
        <v>#VALUE!</v>
      </c>
      <c r="L173" s="47"/>
      <c r="M173" s="27"/>
      <c r="N173" s="170" t="n">
        <f aca="false">Q139+Q140</f>
        <v>55</v>
      </c>
      <c r="O173" s="27"/>
      <c r="P173" s="27"/>
      <c r="Q173" s="37"/>
      <c r="S173" s="171" t="e">
        <f aca="false">Z141-Z137-Z139-Z140</f>
        <v>#VALUE!</v>
      </c>
      <c r="T173" s="42" t="e">
        <f aca="false">Z137</f>
        <v>#VALUE!</v>
      </c>
      <c r="U173" s="47"/>
      <c r="V173" s="27"/>
      <c r="W173" s="170" t="n">
        <f aca="false">Z139+Z140</f>
        <v>55</v>
      </c>
      <c r="X173" s="27"/>
      <c r="Y173" s="27"/>
      <c r="Z173" s="37"/>
      <c r="AB173" s="171" t="e">
        <f aca="false">AI141-AI137-AI139-AI140</f>
        <v>#VALUE!</v>
      </c>
      <c r="AC173" s="42" t="e">
        <f aca="false">AI137</f>
        <v>#VALUE!</v>
      </c>
      <c r="AD173" s="47"/>
      <c r="AE173" s="27"/>
      <c r="AF173" s="170" t="n">
        <f aca="false">AI139+AI140</f>
        <v>55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H147</f>
        <v>19350</v>
      </c>
      <c r="B176" s="42" t="n">
        <f aca="false">B111</f>
        <v>1000</v>
      </c>
      <c r="C176" s="42"/>
      <c r="D176" s="27"/>
      <c r="E176" s="42" t="n">
        <f aca="false">E111</f>
        <v>1000</v>
      </c>
      <c r="F176" s="27"/>
      <c r="G176" s="27"/>
      <c r="H176" s="107"/>
      <c r="J176" s="171" t="e">
        <f aca="false">Q141</f>
        <v>#VALUE!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e">
        <f aca="false">Z141</f>
        <v>#VALUE!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e">
        <f aca="false">AI141</f>
        <v>#VALUE!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2000</v>
      </c>
      <c r="B179" s="42" t="n">
        <f aca="false">G154</f>
        <v>0</v>
      </c>
      <c r="C179" s="42"/>
      <c r="D179" s="27"/>
      <c r="E179" s="42" t="n">
        <f aca="false">G158</f>
        <v>18770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e">
        <f aca="false">J176-J179-K179</f>
        <v>#VALUE!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e">
        <f aca="false">S176-S179-T179</f>
        <v>#VALUE!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e">
        <f aca="false">AB176-AB179-AC179</f>
        <v>#VALUE!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(A167*B59)+E185-E179-A185</f>
        <v>1394.05729678418</v>
      </c>
      <c r="B182" s="42" t="n">
        <f aca="false">B114</f>
        <v>199.991666666667</v>
      </c>
      <c r="C182" s="42"/>
      <c r="D182" s="27"/>
      <c r="E182" s="42" t="n">
        <f aca="false">E179+A182+(B182*1.2)+A185</f>
        <v>20414.0472967842</v>
      </c>
      <c r="F182" s="27"/>
      <c r="G182" s="27"/>
      <c r="H182" s="107"/>
      <c r="J182" s="113" t="e">
        <f aca="false">(J167*K59)+N185-N179-J185</f>
        <v>#VALUE!</v>
      </c>
      <c r="K182" s="42" t="n">
        <f aca="false">K114</f>
        <v>239.99</v>
      </c>
      <c r="L182" s="42"/>
      <c r="M182" s="27"/>
      <c r="N182" s="42" t="e">
        <f aca="false">N179+J182+K182+J185</f>
        <v>#VALUE!</v>
      </c>
      <c r="O182" s="27"/>
      <c r="P182" s="27"/>
      <c r="Q182" s="107"/>
      <c r="S182" s="113" t="e">
        <f aca="false">(S167*T59)+W185-W179-S185</f>
        <v>#VALUE!</v>
      </c>
      <c r="T182" s="42" t="n">
        <f aca="false">T114</f>
        <v>199.99</v>
      </c>
      <c r="U182" s="42"/>
      <c r="V182" s="27"/>
      <c r="W182" s="42" t="e">
        <f aca="false">W179+S182+T182+S185</f>
        <v>#VALUE!</v>
      </c>
      <c r="X182" s="27"/>
      <c r="Y182" s="27"/>
      <c r="Z182" s="107"/>
      <c r="AB182" s="113" t="e">
        <f aca="false">(AB167*AC59)+AF185-AF179-AB185</f>
        <v>#VALUE!</v>
      </c>
      <c r="AC182" s="42" t="n">
        <f aca="false">AC114</f>
        <v>239.99</v>
      </c>
      <c r="AD182" s="42"/>
      <c r="AE182" s="27"/>
      <c r="AF182" s="42" t="e">
        <f aca="false">AF179+AB182+AC182+AB185</f>
        <v>#VALUE!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A179+(B182*1.2)</f>
        <v>2239.99</v>
      </c>
      <c r="C185" s="42"/>
      <c r="D185" s="27"/>
      <c r="E185" s="42" t="n">
        <f aca="false">IF( E170=0, A185+E167, E170+A185)</f>
        <v>1727.87560806535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20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10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10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IF(E105="YES",J18*0.000002,0)*100</f>
        <v>8.1052</v>
      </c>
      <c r="B188" s="42" t="n">
        <f aca="false">(G158*B67)</f>
        <v>93.85</v>
      </c>
      <c r="C188" s="36"/>
      <c r="D188" s="36"/>
      <c r="E188" s="42" t="n">
        <f aca="false">(E40*A108)*0.1*(C45/100)</f>
        <v>11.34</v>
      </c>
      <c r="F188" s="27"/>
      <c r="G188" s="27"/>
      <c r="H188" s="37"/>
      <c r="J188" s="113" t="n">
        <f aca="false">IF(N105="YES",H15*0.000002,0)</f>
        <v>0</v>
      </c>
      <c r="K188" s="42" t="e">
        <f aca="false">(P158*K67)/1.2</f>
        <v>#VALUE!</v>
      </c>
      <c r="L188" s="36"/>
      <c r="M188" s="36"/>
      <c r="N188" s="42" t="n">
        <f aca="false">(E40*J108)*0.1</f>
        <v>11.34</v>
      </c>
      <c r="O188" s="27"/>
      <c r="P188" s="27"/>
      <c r="Q188" s="37"/>
      <c r="S188" s="113" t="n">
        <f aca="false">IF(W105="YES",Z15*0.000002,0)</f>
        <v>0</v>
      </c>
      <c r="T188" s="42" t="e">
        <f aca="false">(Y158*T67)/1.2</f>
        <v>#VALUE!</v>
      </c>
      <c r="U188" s="36"/>
      <c r="V188" s="36"/>
      <c r="W188" s="42" t="n">
        <f aca="false">(E40*S108)*0.1</f>
        <v>7.56</v>
      </c>
      <c r="X188" s="36"/>
      <c r="Y188" s="36"/>
      <c r="Z188" s="37"/>
      <c r="AB188" s="113" t="n">
        <f aca="false">IF(AF105="YES",AI15*0.000002,0)</f>
        <v>0</v>
      </c>
      <c r="AC188" s="42" t="e">
        <f aca="false">(AH158*AC67)/1.2</f>
        <v>#VALUE!</v>
      </c>
      <c r="AD188" s="36"/>
      <c r="AE188" s="36"/>
      <c r="AF188" s="42" t="n">
        <f aca="false">(E40*AB108)*0.1</f>
        <v>7.56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125.19</v>
      </c>
      <c r="C191" s="36"/>
      <c r="D191" s="36"/>
      <c r="E191" s="42" t="n">
        <f aca="false">H148</f>
        <v>2083.33</v>
      </c>
      <c r="F191" s="27"/>
      <c r="G191" s="27"/>
      <c r="H191" s="37"/>
      <c r="J191" s="113" t="n">
        <f aca="false">K185-100</f>
        <v>1139.99</v>
      </c>
      <c r="K191" s="42" t="e">
        <f aca="false">K188+N188+J191</f>
        <v>#VALUE!</v>
      </c>
      <c r="L191" s="36"/>
      <c r="M191" s="36"/>
      <c r="N191" s="42" t="e">
        <f aca="false">Q148</f>
        <v>#VALUE!</v>
      </c>
      <c r="O191" s="27"/>
      <c r="P191" s="27"/>
      <c r="Q191" s="37"/>
      <c r="S191" s="113" t="n">
        <f aca="false">T185-100</f>
        <v>1099.99</v>
      </c>
      <c r="T191" s="42" t="e">
        <f aca="false">T188+W188+S191</f>
        <v>#VALUE!</v>
      </c>
      <c r="U191" s="36"/>
      <c r="V191" s="36"/>
      <c r="W191" s="42" t="e">
        <f aca="false">Z148</f>
        <v>#VALUE!</v>
      </c>
      <c r="X191" s="36"/>
      <c r="Y191" s="36"/>
      <c r="Z191" s="37"/>
      <c r="AB191" s="113" t="n">
        <f aca="false">AC185-100</f>
        <v>1139.99</v>
      </c>
      <c r="AC191" s="42" t="e">
        <f aca="false">AC188+AF188+AB191</f>
        <v>#VALUE!</v>
      </c>
      <c r="AD191" s="36"/>
      <c r="AE191" s="36"/>
      <c r="AF191" s="42" t="e">
        <f aca="false">AI148</f>
        <v>#VALUE!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10000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10000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10000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10000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12</v>
      </c>
      <c r="B197" s="78" t="n">
        <f aca="false">B96</f>
        <v>1717.87560806535</v>
      </c>
      <c r="C197" s="78"/>
      <c r="D197" s="78"/>
      <c r="E197" s="27"/>
      <c r="F197" s="27"/>
      <c r="G197" s="27"/>
      <c r="H197" s="37"/>
      <c r="J197" s="77" t="n">
        <f aca="false">K29</f>
        <v>12</v>
      </c>
      <c r="K197" s="78" t="e">
        <f aca="false">K96</f>
        <v>#VALUE!</v>
      </c>
      <c r="L197" s="78"/>
      <c r="M197" s="78"/>
      <c r="N197" s="27"/>
      <c r="O197" s="27"/>
      <c r="P197" s="27"/>
      <c r="Q197" s="37"/>
      <c r="S197" s="77" t="n">
        <f aca="false">K29</f>
        <v>12</v>
      </c>
      <c r="T197" s="78" t="e">
        <f aca="false">T96</f>
        <v>#VALUE!</v>
      </c>
      <c r="U197" s="78"/>
      <c r="V197" s="78"/>
      <c r="W197" s="27"/>
      <c r="X197" s="27"/>
      <c r="Y197" s="27"/>
      <c r="Z197" s="37"/>
      <c r="AB197" s="77" t="n">
        <f aca="false">K29</f>
        <v>12</v>
      </c>
      <c r="AC197" s="78" t="e">
        <f aca="false">AC96</f>
        <v>#VALUE!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719.32</v>
      </c>
      <c r="B201" s="47" t="n">
        <f aca="false">E179+A201+(B182*1.2)+A185</f>
        <v>19739.31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n">
        <f aca="false">A197</f>
        <v>12</v>
      </c>
      <c r="C209" s="164"/>
      <c r="D209" s="164"/>
      <c r="E209" s="164" t="n">
        <f aca="false">B196</f>
        <v>10000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1676.92560806535</v>
      </c>
      <c r="B212" s="166" t="n">
        <f aca="false">B167</f>
        <v>40.95</v>
      </c>
      <c r="C212" s="164"/>
      <c r="D212" s="164"/>
      <c r="E212" s="166" t="n">
        <f aca="false">E167</f>
        <v>1717.87560806535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16125</v>
      </c>
      <c r="B215" s="42" t="n">
        <f aca="false">B173</f>
        <v>3225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19350</v>
      </c>
      <c r="B218" s="42" t="n">
        <f aca="false">B176</f>
        <v>1000</v>
      </c>
      <c r="C218" s="42"/>
      <c r="D218" s="27"/>
      <c r="E218" s="42" t="n">
        <f aca="false">E176</f>
        <v>1000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2000</v>
      </c>
      <c r="B221" s="42" t="n">
        <f aca="false">B179</f>
        <v>0</v>
      </c>
      <c r="C221" s="42"/>
      <c r="D221" s="27"/>
      <c r="E221" s="42" t="n">
        <f aca="false">E179</f>
        <v>18770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1394.05729678418</v>
      </c>
      <c r="B224" s="42" t="n">
        <f aca="false">B182</f>
        <v>199.991666666667</v>
      </c>
      <c r="C224" s="42"/>
      <c r="D224" s="27"/>
      <c r="E224" s="42" t="n">
        <f aca="false">E182</f>
        <v>20414.0472967842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2239.99</v>
      </c>
      <c r="C227" s="42"/>
      <c r="D227" s="27"/>
      <c r="E227" s="42" t="n">
        <f aca="false">B59</f>
        <v>11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1676.92560806535</v>
      </c>
      <c r="B230" s="42" t="n">
        <f aca="false">B167</f>
        <v>40.95</v>
      </c>
      <c r="C230" s="47"/>
      <c r="D230" s="47"/>
      <c r="E230" s="42" t="n">
        <f aca="false">E167</f>
        <v>1717.87560806535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0</v>
      </c>
      <c r="B233" s="42" t="n">
        <f aca="false">E185</f>
        <v>1727.87560806535</v>
      </c>
      <c r="C233" s="36"/>
      <c r="D233" s="36"/>
      <c r="E233" s="42" t="n">
        <f aca="false">A188</f>
        <v>8.1052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B68</f>
        <v>78.2083333333333</v>
      </c>
      <c r="C240" s="36"/>
      <c r="D240" s="36"/>
      <c r="E240" s="42" t="n">
        <f aca="false">E188</f>
        <v>11.34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B240+E240+A243+A240-H156-H156</f>
        <v>-647.121666666667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</v>
      </c>
      <c r="C253" s="182"/>
      <c r="D253" s="183" t="s">
        <v>227</v>
      </c>
      <c r="E253" s="183"/>
      <c r="F253" s="181" t="n">
        <f aca="false">B83</f>
        <v>0.1305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684.73729678418</v>
      </c>
      <c r="C254" s="182"/>
      <c r="D254" s="183" t="s">
        <v>229</v>
      </c>
      <c r="E254" s="183"/>
      <c r="F254" s="185" t="n">
        <f aca="false">F261+F267+F269+B270+B271</f>
        <v>78.2083333333333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133.4</v>
      </c>
      <c r="C255" s="182"/>
      <c r="D255" s="183" t="s">
        <v>231</v>
      </c>
      <c r="E255" s="183"/>
      <c r="F255" s="185" t="n">
        <f aca="false">(B254-F254)+B255</f>
        <v>739.928963450847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0.1305</v>
      </c>
      <c r="C260" s="47"/>
      <c r="D260" s="156" t="s">
        <v>228</v>
      </c>
      <c r="E260" s="156"/>
      <c r="F260" s="135" t="n">
        <f aca="false">B254</f>
        <v>684.73729678418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0.005</v>
      </c>
      <c r="C261" s="36"/>
      <c r="D261" s="156" t="s">
        <v>234</v>
      </c>
      <c r="E261" s="156"/>
      <c r="F261" s="142" t="n">
        <f aca="false">B68</f>
        <v>78.2083333333333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0.3</v>
      </c>
      <c r="C262" s="36"/>
      <c r="D262" s="156" t="s">
        <v>235</v>
      </c>
      <c r="E262" s="156"/>
      <c r="F262" s="135" t="n">
        <f aca="false">E240*10</f>
        <v>113.4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739.928963450847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  <c r="J271" s="6" t="n">
        <v>4</v>
      </c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60">
    <mergeCell ref="A1:F1"/>
    <mergeCell ref="D7:E18"/>
    <mergeCell ref="A16:C18"/>
    <mergeCell ref="A19:D19"/>
    <mergeCell ref="A21:D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B105 K105 N105 T105 W105 AC105 AF105 B108:D108 K108:M108 T108:V108 AC108:AE108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 A111" type="list">
      <formula1>HirePurchaseNonRegulated!$K$9:$K$10</formula1>
      <formula2>0</formula2>
    </dataValidation>
    <dataValidation allowBlank="true" errorStyle="stop" operator="between" showDropDown="false" showErrorMessage="true" showInputMessage="false" sqref="B70" type="list">
      <formula1>HirePurchaseNonRegulated!$K$9:$K$10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2"/>
  <sheetViews>
    <sheetView showFormulas="false" showGridLines="true" showRowColHeaders="true" showZeros="true" rightToLeft="false" tabSelected="false" showOutlineSymbols="true" defaultGridColor="true" view="normal" topLeftCell="A205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56.0" collapsed="false" outlineLevel="0"/>
    <col min="2" max="2" customWidth="true" hidden="false" style="1" width="18.12" collapsed="false" outlineLevel="0"/>
    <col min="3" max="3" customWidth="true" hidden="false" style="1" width="25.12" collapsed="false" outlineLevel="0"/>
    <col min="4" max="4" customWidth="true" hidden="false" style="1" width="18.12" collapsed="false" outlineLevel="0"/>
    <col min="5" max="5" customWidth="true" hidden="false" style="1" width="24.0" collapsed="false" outlineLevel="0"/>
    <col min="7" max="7" customWidth="true" hidden="false" style="1" width="53.5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8.2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 t="n">
        <v>25000</v>
      </c>
      <c r="H3" s="67"/>
      <c r="I3" s="67" t="s">
        <v>31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 t="s">
        <v>32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364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7.35" hidden="false" customHeight="false" outlineLevel="0" collapsed="false">
      <c r="A8" s="250"/>
      <c r="B8" s="67"/>
      <c r="C8" s="67"/>
      <c r="D8" s="249"/>
      <c r="E8" s="249"/>
      <c r="F8" s="67"/>
      <c r="G8" s="365" t="e">
        <f aca="false">G9*100/B3</f>
        <v>#DIV/0!</v>
      </c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364" t="n">
        <f aca="false">E9-G11</f>
        <v>-152558.333333333</v>
      </c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364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364" t="n">
        <f aca="false">G13/1.2</f>
        <v>152558.333333333</v>
      </c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364" t="n">
        <f aca="false">G15-E14-E13-E12</f>
        <v>183070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v>183070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366" t="n">
        <f aca="false">(B3+C3+E10)*1.2</f>
        <v>0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1" t="n">
        <f aca="false">(B3+C3+D3+E3+E10)*1.2</f>
        <v>0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364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4" t="s">
        <v>139</v>
      </c>
      <c r="B26" s="206" t="s">
        <v>31</v>
      </c>
      <c r="C26" s="199"/>
      <c r="D26" s="199"/>
      <c r="E26" s="200"/>
      <c r="F26" s="67"/>
      <c r="G26" s="202" t="s">
        <v>36</v>
      </c>
      <c r="H26" s="202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38</v>
      </c>
      <c r="H27" s="203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1" t="s">
        <v>193</v>
      </c>
      <c r="B28" s="201"/>
      <c r="C28" s="201"/>
      <c r="D28" s="201"/>
      <c r="E28" s="201"/>
      <c r="F28" s="67"/>
      <c r="G28" s="203" t="s">
        <v>40</v>
      </c>
      <c r="H28" s="203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198"/>
      <c r="B29" s="199"/>
      <c r="C29" s="199"/>
      <c r="D29" s="199"/>
      <c r="E29" s="200"/>
      <c r="F29" s="67"/>
      <c r="G29" s="202" t="s">
        <v>41</v>
      </c>
      <c r="H29" s="367" t="n">
        <v>35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 t="s">
        <v>194</v>
      </c>
      <c r="B30" s="162" t="s">
        <v>359</v>
      </c>
      <c r="C30" s="162"/>
      <c r="D30" s="199"/>
      <c r="E30" s="200"/>
      <c r="F30" s="67"/>
      <c r="G30" s="202" t="s">
        <v>45</v>
      </c>
      <c r="H30" s="367" t="n">
        <v>35000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198"/>
      <c r="B31" s="199"/>
      <c r="C31" s="199"/>
      <c r="D31" s="199"/>
      <c r="E31" s="200"/>
      <c r="F31" s="67"/>
      <c r="G31" s="202" t="s">
        <v>48</v>
      </c>
      <c r="H31" s="46" t="n">
        <v>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98" t="s">
        <v>95</v>
      </c>
      <c r="B32" s="199" t="s">
        <v>96</v>
      </c>
      <c r="C32" s="199"/>
      <c r="D32" s="368" t="s">
        <v>365</v>
      </c>
      <c r="E32" s="200"/>
      <c r="F32" s="67"/>
      <c r="G32" s="202" t="s">
        <v>49</v>
      </c>
      <c r="I32" s="46" t="n">
        <v>0</v>
      </c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31.5" hidden="false" customHeight="true" outlineLevel="0" collapsed="false">
      <c r="A33" s="213" t="n">
        <f aca="false">A52</f>
        <v>35</v>
      </c>
      <c r="B33" s="214" t="n">
        <v>10000</v>
      </c>
      <c r="C33" s="215"/>
      <c r="D33" s="369" t="n">
        <f aca="false">H48</f>
        <v>460.911583609102</v>
      </c>
      <c r="E33" s="200"/>
      <c r="F33" s="67"/>
      <c r="G33" s="203" t="s">
        <v>366</v>
      </c>
      <c r="H33" s="52" t="n">
        <f aca="false">E21-E11</f>
        <v>14041.67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198"/>
      <c r="B34" s="199"/>
      <c r="C34" s="199"/>
      <c r="D34" s="199"/>
      <c r="E34" s="200"/>
      <c r="F34" s="67"/>
      <c r="G34" s="67" t="s">
        <v>382</v>
      </c>
      <c r="H34" s="67" t="n">
        <f aca="false">H29</f>
        <v>35</v>
      </c>
      <c r="I34" s="67" t="n">
        <v>43957.29</v>
      </c>
      <c r="J34" s="67" t="n">
        <v>841.24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98" t="s">
        <v>367</v>
      </c>
      <c r="B35" s="199" t="s">
        <v>368</v>
      </c>
      <c r="C35" s="199"/>
      <c r="D35" s="199" t="s">
        <v>369</v>
      </c>
      <c r="E35" s="200"/>
      <c r="F35" s="67"/>
      <c r="G35" s="55" t="s">
        <v>59</v>
      </c>
      <c r="H35" s="218" t="n">
        <v>0.095</v>
      </c>
      <c r="I35" s="67" t="n">
        <v>46215.83</v>
      </c>
      <c r="J35" s="67" t="n">
        <v>909.69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71" t="n">
        <f aca="false">H47</f>
        <v>460.911583609102</v>
      </c>
      <c r="B36" s="42" t="n">
        <f aca="false">IF(B26="YES",H42,"")</f>
        <v>0</v>
      </c>
      <c r="C36" s="205"/>
      <c r="D36" s="170" t="n">
        <f aca="false">H31</f>
        <v>0</v>
      </c>
      <c r="E36" s="200"/>
      <c r="F36" s="67"/>
      <c r="G36" s="67"/>
      <c r="H36" s="67"/>
      <c r="I36" s="67" t="n">
        <f aca="false">I35-I34</f>
        <v>2258.54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113"/>
      <c r="B37" s="42"/>
      <c r="C37" s="205"/>
      <c r="D37" s="42"/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198"/>
      <c r="B38" s="199"/>
      <c r="C38" s="199"/>
      <c r="D38" s="199"/>
      <c r="E38" s="200"/>
      <c r="F38" s="67"/>
      <c r="G38" s="227" t="s">
        <v>65</v>
      </c>
      <c r="H38" s="22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198" t="s">
        <v>370</v>
      </c>
      <c r="B39" s="199" t="s">
        <v>371</v>
      </c>
      <c r="C39" s="199"/>
      <c r="D39" s="199" t="s">
        <v>372</v>
      </c>
      <c r="E39" s="200"/>
      <c r="F39" s="67"/>
      <c r="G39" s="67" t="s">
        <v>97</v>
      </c>
      <c r="H39" s="7" t="n">
        <f aca="false">H33</f>
        <v>14041.67</v>
      </c>
      <c r="I39" s="7" t="n">
        <f aca="false">(I48*H46)+H44</f>
        <v>42650.995763804</v>
      </c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109" t="n">
        <f aca="false">D36*A45/100</f>
        <v>0</v>
      </c>
      <c r="B40" s="109" t="n">
        <f aca="false">IF(B26="YES",H42,"0")</f>
        <v>0</v>
      </c>
      <c r="C40" s="109"/>
      <c r="D40" s="170" t="n">
        <f aca="false">I32</f>
        <v>0</v>
      </c>
      <c r="E40" s="200"/>
      <c r="F40" s="67"/>
      <c r="G40" s="67" t="s">
        <v>119</v>
      </c>
      <c r="H40" s="7" t="n">
        <f aca="false">A40/1.2</f>
        <v>0</v>
      </c>
      <c r="I40" s="7" t="n">
        <f aca="false">H39-I39</f>
        <v>-28609.325763804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98"/>
      <c r="B41" s="199"/>
      <c r="C41" s="199"/>
      <c r="D41" s="199"/>
      <c r="E41" s="200"/>
      <c r="F41" s="67"/>
      <c r="G41" s="67" t="s">
        <v>373</v>
      </c>
      <c r="H41" s="225" t="n">
        <f aca="false">H35/12</f>
        <v>0.00791666666666667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198"/>
      <c r="B42" s="199"/>
      <c r="C42" s="199"/>
      <c r="D42" s="199"/>
      <c r="E42" s="200"/>
      <c r="F42" s="67"/>
      <c r="G42" s="67" t="s">
        <v>374</v>
      </c>
      <c r="H42" s="7" t="n">
        <f aca="false">(I32/H34)*(C45/100)</f>
        <v>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65"/>
      <c r="B43" s="266"/>
      <c r="C43" s="266"/>
      <c r="D43" s="266"/>
      <c r="E43" s="267"/>
      <c r="F43" s="67"/>
      <c r="G43" s="67" t="s">
        <v>375</v>
      </c>
      <c r="H43" s="67"/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370" t="s">
        <v>89</v>
      </c>
      <c r="B44" s="199"/>
      <c r="C44" s="371" t="s">
        <v>90</v>
      </c>
      <c r="D44" s="371"/>
      <c r="E44" s="200"/>
      <c r="F44" s="67"/>
      <c r="G44" s="67" t="s">
        <v>383</v>
      </c>
      <c r="H44" s="7" t="n">
        <f aca="false">(H40/(1+H41)^(H34+1))</f>
        <v>0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372" t="n">
        <v>100</v>
      </c>
      <c r="B45" s="199"/>
      <c r="C45" s="373" t="n">
        <v>100</v>
      </c>
      <c r="D45" s="373"/>
      <c r="E45" s="200"/>
      <c r="F45" s="67"/>
      <c r="G45" s="67" t="s">
        <v>384</v>
      </c>
      <c r="H45" s="7" t="n">
        <f aca="false">(H39-H44)</f>
        <v>14041.67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62"/>
      <c r="B46" s="263"/>
      <c r="C46" s="263"/>
      <c r="D46" s="263"/>
      <c r="E46" s="264"/>
      <c r="F46" s="67"/>
      <c r="G46" s="67" t="s">
        <v>385</v>
      </c>
      <c r="H46" s="7" t="n">
        <f aca="false">((1-(1/((1+H41)^H34)))/H41)</f>
        <v>30.4649969741457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98"/>
      <c r="B47" s="199"/>
      <c r="C47" s="199"/>
      <c r="D47" s="199"/>
      <c r="E47" s="200"/>
      <c r="F47" s="67"/>
      <c r="G47" s="67" t="s">
        <v>379</v>
      </c>
      <c r="H47" s="7" t="n">
        <f aca="false">H45/H46</f>
        <v>460.911583609102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374" t="s">
        <v>380</v>
      </c>
      <c r="H48" s="7" t="n">
        <f aca="false">IF(B26="YES",H47+H42,H47)</f>
        <v>460.911583609102</v>
      </c>
      <c r="I48" s="7" t="n">
        <f aca="false">I49-H42</f>
        <v>1400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 t="s">
        <v>381</v>
      </c>
      <c r="H49" s="261"/>
      <c r="I49" s="7" t="n">
        <v>1400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35000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35</v>
      </c>
      <c r="B52" s="78" t="n">
        <f aca="false">H48</f>
        <v>460.911583609102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199"/>
      <c r="N55" s="199"/>
      <c r="O55" s="199"/>
      <c r="P55" s="199"/>
      <c r="Q55" s="199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265"/>
      <c r="N56" s="266"/>
      <c r="O56" s="266"/>
      <c r="P56" s="266"/>
      <c r="Q56" s="2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IF(B99=Y97,1,IF(B99=Y98,1,IF(B99=Y99,3,IF(B99=Y100,6,IF(B99=Y101,9,IF(B99=Y102,12,IF(B99=Y103,3,IF(B99=Y104,6,IF(B99=Y105,9,0)))))))))</f>
        <v>1</v>
      </c>
      <c r="C57" s="199"/>
      <c r="D57" s="199"/>
      <c r="E57" s="200"/>
      <c r="F57" s="67"/>
      <c r="G57" s="198" t="s">
        <v>97</v>
      </c>
      <c r="H57" s="199" t="n">
        <f aca="false">IF(H99=Y97,1,IF(H99=Y98,1,IF(H99=Y99,3,IF(H99=Y100,6,IF(H99=Y101,9,IF(H99=Y102,12,IF(H99=Y103,3,IF(H99=Y104,6,IF(H99=Y105,9,0)))))))))</f>
        <v>6</v>
      </c>
      <c r="I57" s="199"/>
      <c r="J57" s="199"/>
      <c r="K57" s="200"/>
      <c r="L57" s="67"/>
      <c r="M57" s="198" t="s">
        <v>97</v>
      </c>
      <c r="N57" s="199" t="n">
        <f aca="false">IF(N99=Y97,1,IF(N99=Y98,1,IF(N99=Y99,3,IF(N99=Y100,6,IF(N99=Y101,9,IF(N99=Y102,12,IF(N99=Y103,3,IF(N99=Y104,6,IF(N99=Y105,9,0)))))))))</f>
        <v>6</v>
      </c>
      <c r="O57" s="199"/>
      <c r="P57" s="199"/>
      <c r="Q57" s="200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IF(B99=Y97,H29-B57,IF(B99=Y98,H29-B57,IF(B99=Y99,H29-1,IF(B99=Y100,H29-1,IF(B99=Y101,H29-1,IF(B99=Y102,H29-1,IF(B99=Y103,H29-B57,IF(B99=Y104,H29-B57,IF(B99=Y105,H29-B57,0)))))))))</f>
        <v>34</v>
      </c>
      <c r="C58" s="199"/>
      <c r="D58" s="199"/>
      <c r="E58" s="200"/>
      <c r="F58" s="67"/>
      <c r="G58" s="198" t="s">
        <v>98</v>
      </c>
      <c r="H58" s="199" t="n">
        <f aca="false">IF(H99=Y97,H29-H57,IF(H99=Y98,H29-H57,IF(H99=Y99,H29-1,IF(H99=Y100,H29-1,IF(H99=Y101,H29-1,IF(H99=Y102,H29-1,IF(H99=Y103,H29-H57,IF(H99=Y104,H29-H57,IF(H99=Y105,H29-H57,0)))))))))</f>
        <v>34</v>
      </c>
      <c r="I58" s="199"/>
      <c r="J58" s="199"/>
      <c r="K58" s="200"/>
      <c r="L58" s="67"/>
      <c r="M58" s="198" t="s">
        <v>98</v>
      </c>
      <c r="N58" s="199" t="n">
        <f aca="false">IF(N99=Y97,H29-N57,IF(N99=Y98,H29-N57,IF(N99=Y99,H29-1,IF(N99=Y100,H29-1,IF(N99=Y101,H29-1,IF(N99=Y102,H29-1,IF(N99=Y103,H29-N57,IF(N99=Y104,H29-N57,IF(N99=Y105,H29-N57,0)))))))))</f>
        <v>34</v>
      </c>
      <c r="O58" s="199"/>
      <c r="P58" s="199"/>
      <c r="Q58" s="200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198"/>
      <c r="N59" s="199"/>
      <c r="O59" s="199"/>
      <c r="P59" s="199"/>
      <c r="Q59" s="200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386</v>
      </c>
      <c r="B60" s="199" t="n">
        <f aca="false">E19</f>
        <v>16850.004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198"/>
      <c r="N60" s="199"/>
      <c r="O60" s="199"/>
      <c r="P60" s="199"/>
      <c r="Q60" s="200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v>40526</v>
      </c>
      <c r="C61" s="199"/>
      <c r="D61" s="199"/>
      <c r="E61" s="200"/>
      <c r="F61" s="67"/>
      <c r="G61" s="198" t="s">
        <v>27</v>
      </c>
      <c r="H61" s="36" t="n">
        <f aca="false">G18</f>
        <v>0</v>
      </c>
      <c r="I61" s="199"/>
      <c r="J61" s="199"/>
      <c r="K61" s="200"/>
      <c r="L61" s="67"/>
      <c r="M61" s="198" t="s">
        <v>27</v>
      </c>
      <c r="N61" s="36" t="n">
        <f aca="false">G18</f>
        <v>0</v>
      </c>
      <c r="O61" s="199"/>
      <c r="P61" s="199"/>
      <c r="Q61" s="200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268" t="s">
        <v>287</v>
      </c>
      <c r="N62" s="269" t="n">
        <v>0.07</v>
      </c>
      <c r="O62" s="199"/>
      <c r="P62" s="199"/>
      <c r="Q62" s="200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0.1035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0.103541666666667</v>
      </c>
      <c r="I63" s="199"/>
      <c r="J63" s="199"/>
      <c r="K63" s="200"/>
      <c r="L63" s="67"/>
      <c r="M63" s="198" t="s">
        <v>288</v>
      </c>
      <c r="N63" s="270" t="n">
        <f aca="false">N62+(N62*0.25*(H29/12-1))</f>
        <v>0.103541666666667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B60*B63</f>
        <v>1743.975414</v>
      </c>
      <c r="C64" s="375" t="n">
        <v>10000</v>
      </c>
      <c r="D64" s="36" t="n">
        <f aca="false">B64</f>
        <v>1743.975414</v>
      </c>
      <c r="E64" s="376" t="n">
        <f aca="false">D64/(B58+B57)</f>
        <v>49.8278689714286</v>
      </c>
      <c r="F64" s="67"/>
      <c r="G64" s="262" t="s">
        <v>103</v>
      </c>
      <c r="H64" s="69" t="n">
        <f aca="false">H61*H63</f>
        <v>0</v>
      </c>
      <c r="I64" s="199"/>
      <c r="J64" s="36" t="n">
        <f aca="false">H64-G145</f>
        <v>0</v>
      </c>
      <c r="K64" s="200"/>
      <c r="L64" s="67"/>
      <c r="M64" s="262" t="s">
        <v>103</v>
      </c>
      <c r="N64" s="69" t="n">
        <f aca="false">N61*N63</f>
        <v>0</v>
      </c>
      <c r="O64" s="199"/>
      <c r="P64" s="36" t="n">
        <f aca="false">N64-M145</f>
        <v>0</v>
      </c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36"/>
      <c r="E65" s="200"/>
      <c r="F65" s="67"/>
      <c r="G65" s="268" t="s">
        <v>104</v>
      </c>
      <c r="H65" s="269" t="n">
        <v>0.01</v>
      </c>
      <c r="I65" s="199"/>
      <c r="J65" s="199"/>
      <c r="K65" s="200"/>
      <c r="L65" s="67"/>
      <c r="M65" s="268" t="s">
        <v>104</v>
      </c>
      <c r="N65" s="269" t="n">
        <v>0.01</v>
      </c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377" t="s">
        <v>234</v>
      </c>
      <c r="D66" s="199"/>
      <c r="E66" s="200"/>
      <c r="F66" s="67"/>
      <c r="G66" s="198" t="s">
        <v>105</v>
      </c>
      <c r="H66" s="270" t="n">
        <f aca="false">H65+(H65*0.5*(H29/12-1))</f>
        <v>0.0195833333333333</v>
      </c>
      <c r="I66" s="199"/>
      <c r="J66" s="199"/>
      <c r="K66" s="200"/>
      <c r="L66" s="67"/>
      <c r="M66" s="198" t="s">
        <v>105</v>
      </c>
      <c r="N66" s="270" t="n">
        <f aca="false">N65+(N65*0.5*(H29/12-1))</f>
        <v>0.0195833333333333</v>
      </c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0</v>
      </c>
      <c r="C67" s="378" t="s">
        <v>234</v>
      </c>
      <c r="D67" s="379"/>
      <c r="E67" s="200"/>
      <c r="F67" s="67"/>
      <c r="G67" s="262" t="s">
        <v>106</v>
      </c>
      <c r="H67" s="69" t="n">
        <f aca="false">(H61*H66)/1.2</f>
        <v>0</v>
      </c>
      <c r="I67" s="199"/>
      <c r="J67" s="36"/>
      <c r="K67" s="200"/>
      <c r="L67" s="67"/>
      <c r="M67" s="262" t="s">
        <v>106</v>
      </c>
      <c r="N67" s="69" t="n">
        <f aca="false">(N61*N66)/1.2</f>
        <v>0</v>
      </c>
      <c r="O67" s="199"/>
      <c r="P67" s="36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380"/>
      <c r="D68" s="36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268" t="s">
        <v>107</v>
      </c>
      <c r="N68" s="269" t="n">
        <v>0.0075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272" t="s">
        <v>108</v>
      </c>
      <c r="N69" s="273" t="n">
        <v>0.12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0.0084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262" t="s">
        <v>109</v>
      </c>
      <c r="N70" s="381" t="n">
        <f aca="false">N68*(1+N69)</f>
        <v>0.0084</v>
      </c>
      <c r="O70" s="199"/>
      <c r="P70" s="199"/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268" t="s">
        <v>110</v>
      </c>
      <c r="N71" s="90" t="n">
        <v>160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272" t="s">
        <v>111</v>
      </c>
      <c r="N72" s="81" t="n">
        <v>4.5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157.5</v>
      </c>
      <c r="C73" s="199"/>
      <c r="D73" s="382" t="n">
        <f aca="false">B73+B71</f>
        <v>317.5</v>
      </c>
      <c r="E73" s="200" t="s">
        <v>240</v>
      </c>
      <c r="F73" s="67"/>
      <c r="G73" s="262" t="s">
        <v>112</v>
      </c>
      <c r="H73" s="69" t="n">
        <f aca="false">H72*H29</f>
        <v>157.5</v>
      </c>
      <c r="I73" s="199"/>
      <c r="J73" s="36" t="n">
        <f aca="false">H73+H71</f>
        <v>317.5</v>
      </c>
      <c r="K73" s="200"/>
      <c r="L73" s="67"/>
      <c r="M73" s="262" t="s">
        <v>112</v>
      </c>
      <c r="N73" s="69" t="n">
        <f aca="false">N72*H29</f>
        <v>157.5</v>
      </c>
      <c r="O73" s="199"/>
      <c r="P73" s="36" t="n">
        <f aca="false">N73+N71</f>
        <v>317.5</v>
      </c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0</v>
      </c>
      <c r="C74" s="199"/>
      <c r="D74" s="199"/>
      <c r="E74" s="200"/>
      <c r="F74" s="67"/>
      <c r="G74" s="268" t="s">
        <v>289</v>
      </c>
      <c r="H74" s="90" t="n">
        <v>165</v>
      </c>
      <c r="I74" s="199"/>
      <c r="J74" s="199"/>
      <c r="K74" s="200"/>
      <c r="L74" s="67"/>
      <c r="M74" s="339" t="s">
        <v>289</v>
      </c>
      <c r="N74" s="340" t="n">
        <v>0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/>
      <c r="D75" s="199"/>
      <c r="E75" s="200"/>
      <c r="F75" s="67"/>
      <c r="G75" s="272" t="s">
        <v>290</v>
      </c>
      <c r="H75" s="81" t="n">
        <v>0</v>
      </c>
      <c r="I75" s="199"/>
      <c r="J75" s="199"/>
      <c r="K75" s="200"/>
      <c r="L75" s="67"/>
      <c r="M75" s="341" t="s">
        <v>290</v>
      </c>
      <c r="N75" s="342" t="n">
        <v>0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((B74+B75)/12)*(H29+1)</f>
        <v>0</v>
      </c>
      <c r="C76" s="199"/>
      <c r="D76" s="36" t="n">
        <f aca="false">B76</f>
        <v>0</v>
      </c>
      <c r="E76" s="200"/>
      <c r="F76" s="67"/>
      <c r="G76" s="262" t="s">
        <v>291</v>
      </c>
      <c r="H76" s="69" t="n">
        <f aca="false">((H74+H75)/12)*(H29-11)</f>
        <v>330</v>
      </c>
      <c r="I76" s="199"/>
      <c r="J76" s="36" t="n">
        <f aca="false">H76</f>
        <v>330</v>
      </c>
      <c r="K76" s="200"/>
      <c r="L76" s="67"/>
      <c r="M76" s="343" t="s">
        <v>291</v>
      </c>
      <c r="N76" s="344" t="n">
        <f aca="false">((N74+N75)/12)*(H29-11)</f>
        <v>0</v>
      </c>
      <c r="O76" s="199"/>
      <c r="P76" s="36" t="n">
        <f aca="false">N76</f>
        <v>0</v>
      </c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5" t="s">
        <v>292</v>
      </c>
      <c r="B77" s="31" t="n">
        <f aca="false">B102/(1-J15)</f>
        <v>470.588235294118</v>
      </c>
      <c r="C77" s="310"/>
      <c r="D77" s="36" t="n">
        <f aca="false">B77</f>
        <v>470.588235294118</v>
      </c>
      <c r="E77" s="376" t="n">
        <f aca="false">D77/(B58+B57)</f>
        <v>13.4453781512605</v>
      </c>
      <c r="F77" s="67"/>
      <c r="G77" s="268" t="s">
        <v>292</v>
      </c>
      <c r="H77" s="90" t="n">
        <v>0</v>
      </c>
      <c r="I77" s="199"/>
      <c r="J77" s="36" t="n">
        <f aca="false">H77</f>
        <v>0</v>
      </c>
      <c r="K77" s="200"/>
      <c r="L77" s="67"/>
      <c r="M77" s="268" t="s">
        <v>292</v>
      </c>
      <c r="N77" s="90" t="n">
        <v>0</v>
      </c>
      <c r="O77" s="199"/>
      <c r="P77" s="36" t="n">
        <f aca="false">N77</f>
        <v>0</v>
      </c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235.294117647059</v>
      </c>
      <c r="C78" s="310"/>
      <c r="D78" s="36" t="n">
        <f aca="false">B78</f>
        <v>235.294117647059</v>
      </c>
      <c r="E78" s="376"/>
      <c r="F78" s="67"/>
      <c r="G78" s="198" t="s">
        <v>293</v>
      </c>
      <c r="H78" s="37" t="n">
        <v>0</v>
      </c>
      <c r="I78" s="199"/>
      <c r="J78" s="36" t="n">
        <f aca="false">H78</f>
        <v>0</v>
      </c>
      <c r="K78" s="200"/>
      <c r="L78" s="67"/>
      <c r="M78" s="198" t="s">
        <v>293</v>
      </c>
      <c r="N78" s="37" t="n">
        <v>0</v>
      </c>
      <c r="O78" s="199"/>
      <c r="P78" s="36" t="n">
        <f aca="false">N78</f>
        <v>0</v>
      </c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310"/>
      <c r="D79" s="36" t="n">
        <f aca="false">B79</f>
        <v>300</v>
      </c>
      <c r="E79" s="376"/>
      <c r="F79" s="67"/>
      <c r="G79" s="272" t="s">
        <v>113</v>
      </c>
      <c r="H79" s="81" t="n">
        <v>200</v>
      </c>
      <c r="I79" s="199"/>
      <c r="J79" s="36" t="n">
        <f aca="false">H79</f>
        <v>200</v>
      </c>
      <c r="K79" s="200"/>
      <c r="L79" s="67"/>
      <c r="M79" s="272" t="s">
        <v>113</v>
      </c>
      <c r="N79" s="81" t="n">
        <v>200</v>
      </c>
      <c r="O79" s="199"/>
      <c r="P79" s="36" t="n">
        <f aca="false">N79</f>
        <v>200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310"/>
      <c r="D80" s="36" t="n">
        <f aca="false">B80</f>
        <v>100</v>
      </c>
      <c r="E80" s="376" t="n">
        <f aca="false">(D73+D76+D79+D80)/(B58+B57)</f>
        <v>20.5</v>
      </c>
      <c r="F80" s="67"/>
      <c r="G80" s="275" t="s">
        <v>114</v>
      </c>
      <c r="H80" s="91" t="n">
        <v>200</v>
      </c>
      <c r="I80" s="199"/>
      <c r="J80" s="36" t="n">
        <f aca="false">H80</f>
        <v>200</v>
      </c>
      <c r="K80" s="200"/>
      <c r="L80" s="67"/>
      <c r="M80" s="275" t="s">
        <v>114</v>
      </c>
      <c r="N80" s="91" t="n">
        <v>200</v>
      </c>
      <c r="O80" s="199"/>
      <c r="P80" s="36" t="n">
        <f aca="false">N80</f>
        <v>200</v>
      </c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3167.35776694118</v>
      </c>
      <c r="C81" s="310"/>
      <c r="D81" s="383"/>
      <c r="E81" s="376"/>
      <c r="F81" s="67"/>
      <c r="G81" s="276" t="s">
        <v>115</v>
      </c>
      <c r="H81" s="277" t="n">
        <f aca="false">SUM(J64:J80)</f>
        <v>1047.5</v>
      </c>
      <c r="I81" s="199"/>
      <c r="J81" s="199"/>
      <c r="K81" s="200"/>
      <c r="L81" s="67"/>
      <c r="M81" s="276" t="s">
        <v>115</v>
      </c>
      <c r="N81" s="277" t="n">
        <f aca="false">SUM(P64:P80)</f>
        <v>717.5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90.4959361983193</v>
      </c>
      <c r="C82" s="310"/>
      <c r="D82" s="199"/>
      <c r="E82" s="376"/>
      <c r="F82" s="67"/>
      <c r="G82" s="198" t="s">
        <v>116</v>
      </c>
      <c r="H82" s="37" t="n">
        <f aca="false">H81/H29</f>
        <v>29.9285714285714</v>
      </c>
      <c r="I82" s="199"/>
      <c r="J82" s="199"/>
      <c r="K82" s="200"/>
      <c r="L82" s="67"/>
      <c r="M82" s="198" t="s">
        <v>116</v>
      </c>
      <c r="N82" s="37" t="n">
        <f aca="false">N81/H29</f>
        <v>20.5</v>
      </c>
      <c r="O82" s="199"/>
      <c r="P82" s="199"/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H47</f>
        <v>460.911583609102</v>
      </c>
      <c r="C83" s="310"/>
      <c r="D83" s="199"/>
      <c r="E83" s="376" t="n">
        <f aca="false">B83+E80+E77+E64</f>
        <v>544.684830731792</v>
      </c>
      <c r="F83" s="67"/>
      <c r="G83" s="278" t="s">
        <v>117</v>
      </c>
      <c r="H83" s="63" t="n">
        <f aca="false">H47</f>
        <v>460.911583609102</v>
      </c>
      <c r="I83" s="199"/>
      <c r="J83" s="199"/>
      <c r="K83" s="200"/>
      <c r="L83" s="67"/>
      <c r="M83" s="278" t="s">
        <v>117</v>
      </c>
      <c r="N83" s="63" t="n">
        <f aca="false">H47</f>
        <v>460.911583609102</v>
      </c>
      <c r="O83" s="199"/>
      <c r="P83" s="199"/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310"/>
      <c r="D84" s="310"/>
      <c r="E84" s="376"/>
      <c r="F84" s="67"/>
      <c r="G84" s="198"/>
      <c r="H84" s="36"/>
      <c r="I84" s="199"/>
      <c r="J84" s="199"/>
      <c r="K84" s="200"/>
      <c r="L84" s="67"/>
      <c r="M84" s="198"/>
      <c r="N84" s="36"/>
      <c r="O84" s="199"/>
      <c r="P84" s="199"/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((B83*H29)+B81)</f>
        <v>19299.2631932598</v>
      </c>
      <c r="C85" s="310"/>
      <c r="D85" s="310"/>
      <c r="E85" s="376" t="n">
        <f aca="false">B85/(B58+B57)</f>
        <v>551.407519807422</v>
      </c>
      <c r="F85" s="67"/>
      <c r="G85" s="265" t="s">
        <v>127</v>
      </c>
      <c r="H85" s="31" t="n">
        <f aca="false">((H83*H29)+H81)*1.2</f>
        <v>20615.2865115823</v>
      </c>
      <c r="I85" s="199"/>
      <c r="J85" s="199"/>
      <c r="K85" s="200"/>
      <c r="L85" s="67"/>
      <c r="M85" s="265" t="s">
        <v>127</v>
      </c>
      <c r="N85" s="31" t="n">
        <f aca="false">((N83*H29)+N81)</f>
        <v>16849.4054263186</v>
      </c>
      <c r="O85" s="199"/>
      <c r="P85" s="199"/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(((B83*H29)+B81)/(1-B70))*B70</f>
        <v>163.48710248425</v>
      </c>
      <c r="C86" s="310" t="s">
        <v>243</v>
      </c>
      <c r="D86" s="199"/>
      <c r="E86" s="376" t="n">
        <f aca="false">B86/(B58+B57)</f>
        <v>4.67106007097856</v>
      </c>
      <c r="F86" s="67"/>
      <c r="G86" s="198" t="s">
        <v>128</v>
      </c>
      <c r="H86" s="37" t="n">
        <f aca="false">((((H83*H29)+H81))/(1-H70))*H70</f>
        <v>145.52945298616</v>
      </c>
      <c r="I86" s="199"/>
      <c r="J86" s="199"/>
      <c r="K86" s="200"/>
      <c r="L86" s="67"/>
      <c r="M86" s="198" t="s">
        <v>128</v>
      </c>
      <c r="N86" s="37" t="n">
        <f aca="false">(N85/(1-N70))*N70</f>
        <v>142.733970936946</v>
      </c>
      <c r="O86" s="199"/>
      <c r="P86" s="199"/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19462.750295744</v>
      </c>
      <c r="C87" s="310"/>
      <c r="D87" s="384"/>
      <c r="E87" s="376" t="n">
        <f aca="false">E86+E85</f>
        <v>556.0785798784</v>
      </c>
      <c r="F87" s="67"/>
      <c r="G87" s="262" t="s">
        <v>129</v>
      </c>
      <c r="H87" s="69" t="n">
        <f aca="false">IF(H110="YES",((H85+H86)-K114),(H85+H86))</f>
        <v>20760.8159645685</v>
      </c>
      <c r="I87" s="199"/>
      <c r="J87" s="199"/>
      <c r="K87" s="200"/>
      <c r="L87" s="67"/>
      <c r="M87" s="262" t="s">
        <v>129</v>
      </c>
      <c r="N87" s="69" t="n">
        <f aca="false">IF(N110="YES",((N85+N86)-Q114),(N85+N86))</f>
        <v>16992.1393972555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310"/>
      <c r="D88" s="199"/>
      <c r="E88" s="376"/>
      <c r="F88" s="67"/>
      <c r="G88" s="198"/>
      <c r="H88" s="36"/>
      <c r="I88" s="199"/>
      <c r="J88" s="199"/>
      <c r="K88" s="200"/>
      <c r="L88" s="67"/>
      <c r="M88" s="198"/>
      <c r="N88" s="36"/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7" t="n">
        <f aca="false">IF(B99=Y98,(I32+(I32*B105))/(B58),(I32+(I32*B105))/(B57+B58))*(C45/100)</f>
        <v>0</v>
      </c>
      <c r="C89" s="310"/>
      <c r="D89" s="199"/>
      <c r="E89" s="200"/>
      <c r="F89" s="67"/>
      <c r="G89" s="276" t="s">
        <v>130</v>
      </c>
      <c r="H89" s="277" t="n">
        <f aca="false">IF(H99=Y98,(D40+(D40*H105))/(H58),(D40+(D40*H105))/(H57+H58))*1.2</f>
        <v>0</v>
      </c>
      <c r="I89" s="199"/>
      <c r="J89" s="199"/>
      <c r="K89" s="200"/>
      <c r="L89" s="67"/>
      <c r="M89" s="276" t="s">
        <v>130</v>
      </c>
      <c r="N89" s="277" t="n">
        <f aca="false">IF(N99=Y98,(D40+(D40*N105))/(N58),(D40+(D40*N105))/(N57+N58))</f>
        <v>0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IF(B99=Y98,(B87-D105)/(B58),B87/(B57+B58))</f>
        <v>556.0785798784</v>
      </c>
      <c r="C90" s="310"/>
      <c r="D90" s="199"/>
      <c r="E90" s="385"/>
      <c r="F90" s="67"/>
      <c r="G90" s="280" t="s">
        <v>131</v>
      </c>
      <c r="H90" s="281" t="n">
        <f aca="false">IF(H99=Y98,(H87-J105)/(H58),H87/(H57+H58))</f>
        <v>519.020399114211</v>
      </c>
      <c r="I90" s="199"/>
      <c r="J90" s="199"/>
      <c r="K90" s="200"/>
      <c r="L90" s="67"/>
      <c r="M90" s="280" t="s">
        <v>131</v>
      </c>
      <c r="N90" s="281" t="n">
        <f aca="false">IF(N99=Y98,(N87-P105)/(N58),N87/(N57+N58))</f>
        <v>424.803484931388</v>
      </c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556.0785798784</v>
      </c>
      <c r="C91" s="310"/>
      <c r="D91" s="386"/>
      <c r="E91" s="333"/>
      <c r="F91" s="67"/>
      <c r="G91" s="282" t="s">
        <v>132</v>
      </c>
      <c r="H91" s="283" t="n">
        <f aca="false">IF(G105="YES",H90+H89,H90)</f>
        <v>519.020399114211</v>
      </c>
      <c r="I91" s="199"/>
      <c r="J91" s="199"/>
      <c r="K91" s="200"/>
      <c r="L91" s="67"/>
      <c r="M91" s="282" t="s">
        <v>132</v>
      </c>
      <c r="N91" s="283" t="n">
        <f aca="false">IF(M105="YES",N90+N89,N90)</f>
        <v>424.803484931388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61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262"/>
      <c r="N92" s="263"/>
      <c r="O92" s="263"/>
      <c r="P92" s="263"/>
      <c r="Q92" s="264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199"/>
      <c r="N93" s="199"/>
      <c r="O93" s="199"/>
      <c r="P93" s="199"/>
      <c r="Q93" s="199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56.2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197" t="s">
        <v>352</v>
      </c>
      <c r="N94" s="197"/>
      <c r="O94" s="197"/>
      <c r="P94" s="197"/>
      <c r="Q94" s="19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 t="s">
        <v>387</v>
      </c>
      <c r="F95" s="67"/>
      <c r="G95" s="198"/>
      <c r="H95" s="199"/>
      <c r="I95" s="199"/>
      <c r="J95" s="199"/>
      <c r="K95" s="200"/>
      <c r="L95" s="67"/>
      <c r="M95" s="198"/>
      <c r="N95" s="199"/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201" t="s">
        <v>137</v>
      </c>
      <c r="N96" s="201"/>
      <c r="O96" s="201"/>
      <c r="P96" s="201"/>
      <c r="Q96" s="201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387"/>
      <c r="C97" s="387"/>
      <c r="D97" s="199"/>
      <c r="E97" s="200"/>
      <c r="F97" s="67"/>
      <c r="G97" s="198"/>
      <c r="H97" s="199"/>
      <c r="I97" s="199"/>
      <c r="J97" s="199"/>
      <c r="K97" s="200"/>
      <c r="L97" s="67"/>
      <c r="M97" s="198"/>
      <c r="N97" s="199"/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 t="s">
        <v>141</v>
      </c>
      <c r="Z97" s="67"/>
      <c r="AC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198" t="s">
        <v>138</v>
      </c>
      <c r="N98" s="199" t="s">
        <v>36</v>
      </c>
      <c r="O98" s="199"/>
      <c r="P98" s="199" t="s">
        <v>295</v>
      </c>
      <c r="Q98" s="200"/>
      <c r="R98" s="67"/>
      <c r="S98" s="67"/>
      <c r="T98" s="67"/>
      <c r="U98" s="67"/>
      <c r="V98" s="67"/>
      <c r="W98" s="67"/>
      <c r="X98" s="67"/>
      <c r="Y98" s="67" t="s">
        <v>273</v>
      </c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1000</v>
      </c>
      <c r="E99" s="109"/>
      <c r="F99" s="67"/>
      <c r="G99" s="204" t="s">
        <v>296</v>
      </c>
      <c r="H99" s="284" t="s">
        <v>275</v>
      </c>
      <c r="I99" s="284"/>
      <c r="J99" s="109" t="n">
        <v>0</v>
      </c>
      <c r="K99" s="109"/>
      <c r="L99" s="67"/>
      <c r="M99" s="204" t="s">
        <v>296</v>
      </c>
      <c r="N99" s="284" t="s">
        <v>275</v>
      </c>
      <c r="O99" s="284"/>
      <c r="P99" s="109" t="n">
        <v>0</v>
      </c>
      <c r="Q99" s="109"/>
      <c r="R99" s="67"/>
      <c r="S99" s="67"/>
      <c r="T99" s="67"/>
      <c r="U99" s="67"/>
      <c r="V99" s="67"/>
      <c r="W99" s="67"/>
      <c r="X99" s="67"/>
      <c r="Y99" s="67" t="s">
        <v>274</v>
      </c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198"/>
      <c r="N100" s="199"/>
      <c r="O100" s="199"/>
      <c r="P100" s="199"/>
      <c r="Q100" s="200"/>
      <c r="R100" s="67"/>
      <c r="S100" s="67"/>
      <c r="T100" s="67"/>
      <c r="U100" s="67"/>
      <c r="V100" s="67"/>
      <c r="W100" s="67"/>
      <c r="X100" s="67"/>
      <c r="Y100" s="67" t="s">
        <v>275</v>
      </c>
      <c r="Z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388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198" t="s">
        <v>297</v>
      </c>
      <c r="N101" s="199" t="s">
        <v>298</v>
      </c>
      <c r="O101" s="199"/>
      <c r="P101" s="199" t="s">
        <v>299</v>
      </c>
      <c r="Q101" s="200"/>
      <c r="R101" s="67"/>
      <c r="S101" s="67"/>
      <c r="T101" s="67"/>
      <c r="U101" s="67"/>
      <c r="V101" s="67"/>
      <c r="W101" s="67"/>
      <c r="X101" s="67"/>
      <c r="Y101" s="67" t="s">
        <v>276</v>
      </c>
      <c r="Z101" s="67"/>
    </row>
    <row r="102" customFormat="false" ht="18.75" hidden="false" customHeight="true" outlineLevel="0" collapsed="false">
      <c r="A102" s="285" t="n">
        <v>199.991666666667</v>
      </c>
      <c r="B102" s="109" t="n">
        <v>400</v>
      </c>
      <c r="C102" s="109"/>
      <c r="D102" s="109" t="n">
        <v>200</v>
      </c>
      <c r="E102" s="109"/>
      <c r="F102" s="67"/>
      <c r="G102" s="285" t="n">
        <v>199.99</v>
      </c>
      <c r="H102" s="109" t="n">
        <v>0</v>
      </c>
      <c r="I102" s="109"/>
      <c r="J102" s="109" t="n">
        <v>0</v>
      </c>
      <c r="K102" s="109"/>
      <c r="L102" s="67"/>
      <c r="M102" s="285" t="n">
        <v>199.99</v>
      </c>
      <c r="N102" s="109" t="n">
        <v>0</v>
      </c>
      <c r="O102" s="109"/>
      <c r="P102" s="109" t="n">
        <v>0</v>
      </c>
      <c r="Q102" s="109"/>
      <c r="R102" s="67"/>
      <c r="S102" s="67"/>
      <c r="T102" s="67"/>
      <c r="U102" s="67"/>
      <c r="V102" s="67"/>
      <c r="W102" s="67"/>
      <c r="X102" s="67"/>
      <c r="Y102" s="67" t="s">
        <v>277</v>
      </c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 t="s">
        <v>278</v>
      </c>
      <c r="Z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204" t="s">
        <v>139</v>
      </c>
      <c r="N104" s="67" t="s">
        <v>142</v>
      </c>
      <c r="O104" s="199"/>
      <c r="P104" s="199" t="s">
        <v>153</v>
      </c>
      <c r="Q104" s="200"/>
      <c r="R104" s="67"/>
      <c r="S104" s="67"/>
      <c r="T104" s="67"/>
      <c r="U104" s="67"/>
      <c r="V104" s="67"/>
      <c r="W104" s="67"/>
      <c r="X104" s="67"/>
      <c r="Y104" s="67" t="s">
        <v>279</v>
      </c>
      <c r="Z104" s="67"/>
    </row>
    <row r="105" customFormat="false" ht="18.75" hidden="false" customHeight="true" outlineLevel="0" collapsed="false">
      <c r="A105" s="206" t="s">
        <v>31</v>
      </c>
      <c r="B105" s="286" t="n">
        <v>0.2</v>
      </c>
      <c r="C105" s="286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/>
      <c r="K105" s="109"/>
      <c r="L105" s="67"/>
      <c r="M105" s="206" t="s">
        <v>31</v>
      </c>
      <c r="N105" s="286" t="n">
        <v>0.2</v>
      </c>
      <c r="O105" s="286"/>
      <c r="P105" s="109" t="n">
        <v>0</v>
      </c>
      <c r="Q105" s="109"/>
      <c r="R105" s="67"/>
      <c r="S105" s="67"/>
      <c r="T105" s="67"/>
      <c r="U105" s="67"/>
      <c r="V105" s="67"/>
      <c r="W105" s="67"/>
      <c r="X105" s="67"/>
      <c r="Y105" s="67" t="s">
        <v>280</v>
      </c>
      <c r="Z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198"/>
      <c r="N107" s="199" t="s">
        <v>353</v>
      </c>
      <c r="O107" s="206" t="s">
        <v>31</v>
      </c>
      <c r="P107" s="199"/>
      <c r="Q107" s="200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18.75" hidden="false" customHeight="true" outlineLevel="0" collapsed="false">
      <c r="A108" s="201" t="n">
        <v>199.99</v>
      </c>
      <c r="B108" s="201" t="n">
        <v>0</v>
      </c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201" t="s">
        <v>300</v>
      </c>
      <c r="N108" s="201"/>
      <c r="O108" s="201"/>
      <c r="P108" s="201"/>
      <c r="Q108" s="201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198" t="s">
        <v>301</v>
      </c>
      <c r="N110" s="206" t="s">
        <v>32</v>
      </c>
      <c r="O110" s="199"/>
      <c r="P110" s="199"/>
      <c r="Q110" s="200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8.75" hidden="false" customHeight="true" outlineLevel="0" collapsed="false">
      <c r="A111" s="198" t="s">
        <v>32</v>
      </c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198"/>
      <c r="N111" s="199"/>
      <c r="O111" s="199"/>
      <c r="P111" s="199"/>
      <c r="Q111" s="200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0</v>
      </c>
      <c r="K112" s="109" t="n">
        <v>0</v>
      </c>
      <c r="L112" s="67"/>
      <c r="M112" s="198" t="s">
        <v>186</v>
      </c>
      <c r="N112" s="199"/>
      <c r="O112" s="199"/>
      <c r="P112" s="285" t="n">
        <v>500</v>
      </c>
      <c r="Q112" s="109" t="n">
        <v>300</v>
      </c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0</v>
      </c>
      <c r="K113" s="109" t="n">
        <v>0</v>
      </c>
      <c r="L113" s="67"/>
      <c r="M113" s="198" t="s">
        <v>187</v>
      </c>
      <c r="N113" s="199"/>
      <c r="O113" s="199"/>
      <c r="P113" s="43" t="n">
        <f aca="false">Q113</f>
        <v>100</v>
      </c>
      <c r="Q113" s="109" t="n">
        <v>100</v>
      </c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0</v>
      </c>
      <c r="K114" s="157" t="n">
        <f aca="false">K112-K113</f>
        <v>0</v>
      </c>
      <c r="L114" s="67"/>
      <c r="M114" s="198" t="s">
        <v>188</v>
      </c>
      <c r="N114" s="199"/>
      <c r="O114" s="199"/>
      <c r="P114" s="43" t="n">
        <f aca="false">P112-P113</f>
        <v>400</v>
      </c>
      <c r="Q114" s="157" t="n">
        <f aca="false">Q112-Q113</f>
        <v>200</v>
      </c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0</v>
      </c>
      <c r="K115" s="200"/>
      <c r="L115" s="67"/>
      <c r="M115" s="198" t="s">
        <v>189</v>
      </c>
      <c r="N115" s="199"/>
      <c r="O115" s="199"/>
      <c r="P115" s="43" t="n">
        <f aca="false">P114-Q114</f>
        <v>200</v>
      </c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198"/>
      <c r="N116" s="199"/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265" t="s">
        <v>149</v>
      </c>
      <c r="N117" s="266"/>
      <c r="O117" s="266"/>
      <c r="P117" s="266"/>
      <c r="Q117" s="31" t="n">
        <f aca="false">P99</f>
        <v>0</v>
      </c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v>199.99</v>
      </c>
      <c r="F118" s="67"/>
      <c r="G118" s="198" t="s">
        <v>66</v>
      </c>
      <c r="H118" s="199"/>
      <c r="I118" s="199"/>
      <c r="J118" s="199"/>
      <c r="K118" s="37" t="n">
        <f aca="false">G102</f>
        <v>199.99</v>
      </c>
      <c r="L118" s="67"/>
      <c r="M118" s="198" t="s">
        <v>66</v>
      </c>
      <c r="N118" s="199"/>
      <c r="O118" s="199"/>
      <c r="P118" s="199"/>
      <c r="Q118" s="37" t="n">
        <f aca="false">M102</f>
        <v>199.99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(E118*1.2)+E117-E114</f>
        <v>1239.988</v>
      </c>
      <c r="F119" s="67"/>
      <c r="G119" s="287" t="s">
        <v>302</v>
      </c>
      <c r="H119" s="263"/>
      <c r="I119" s="263"/>
      <c r="J119" s="263"/>
      <c r="K119" s="69" t="n">
        <f aca="false">((K118/1.2)+K117)-(J115-K113)</f>
        <v>166.658333333333</v>
      </c>
      <c r="L119" s="67"/>
      <c r="M119" s="287" t="s">
        <v>302</v>
      </c>
      <c r="N119" s="263"/>
      <c r="O119" s="263"/>
      <c r="P119" s="263"/>
      <c r="Q119" s="69" t="n">
        <f aca="false">(Q118+Q117)-P115</f>
        <v>-0.00999999999999091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198"/>
      <c r="N120" s="199"/>
      <c r="O120" s="199"/>
      <c r="P120" s="199"/>
      <c r="Q120" s="200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198"/>
      <c r="N121" s="199"/>
      <c r="O121" s="199"/>
      <c r="P121" s="199"/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201" t="s">
        <v>303</v>
      </c>
      <c r="N122" s="201"/>
      <c r="O122" s="201"/>
      <c r="P122" s="201"/>
      <c r="Q122" s="201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198"/>
      <c r="N123" s="199"/>
      <c r="O123" s="199"/>
      <c r="P123" s="199"/>
      <c r="Q123" s="200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198" t="s">
        <v>194</v>
      </c>
      <c r="N124" s="162" t="n">
        <v>0</v>
      </c>
      <c r="O124" s="162"/>
      <c r="P124" s="199"/>
      <c r="Q124" s="200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35</v>
      </c>
      <c r="C125" s="294"/>
      <c r="D125" s="293" t="n">
        <f aca="false">B160</f>
        <v>35000</v>
      </c>
      <c r="E125" s="291"/>
      <c r="F125" s="67"/>
      <c r="G125" s="198"/>
      <c r="H125" s="199"/>
      <c r="I125" s="199"/>
      <c r="J125" s="199"/>
      <c r="K125" s="200"/>
      <c r="L125" s="67"/>
      <c r="M125" s="198"/>
      <c r="N125" s="199"/>
      <c r="O125" s="199"/>
      <c r="P125" s="199"/>
      <c r="Q125" s="200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296" t="s">
        <v>306</v>
      </c>
      <c r="H126" s="297" t="s">
        <v>307</v>
      </c>
      <c r="I126" s="297"/>
      <c r="J126" s="297" t="s">
        <v>308</v>
      </c>
      <c r="K126" s="200"/>
      <c r="L126" s="67"/>
      <c r="M126" s="296" t="s">
        <v>354</v>
      </c>
      <c r="N126" s="297" t="s">
        <v>262</v>
      </c>
      <c r="O126" s="297"/>
      <c r="P126" s="297" t="s">
        <v>132</v>
      </c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300" t="n">
        <f aca="false">H90</f>
        <v>519.020399114211</v>
      </c>
      <c r="H127" s="166" t="n">
        <f aca="false">IF(G105="YES",H89*H57,0)</f>
        <v>0</v>
      </c>
      <c r="I127" s="166"/>
      <c r="J127" s="301" t="n">
        <f aca="false">H91</f>
        <v>519.020399114211</v>
      </c>
      <c r="K127" s="200"/>
      <c r="L127" s="67"/>
      <c r="M127" s="300" t="n">
        <f aca="false">N90</f>
        <v>424.803484931388</v>
      </c>
      <c r="N127" s="166" t="n">
        <f aca="false">IF(M105="YES",N89*N57,0)</f>
        <v>0</v>
      </c>
      <c r="O127" s="166"/>
      <c r="P127" s="166" t="n">
        <f aca="false">N91</f>
        <v>424.803484931388</v>
      </c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556.0785798784</v>
      </c>
      <c r="B128" s="290" t="n">
        <f aca="false">IF(A105="YES",B89,0)</f>
        <v>0</v>
      </c>
      <c r="C128" s="294"/>
      <c r="D128" s="290" t="n">
        <f aca="false">B91</f>
        <v>556.0785798784</v>
      </c>
      <c r="E128" s="291"/>
      <c r="F128" s="67"/>
      <c r="G128" s="198"/>
      <c r="H128" s="199"/>
      <c r="I128" s="199"/>
      <c r="J128" s="199"/>
      <c r="K128" s="200"/>
      <c r="L128" s="67"/>
      <c r="M128" s="198"/>
      <c r="N128" s="199"/>
      <c r="O128" s="199"/>
      <c r="P128" s="199"/>
      <c r="Q128" s="200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 t="s">
        <v>95</v>
      </c>
      <c r="H129" s="199" t="s">
        <v>96</v>
      </c>
      <c r="I129" s="199"/>
      <c r="J129" s="199" t="s">
        <v>98</v>
      </c>
      <c r="K129" s="200"/>
      <c r="L129" s="67"/>
      <c r="M129" s="198" t="s">
        <v>95</v>
      </c>
      <c r="N129" s="199" t="s">
        <v>96</v>
      </c>
      <c r="O129" s="199"/>
      <c r="P129" s="199" t="s">
        <v>98</v>
      </c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213" t="n">
        <f aca="false">G152</f>
        <v>35</v>
      </c>
      <c r="H130" s="168" t="n">
        <f aca="false">B151</f>
        <v>0</v>
      </c>
      <c r="I130" s="215"/>
      <c r="J130" s="214" t="n">
        <f aca="false">B58</f>
        <v>34</v>
      </c>
      <c r="K130" s="200"/>
      <c r="L130" s="67"/>
      <c r="M130" s="213" t="n">
        <f aca="false">M155</f>
        <v>35</v>
      </c>
      <c r="N130" s="168" t="n">
        <f aca="false">B151</f>
        <v>0</v>
      </c>
      <c r="O130" s="215"/>
      <c r="P130" s="214" t="n">
        <f aca="false">B58</f>
        <v>34</v>
      </c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556.0785798784</v>
      </c>
      <c r="C131" s="199"/>
      <c r="D131" s="42" t="n">
        <f aca="false">IF(A105="YES",B89*B57,0)</f>
        <v>0</v>
      </c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198" t="s">
        <v>355</v>
      </c>
      <c r="N132" s="199" t="s">
        <v>252</v>
      </c>
      <c r="O132" s="199"/>
      <c r="P132" s="199" t="s">
        <v>256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3114.12239468527</v>
      </c>
      <c r="H133" s="42" t="n">
        <f aca="false">IF(G105="YES",H89*H57,0)</f>
        <v>0</v>
      </c>
      <c r="I133" s="205"/>
      <c r="J133" s="170" t="n">
        <f aca="false">H91*H57</f>
        <v>3114.12239468527</v>
      </c>
      <c r="K133" s="200"/>
      <c r="L133" s="67"/>
      <c r="M133" s="171" t="n">
        <f aca="false">N90*N57</f>
        <v>2548.82090958833</v>
      </c>
      <c r="N133" s="42" t="n">
        <f aca="false">IF(M105="YES",N89*N57,0)</f>
        <v>0</v>
      </c>
      <c r="O133" s="205"/>
      <c r="P133" s="170" t="n">
        <f aca="false">N91*N57</f>
        <v>2548.82090958833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556.0785798784</v>
      </c>
      <c r="B134" s="42" t="n">
        <f aca="false">E114</f>
        <v>0</v>
      </c>
      <c r="C134" s="199"/>
      <c r="D134" s="303" t="n">
        <f aca="false">B58</f>
        <v>34</v>
      </c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198" t="s">
        <v>264</v>
      </c>
      <c r="N135" s="199" t="s">
        <v>265</v>
      </c>
      <c r="O135" s="199"/>
      <c r="P135" s="199" t="s">
        <v>269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113" t="n">
        <f aca="false">E15*0.000006</f>
        <v>0</v>
      </c>
      <c r="N136" s="42" t="n">
        <f aca="false">IF(M105="YES",E15*0.000002,0)</f>
        <v>0</v>
      </c>
      <c r="O136" s="42"/>
      <c r="P136" s="42" t="n">
        <f aca="false">M136+N136</f>
        <v>0</v>
      </c>
      <c r="Q136" s="10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556.0785798784</v>
      </c>
      <c r="B137" s="42" t="n">
        <f aca="false">IF(A105="YES",B89,0)</f>
        <v>0</v>
      </c>
      <c r="C137" s="199"/>
      <c r="D137" s="42" t="n">
        <f aca="false">B91</f>
        <v>556.0785798784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198" t="s">
        <v>152</v>
      </c>
      <c r="N138" s="199" t="s">
        <v>320</v>
      </c>
      <c r="O138" s="199"/>
      <c r="P138" s="199" t="s">
        <v>321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199.99</v>
      </c>
      <c r="H139" s="42" t="n">
        <f aca="false">H67</f>
        <v>0</v>
      </c>
      <c r="I139" s="42"/>
      <c r="J139" s="42" t="n">
        <f aca="false">H102*0.9</f>
        <v>0</v>
      </c>
      <c r="K139" s="107"/>
      <c r="L139" s="67"/>
      <c r="M139" s="113" t="n">
        <f aca="false">M102</f>
        <v>199.99</v>
      </c>
      <c r="N139" s="42" t="n">
        <f aca="false">N67</f>
        <v>0</v>
      </c>
      <c r="O139" s="42"/>
      <c r="P139" s="42" t="n">
        <f aca="false">N102*0.9</f>
        <v>0</v>
      </c>
      <c r="Q139" s="10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(B61*0.000006)*100</f>
        <v>24.3156</v>
      </c>
      <c r="B140" s="309" t="n">
        <f aca="false">IF(A105="YES",B61*0.000002,0)*100</f>
        <v>8.1052</v>
      </c>
      <c r="C140" s="310"/>
      <c r="D140" s="309" t="n">
        <f aca="false">A140+B140</f>
        <v>32.4208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198" t="s">
        <v>323</v>
      </c>
      <c r="N141" s="199" t="s">
        <v>324</v>
      </c>
      <c r="O141" s="199"/>
      <c r="P141" s="199" t="s">
        <v>325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IF(G105="YES",((B36*H105)*0.1)*(G130),0)</f>
        <v>0</v>
      </c>
      <c r="H142" s="42" t="n">
        <f aca="false">G102-100</f>
        <v>99.99</v>
      </c>
      <c r="I142" s="42"/>
      <c r="J142" s="42" t="e">
        <f aca="false">(H139+J139+G142+H142)-H145</f>
        <v>#DIV/0!</v>
      </c>
      <c r="K142" s="107"/>
      <c r="L142" s="67"/>
      <c r="M142" s="113" t="n">
        <f aca="false">IF(M105="YES",((B36*N105)*0.1)*(M130),0)</f>
        <v>0</v>
      </c>
      <c r="N142" s="42" t="n">
        <f aca="false">M102-100</f>
        <v>99.99</v>
      </c>
      <c r="O142" s="42"/>
      <c r="P142" s="42" t="e">
        <f aca="false">(N139+P139+M142+N142)-N145</f>
        <v>#DIV/0!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199.99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198" t="s">
        <v>327</v>
      </c>
      <c r="N144" s="199" t="s">
        <v>328</v>
      </c>
      <c r="O144" s="199"/>
      <c r="P144" s="199"/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v>0</v>
      </c>
      <c r="H145" s="42" t="e">
        <f aca="false">(H139+J139+G142+H142)*(G145/H64)</f>
        <v>#DIV/0!</v>
      </c>
      <c r="I145" s="199"/>
      <c r="J145" s="199"/>
      <c r="K145" s="200"/>
      <c r="L145" s="67"/>
      <c r="M145" s="113" t="n">
        <v>0</v>
      </c>
      <c r="N145" s="42" t="e">
        <f aca="false">(N139+P139+M142+N142)*(M145/N64)</f>
        <v>#DIV/0!</v>
      </c>
      <c r="O145" s="199"/>
      <c r="P145" s="199"/>
      <c r="Q145" s="200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113"/>
      <c r="N146" s="42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4" t="s">
        <v>356</v>
      </c>
      <c r="N147" s="43" t="s">
        <v>357</v>
      </c>
      <c r="O147" s="199"/>
      <c r="P147" s="199"/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0</v>
      </c>
      <c r="B148" s="42" t="n">
        <f aca="false">B102</f>
        <v>400</v>
      </c>
      <c r="C148" s="42"/>
      <c r="D148" s="42" t="n">
        <f aca="false">IF(A105="YES",(B40*B105)*B125,0)*0.1</f>
        <v>0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348" t="n">
        <v>18000</v>
      </c>
      <c r="N148" s="349" t="n">
        <v>0.99</v>
      </c>
      <c r="O148" s="349"/>
      <c r="P148" s="199"/>
      <c r="Q148" s="200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198"/>
      <c r="N150" s="199"/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220</v>
      </c>
      <c r="E151" s="107"/>
      <c r="F151" s="67"/>
      <c r="G151" s="233"/>
      <c r="H151" s="235" t="n">
        <f aca="false">B51</f>
        <v>35000</v>
      </c>
      <c r="I151" s="235"/>
      <c r="J151" s="199"/>
      <c r="K151" s="200"/>
      <c r="L151" s="67"/>
      <c r="M151" s="258" t="s">
        <v>333</v>
      </c>
      <c r="N151" s="199"/>
      <c r="O151" s="199"/>
      <c r="P151" s="259"/>
      <c r="Q151" s="26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35</v>
      </c>
      <c r="H152" s="78" t="n">
        <f aca="false">H91</f>
        <v>519.020399114211</v>
      </c>
      <c r="I152" s="78"/>
      <c r="J152" s="199"/>
      <c r="K152" s="200"/>
      <c r="L152" s="67"/>
      <c r="M152" s="198"/>
      <c r="N152" s="232"/>
      <c r="O152" s="232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233" t="s">
        <v>95</v>
      </c>
      <c r="N153" s="234" t="s">
        <v>96</v>
      </c>
      <c r="O153" s="234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233"/>
      <c r="N154" s="235" t="n">
        <f aca="false">B51</f>
        <v>35000</v>
      </c>
      <c r="O154" s="235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237" t="n">
        <f aca="false">A52</f>
        <v>35</v>
      </c>
      <c r="N155" s="78" t="n">
        <f aca="false">N91</f>
        <v>424.803484931388</v>
      </c>
      <c r="O155" s="78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198"/>
      <c r="N157" s="199"/>
      <c r="O157" s="199"/>
      <c r="P157" s="199"/>
      <c r="Q157" s="20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198"/>
      <c r="N158" s="199"/>
      <c r="O158" s="199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198"/>
      <c r="N159" s="199"/>
      <c r="O159" s="199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35000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198"/>
      <c r="N160" s="199"/>
      <c r="O160" s="199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35</v>
      </c>
      <c r="B161" s="78" t="n">
        <f aca="false">B91</f>
        <v>556.0785798784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198"/>
      <c r="N161" s="199"/>
      <c r="O161" s="199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262"/>
      <c r="N162" s="263"/>
      <c r="O162" s="263"/>
      <c r="P162" s="263"/>
      <c r="Q162" s="264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198"/>
      <c r="B165" s="199"/>
      <c r="C165" s="199"/>
      <c r="D165" s="199"/>
      <c r="E165" s="200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62"/>
      <c r="B166" s="263"/>
      <c r="C166" s="263"/>
      <c r="D166" s="263"/>
      <c r="E166" s="264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293" t="n">
        <f aca="false">A161</f>
        <v>35</v>
      </c>
      <c r="C174" s="294"/>
      <c r="D174" s="293" t="n">
        <f aca="false">D125</f>
        <v>35000</v>
      </c>
      <c r="E174" s="291"/>
      <c r="F174" s="67"/>
      <c r="G174" s="67" t="s">
        <v>389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B90</f>
        <v>556.0785798784</v>
      </c>
      <c r="B177" s="290" t="n">
        <f aca="false">IF(A105="YES",B89,0)</f>
        <v>0</v>
      </c>
      <c r="C177" s="294"/>
      <c r="D177" s="290" t="n">
        <f aca="false">B91</f>
        <v>556.0785798784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B99</f>
        <v> Monthly in advance </v>
      </c>
      <c r="B180" s="42" t="n">
        <f aca="false">B90*B57</f>
        <v>556.0785798784</v>
      </c>
      <c r="C180" s="199"/>
      <c r="D180" s="42" t="n">
        <f aca="false">IF(A105="YES",B89*B57,0)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B91*B57</f>
        <v>556.0785798784</v>
      </c>
      <c r="B183" s="42" t="n">
        <f aca="false">E114</f>
        <v>0</v>
      </c>
      <c r="C183" s="199"/>
      <c r="D183" s="303" t="n">
        <f aca="false">B58</f>
        <v>34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B90</f>
        <v>556.0785798784</v>
      </c>
      <c r="B186" s="42" t="n">
        <f aca="false">IF(A105="YES",B89,0)</f>
        <v>0</v>
      </c>
      <c r="C186" s="199"/>
      <c r="D186" s="42" t="n">
        <f aca="false">B91</f>
        <v>556.0785798784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A140</f>
        <v>24.3156</v>
      </c>
      <c r="B189" s="309" t="n">
        <f aca="false">B140</f>
        <v>8.1052</v>
      </c>
      <c r="C189" s="310"/>
      <c r="D189" s="309" t="n">
        <f aca="false">A189+B189</f>
        <v>32.4208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E118</f>
        <v>199.99</v>
      </c>
      <c r="C192" s="199"/>
      <c r="D192" s="142" t="n">
        <f aca="false">B102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B67</f>
        <v>0</v>
      </c>
      <c r="B197" s="42" t="n">
        <f aca="false">B102</f>
        <v>400</v>
      </c>
      <c r="C197" s="42"/>
      <c r="D197" s="42" t="n">
        <f aca="false">IF(A105="YES",(B40*B105)*B125,0)*0.1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A151</f>
        <v>20</v>
      </c>
      <c r="B200" s="42" t="n">
        <f aca="false">(A148+B148+D148+A151)*(A143/B64)</f>
        <v>0</v>
      </c>
      <c r="C200" s="42"/>
      <c r="D200" s="42" t="n">
        <f aca="false">D151</f>
        <v>220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D102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0.095</v>
      </c>
      <c r="C209" s="290" t="s">
        <v>228</v>
      </c>
      <c r="D209" s="320" t="n">
        <f aca="false">D64</f>
        <v>1743.975414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0</v>
      </c>
      <c r="C211" s="289" t="s">
        <v>230</v>
      </c>
      <c r="D211" s="320" t="n">
        <f aca="false">B225+E221+B221+B223</f>
        <v>280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2023.975414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D64</f>
        <v>1743.975414</v>
      </c>
      <c r="C217" s="223" t="s">
        <v>234</v>
      </c>
      <c r="D217" s="199"/>
      <c r="E217" s="270" t="n">
        <f aca="false">B66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B67</f>
        <v>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(B77-(B77*(E219)))*J15</f>
        <v>60</v>
      </c>
      <c r="C221" s="205" t="s">
        <v>236</v>
      </c>
      <c r="D221" s="199"/>
      <c r="E221" s="37" t="n">
        <f aca="false">A200</f>
        <v>20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B78-(B78*(E219))</f>
        <v>200</v>
      </c>
      <c r="C223" s="205" t="s">
        <v>231</v>
      </c>
      <c r="D223" s="199"/>
      <c r="E223" s="37" t="n">
        <f aca="false">(B217-B211+D211)</f>
        <v>2023.975414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B71</f>
        <v>160</v>
      </c>
      <c r="C229" s="205" t="s">
        <v>239</v>
      </c>
      <c r="D229" s="312"/>
      <c r="E229" s="140" t="n">
        <f aca="false">B72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D73</f>
        <v>317.5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B68</f>
        <v>0.0075</v>
      </c>
      <c r="C231" s="205" t="s">
        <v>242</v>
      </c>
      <c r="D231" s="312"/>
      <c r="E231" s="270" t="n">
        <f aca="false">B69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B86</f>
        <v>163.48710248425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B79</f>
        <v>300</v>
      </c>
      <c r="C233" s="327" t="s">
        <v>340</v>
      </c>
      <c r="D233" s="328"/>
      <c r="E233" s="140" t="n">
        <f aca="false">B74</f>
        <v>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B80</f>
        <v>100</v>
      </c>
      <c r="C235" s="331" t="s">
        <v>341</v>
      </c>
      <c r="D235" s="331"/>
      <c r="E235" s="140" t="n">
        <f aca="false">B75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64">
    <mergeCell ref="A1:F1"/>
    <mergeCell ref="D7:E18"/>
    <mergeCell ref="A16:C18"/>
    <mergeCell ref="A19:D19"/>
    <mergeCell ref="A21:D21"/>
    <mergeCell ref="A24:E24"/>
    <mergeCell ref="A28:E28"/>
    <mergeCell ref="B30:C30"/>
    <mergeCell ref="G38:H38"/>
    <mergeCell ref="B40:C40"/>
    <mergeCell ref="C44:D44"/>
    <mergeCell ref="C45:D45"/>
    <mergeCell ref="A50:A51"/>
    <mergeCell ref="B50:C50"/>
    <mergeCell ref="B51:C51"/>
    <mergeCell ref="B52:C52"/>
    <mergeCell ref="A94:E94"/>
    <mergeCell ref="G94:K94"/>
    <mergeCell ref="M94:Q94"/>
    <mergeCell ref="A96:E96"/>
    <mergeCell ref="G96:K96"/>
    <mergeCell ref="M96:Q96"/>
    <mergeCell ref="B97:C97"/>
    <mergeCell ref="B99:C99"/>
    <mergeCell ref="D99:E99"/>
    <mergeCell ref="H99:I99"/>
    <mergeCell ref="J99:K99"/>
    <mergeCell ref="N99:O99"/>
    <mergeCell ref="P99:Q99"/>
    <mergeCell ref="B102:C102"/>
    <mergeCell ref="D102:E102"/>
    <mergeCell ref="H102:I102"/>
    <mergeCell ref="J102:K102"/>
    <mergeCell ref="N102:O102"/>
    <mergeCell ref="P102:Q102"/>
    <mergeCell ref="B105:C105"/>
    <mergeCell ref="D105:E105"/>
    <mergeCell ref="H105:I105"/>
    <mergeCell ref="J105:K105"/>
    <mergeCell ref="N105:O105"/>
    <mergeCell ref="P105:Q105"/>
    <mergeCell ref="A108:E108"/>
    <mergeCell ref="G108:K108"/>
    <mergeCell ref="M108:Q108"/>
    <mergeCell ref="A122:E122"/>
    <mergeCell ref="G122:K122"/>
    <mergeCell ref="M122:Q122"/>
    <mergeCell ref="H124:I124"/>
    <mergeCell ref="N124:O124"/>
    <mergeCell ref="N148:O148"/>
    <mergeCell ref="G150:G151"/>
    <mergeCell ref="H150:I150"/>
    <mergeCell ref="H151:I151"/>
    <mergeCell ref="H152:I152"/>
    <mergeCell ref="M153:M154"/>
    <mergeCell ref="N153:O153"/>
    <mergeCell ref="N154:O154"/>
    <mergeCell ref="N155:O155"/>
    <mergeCell ref="A159:A160"/>
    <mergeCell ref="B159:C159"/>
    <mergeCell ref="B160:C160"/>
    <mergeCell ref="B161:C161"/>
    <mergeCell ref="A171:E171"/>
    <mergeCell ref="A207:E207"/>
  </mergeCells>
  <dataValidations count="3">
    <dataValidation allowBlank="true" errorStyle="stop" operator="between" showDropDown="false" showErrorMessage="true" showInputMessage="false" sqref="H99 N99 G105 M105 O107 H110 N110" type="list">
      <formula1>#ref!</formula1>
      <formula2>0</formula2>
    </dataValidation>
    <dataValidation allowBlank="true" errorStyle="stop" operator="between" showDropDown="false" showErrorMessage="true" showInputMessage="false" sqref="B26 A105 B110" type="list">
      <formula1>'Formula1-BCH'!$I$3:$I$4</formula1>
      <formula2>0</formula2>
    </dataValidation>
    <dataValidation allowBlank="true" errorStyle="stop" operator="between" showDropDown="false" showErrorMessage="true" showInputMessage="false" sqref="B99" type="list">
      <formula1>'Formula1-BCH'!$Y$97:$Y$105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2"/>
  <sheetViews>
    <sheetView showFormulas="false" showGridLines="true" showRowColHeaders="true" showZeros="true" rightToLeft="false" tabSelected="false" showOutlineSymbols="true" defaultGridColor="true" view="normal" topLeftCell="A199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56.0" collapsed="false" outlineLevel="0"/>
    <col min="2" max="2" customWidth="true" hidden="false" style="1" width="18.12" collapsed="false" outlineLevel="0"/>
    <col min="3" max="3" customWidth="true" hidden="false" style="1" width="25.12" collapsed="false" outlineLevel="0"/>
    <col min="4" max="4" customWidth="true" hidden="false" style="1" width="18.12" collapsed="false" outlineLevel="0"/>
    <col min="5" max="5" customWidth="true" hidden="false" style="1" width="24.0" collapsed="false" outlineLevel="0"/>
    <col min="7" max="7" customWidth="true" hidden="false" style="1" width="53.5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8.2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 t="n">
        <v>25000</v>
      </c>
      <c r="H3" s="67"/>
      <c r="I3" s="67" t="s">
        <v>31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 t="s">
        <v>32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364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7.35" hidden="false" customHeight="false" outlineLevel="0" collapsed="false">
      <c r="A8" s="250"/>
      <c r="B8" s="67"/>
      <c r="C8" s="67"/>
      <c r="D8" s="249"/>
      <c r="E8" s="249"/>
      <c r="F8" s="67"/>
      <c r="G8" s="365" t="e">
        <f aca="false">G9*100/B3</f>
        <v>#DIV/0!</v>
      </c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364" t="n">
        <f aca="false">E9-G11</f>
        <v>-152558.333333333</v>
      </c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364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364" t="n">
        <f aca="false">G13/1.2</f>
        <v>152558.333333333</v>
      </c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364" t="n">
        <f aca="false">G15-E14-E13-E12</f>
        <v>183070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v>183070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366" t="n">
        <f aca="false">(B3+C3+E10)*1.2</f>
        <v>0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1" t="n">
        <f aca="false">(B3+C3+D3+E3+E10)*1.2</f>
        <v>0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364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4" t="s">
        <v>139</v>
      </c>
      <c r="B26" s="206" t="s">
        <v>31</v>
      </c>
      <c r="C26" s="199"/>
      <c r="D26" s="199"/>
      <c r="E26" s="200"/>
      <c r="F26" s="67"/>
      <c r="G26" s="202" t="s">
        <v>36</v>
      </c>
      <c r="H26" s="202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38</v>
      </c>
      <c r="H27" s="203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1" t="s">
        <v>193</v>
      </c>
      <c r="B28" s="201"/>
      <c r="C28" s="201"/>
      <c r="D28" s="201"/>
      <c r="E28" s="201"/>
      <c r="F28" s="67"/>
      <c r="G28" s="203" t="s">
        <v>40</v>
      </c>
      <c r="H28" s="203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198"/>
      <c r="B29" s="199"/>
      <c r="C29" s="199"/>
      <c r="D29" s="199"/>
      <c r="E29" s="200"/>
      <c r="F29" s="67"/>
      <c r="G29" s="202" t="s">
        <v>41</v>
      </c>
      <c r="H29" s="367" t="n">
        <v>24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 t="s">
        <v>194</v>
      </c>
      <c r="B30" s="162" t="s">
        <v>359</v>
      </c>
      <c r="C30" s="162"/>
      <c r="D30" s="199"/>
      <c r="E30" s="200"/>
      <c r="F30" s="67"/>
      <c r="G30" s="202" t="s">
        <v>45</v>
      </c>
      <c r="H30" s="367" t="n">
        <v>8000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198"/>
      <c r="B31" s="199"/>
      <c r="C31" s="199"/>
      <c r="D31" s="199"/>
      <c r="E31" s="200"/>
      <c r="F31" s="67"/>
      <c r="G31" s="202" t="s">
        <v>48</v>
      </c>
      <c r="H31" s="46" t="n">
        <v>80000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98" t="s">
        <v>95</v>
      </c>
      <c r="B32" s="199" t="s">
        <v>96</v>
      </c>
      <c r="C32" s="199"/>
      <c r="D32" s="368" t="s">
        <v>365</v>
      </c>
      <c r="E32" s="200"/>
      <c r="F32" s="67"/>
      <c r="G32" s="202" t="s">
        <v>49</v>
      </c>
      <c r="I32" s="46" t="n">
        <v>4000</v>
      </c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31.5" hidden="false" customHeight="true" outlineLevel="0" collapsed="false">
      <c r="A33" s="213" t="n">
        <f aca="false">A52</f>
        <v>36</v>
      </c>
      <c r="B33" s="214" t="n">
        <v>10000</v>
      </c>
      <c r="C33" s="215"/>
      <c r="D33" s="369" t="n">
        <f aca="false">H48</f>
        <v>21.258867734089</v>
      </c>
      <c r="E33" s="200"/>
      <c r="F33" s="67"/>
      <c r="G33" s="203" t="s">
        <v>366</v>
      </c>
      <c r="H33" s="52" t="n">
        <f aca="false">E21-E11</f>
        <v>14041.67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198"/>
      <c r="B34" s="199"/>
      <c r="C34" s="199"/>
      <c r="D34" s="199"/>
      <c r="E34" s="200"/>
      <c r="F34" s="67"/>
      <c r="G34" s="67" t="s">
        <v>382</v>
      </c>
      <c r="H34" s="67" t="n">
        <f aca="false">H29</f>
        <v>36</v>
      </c>
      <c r="I34" s="67" t="n">
        <v>43957.29</v>
      </c>
      <c r="J34" s="67" t="n">
        <v>841.24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98" t="s">
        <v>367</v>
      </c>
      <c r="B35" s="199" t="s">
        <v>368</v>
      </c>
      <c r="C35" s="199"/>
      <c r="D35" s="199" t="s">
        <v>369</v>
      </c>
      <c r="E35" s="200"/>
      <c r="F35" s="67"/>
      <c r="G35" s="55" t="s">
        <v>59</v>
      </c>
      <c r="H35" s="218" t="n">
        <v>0.095</v>
      </c>
      <c r="I35" s="67" t="n">
        <v>46215.83</v>
      </c>
      <c r="J35" s="67" t="n">
        <v>909.69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71" t="n">
        <f aca="false">H47</f>
        <v>-28.741132265911</v>
      </c>
      <c r="B36" s="42" t="n">
        <f aca="false">IF(B26="YES",H42,"")</f>
        <v>50</v>
      </c>
      <c r="C36" s="205"/>
      <c r="D36" s="170" t="n">
        <f aca="false">H31</f>
        <v>80000</v>
      </c>
      <c r="E36" s="200"/>
      <c r="F36" s="67"/>
      <c r="G36" s="67"/>
      <c r="H36" s="67"/>
      <c r="I36" s="67" t="n">
        <f aca="false">I35-I34</f>
        <v>2258.54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113"/>
      <c r="B37" s="42"/>
      <c r="C37" s="205"/>
      <c r="D37" s="42"/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198"/>
      <c r="B38" s="199"/>
      <c r="C38" s="199"/>
      <c r="D38" s="199"/>
      <c r="E38" s="200"/>
      <c r="F38" s="67"/>
      <c r="G38" s="227" t="s">
        <v>65</v>
      </c>
      <c r="H38" s="22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198" t="s">
        <v>370</v>
      </c>
      <c r="B39" s="199" t="s">
        <v>371</v>
      </c>
      <c r="C39" s="199"/>
      <c r="D39" s="199" t="s">
        <v>372</v>
      </c>
      <c r="E39" s="200"/>
      <c r="F39" s="67"/>
      <c r="G39" s="67" t="s">
        <v>97</v>
      </c>
      <c r="H39" s="7" t="n">
        <f aca="false">H33</f>
        <v>14041.67</v>
      </c>
      <c r="I39" s="7" t="n">
        <f aca="false">(I48*H46)+H44</f>
        <v>57083.0116005395</v>
      </c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109" t="n">
        <f aca="false">D36*A45/100</f>
        <v>24000</v>
      </c>
      <c r="B40" s="109" t="n">
        <f aca="false">IF(B26="YES",H42,"0")</f>
        <v>50</v>
      </c>
      <c r="C40" s="109"/>
      <c r="D40" s="170" t="n">
        <f aca="false">I32</f>
        <v>6000</v>
      </c>
      <c r="E40" s="200"/>
      <c r="F40" s="67"/>
      <c r="G40" s="67" t="s">
        <v>119</v>
      </c>
      <c r="H40" s="7" t="n">
        <f aca="false">A40/1.2</f>
        <v>20000</v>
      </c>
      <c r="I40" s="7" t="n">
        <f aca="false">H39-I39</f>
        <v>-43041.3416005395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98"/>
      <c r="B41" s="199"/>
      <c r="C41" s="199"/>
      <c r="D41" s="199"/>
      <c r="E41" s="200"/>
      <c r="F41" s="67"/>
      <c r="G41" s="67" t="s">
        <v>373</v>
      </c>
      <c r="H41" s="225" t="n">
        <f aca="false">H35/12</f>
        <v>0.00791666666666667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198"/>
      <c r="B42" s="199"/>
      <c r="C42" s="199"/>
      <c r="D42" s="199"/>
      <c r="E42" s="200"/>
      <c r="F42" s="67"/>
      <c r="G42" s="67" t="s">
        <v>374</v>
      </c>
      <c r="H42" s="7" t="n">
        <f aca="false">(I32/H34)*(C45/100)</f>
        <v>50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65"/>
      <c r="B43" s="266"/>
      <c r="C43" s="266"/>
      <c r="D43" s="266"/>
      <c r="E43" s="267"/>
      <c r="F43" s="67"/>
      <c r="G43" s="67" t="s">
        <v>375</v>
      </c>
      <c r="H43" s="67"/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370" t="s">
        <v>89</v>
      </c>
      <c r="B44" s="199"/>
      <c r="C44" s="371" t="s">
        <v>90</v>
      </c>
      <c r="D44" s="371"/>
      <c r="E44" s="200"/>
      <c r="F44" s="67"/>
      <c r="G44" s="67" t="s">
        <v>383</v>
      </c>
      <c r="H44" s="7" t="n">
        <f aca="false">(H40/(1+H41)^(H34+1))</f>
        <v>14938.9065173514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372" t="n">
        <v>30</v>
      </c>
      <c r="B45" s="199"/>
      <c r="C45" s="373" t="n">
        <v>30</v>
      </c>
      <c r="D45" s="373"/>
      <c r="E45" s="200"/>
      <c r="F45" s="67"/>
      <c r="G45" s="67" t="s">
        <v>384</v>
      </c>
      <c r="H45" s="7" t="n">
        <f aca="false">(H39-H44)</f>
        <v>-897.236517351379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62"/>
      <c r="B46" s="263"/>
      <c r="C46" s="263"/>
      <c r="D46" s="263"/>
      <c r="E46" s="264"/>
      <c r="F46" s="67"/>
      <c r="G46" s="67" t="s">
        <v>385</v>
      </c>
      <c r="H46" s="7" t="n">
        <f aca="false">((1-(1/((1+H41)^H34)))/H41)</f>
        <v>31.2178556171764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98"/>
      <c r="B47" s="199"/>
      <c r="C47" s="199"/>
      <c r="D47" s="199"/>
      <c r="E47" s="200"/>
      <c r="F47" s="67"/>
      <c r="G47" s="67" t="s">
        <v>379</v>
      </c>
      <c r="H47" s="7" t="n">
        <f aca="false">H45/H46</f>
        <v>-28.741132265911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374" t="s">
        <v>380</v>
      </c>
      <c r="H48" s="7" t="n">
        <f aca="false">IF(B26="YES",H47+H42,H47)</f>
        <v>21.258867734089</v>
      </c>
      <c r="I48" s="7" t="n">
        <f aca="false">I49-H42</f>
        <v>1350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 t="s">
        <v>381</v>
      </c>
      <c r="H49" s="261"/>
      <c r="I49" s="7" t="n">
        <v>1400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10000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36</v>
      </c>
      <c r="B52" s="78" t="n">
        <f aca="false">H48</f>
        <v>21.258867734089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199"/>
      <c r="N55" s="199"/>
      <c r="O55" s="199"/>
      <c r="P55" s="199"/>
      <c r="Q55" s="199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265"/>
      <c r="N56" s="266"/>
      <c r="O56" s="266"/>
      <c r="P56" s="266"/>
      <c r="Q56" s="2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IF(B99=Y97,1,IF(B99=Y98,1,IF(B99=Y99,3,IF(B99=Y100,6,IF(B99=Y101,9,IF(B99=Y102,12,IF(B99=Y103,3,IF(B99=Y104,6,IF(B99=Y105,9,0)))))))))</f>
        <v>1</v>
      </c>
      <c r="C57" s="199"/>
      <c r="D57" s="199"/>
      <c r="E57" s="200"/>
      <c r="F57" s="67"/>
      <c r="G57" s="198" t="s">
        <v>97</v>
      </c>
      <c r="H57" s="199" t="n">
        <f aca="false">IF(H99=Y97,1,IF(H99=Y98,1,IF(H99=Y99,3,IF(H99=Y100,6,IF(H99=Y101,9,IF(H99=Y102,12,IF(H99=Y103,3,IF(H99=Y104,6,IF(H99=Y105,9,0)))))))))</f>
        <v>6</v>
      </c>
      <c r="I57" s="199"/>
      <c r="J57" s="199"/>
      <c r="K57" s="200"/>
      <c r="L57" s="67"/>
      <c r="M57" s="198" t="s">
        <v>97</v>
      </c>
      <c r="N57" s="199" t="n">
        <f aca="false">IF(N99=Y97,1,IF(N99=Y98,1,IF(N99=Y99,3,IF(N99=Y100,6,IF(N99=Y101,9,IF(N99=Y102,12,IF(N99=Y103,3,IF(N99=Y104,6,IF(N99=Y105,9,0)))))))))</f>
        <v>6</v>
      </c>
      <c r="O57" s="199"/>
      <c r="P57" s="199"/>
      <c r="Q57" s="200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IF(B99=Y97,H29-B57,IF(B99=Y98,H29-B57,IF(B99=Y99,H29-1,IF(B99=Y100,H29-1,IF(B99=Y101,H29-1,IF(B99=Y102,H29-1,IF(B99=Y103,H29-B57,IF(B99=Y104,H29-B57,IF(B99=Y105,H29-B57,0)))))))))</f>
        <v>35</v>
      </c>
      <c r="C58" s="199"/>
      <c r="D58" s="199"/>
      <c r="E58" s="200"/>
      <c r="F58" s="67"/>
      <c r="G58" s="198" t="s">
        <v>98</v>
      </c>
      <c r="H58" s="199" t="n">
        <f aca="false">IF(H99=Y97,H29-H57,IF(H99=Y98,H29-H57,IF(H99=Y99,H29-1,IF(H99=Y100,H29-1,IF(H99=Y101,H29-1,IF(H99=Y102,H29-1,IF(H99=Y103,H29-H57,IF(H99=Y104,H29-H57,IF(H99=Y105,H29-H57,0)))))))))</f>
        <v>35</v>
      </c>
      <c r="I58" s="199"/>
      <c r="J58" s="199"/>
      <c r="K58" s="200"/>
      <c r="L58" s="67"/>
      <c r="M58" s="198" t="s">
        <v>98</v>
      </c>
      <c r="N58" s="199" t="n">
        <f aca="false">IF(N99=Y97,H29-N57,IF(N99=Y98,H29-N57,IF(N99=Y99,H29-1,IF(N99=Y100,H29-1,IF(N99=Y101,H29-1,IF(N99=Y102,H29-1,IF(N99=Y103,H29-N57,IF(N99=Y104,H29-N57,IF(N99=Y105,H29-N57,0)))))))))</f>
        <v>35</v>
      </c>
      <c r="O58" s="199"/>
      <c r="P58" s="199"/>
      <c r="Q58" s="200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198"/>
      <c r="N59" s="199"/>
      <c r="O59" s="199"/>
      <c r="P59" s="199"/>
      <c r="Q59" s="200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386</v>
      </c>
      <c r="B60" s="199" t="n">
        <f aca="false">E19</f>
        <v>16850.004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198"/>
      <c r="N60" s="199"/>
      <c r="O60" s="199"/>
      <c r="P60" s="199"/>
      <c r="Q60" s="200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v>40526</v>
      </c>
      <c r="C61" s="199"/>
      <c r="D61" s="199"/>
      <c r="E61" s="200"/>
      <c r="F61" s="67"/>
      <c r="G61" s="198" t="s">
        <v>27</v>
      </c>
      <c r="H61" s="36" t="n">
        <f aca="false">G18</f>
        <v>0</v>
      </c>
      <c r="I61" s="199"/>
      <c r="J61" s="199"/>
      <c r="K61" s="200"/>
      <c r="L61" s="67"/>
      <c r="M61" s="198" t="s">
        <v>27</v>
      </c>
      <c r="N61" s="36" t="n">
        <f aca="false">G18</f>
        <v>0</v>
      </c>
      <c r="O61" s="199"/>
      <c r="P61" s="199"/>
      <c r="Q61" s="200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268" t="s">
        <v>287</v>
      </c>
      <c r="N62" s="269" t="n">
        <v>0.07</v>
      </c>
      <c r="O62" s="199"/>
      <c r="P62" s="199"/>
      <c r="Q62" s="200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0.105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0.105</v>
      </c>
      <c r="I63" s="199"/>
      <c r="J63" s="199"/>
      <c r="K63" s="200"/>
      <c r="L63" s="67"/>
      <c r="M63" s="198" t="s">
        <v>288</v>
      </c>
      <c r="N63" s="270" t="n">
        <f aca="false">N62+(N62*0.25*(H29/12-1))</f>
        <v>0.105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B60*B63</f>
        <v>1769.25042</v>
      </c>
      <c r="C64" s="375" t="n">
        <v>10000</v>
      </c>
      <c r="D64" s="36" t="n">
        <f aca="false">B64</f>
        <v>1769.25042</v>
      </c>
      <c r="E64" s="376" t="n">
        <f aca="false">D64/(B58+B57)</f>
        <v>49.145845</v>
      </c>
      <c r="F64" s="67"/>
      <c r="G64" s="262" t="s">
        <v>103</v>
      </c>
      <c r="H64" s="69" t="n">
        <f aca="false">H61*H63</f>
        <v>0</v>
      </c>
      <c r="I64" s="199"/>
      <c r="J64" s="36" t="n">
        <f aca="false">H64-G145</f>
        <v>0</v>
      </c>
      <c r="K64" s="200"/>
      <c r="L64" s="67"/>
      <c r="M64" s="262" t="s">
        <v>103</v>
      </c>
      <c r="N64" s="69" t="n">
        <f aca="false">N61*N63</f>
        <v>0</v>
      </c>
      <c r="O64" s="199"/>
      <c r="P64" s="36" t="n">
        <f aca="false">N64-M145</f>
        <v>0</v>
      </c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36"/>
      <c r="E65" s="200"/>
      <c r="F65" s="67"/>
      <c r="G65" s="268" t="s">
        <v>104</v>
      </c>
      <c r="H65" s="269" t="n">
        <v>0.01</v>
      </c>
      <c r="I65" s="199"/>
      <c r="J65" s="199"/>
      <c r="K65" s="200"/>
      <c r="L65" s="67"/>
      <c r="M65" s="268" t="s">
        <v>104</v>
      </c>
      <c r="N65" s="269" t="n">
        <v>0.01</v>
      </c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377" t="s">
        <v>234</v>
      </c>
      <c r="D66" s="199"/>
      <c r="E66" s="200"/>
      <c r="F66" s="67"/>
      <c r="G66" s="198" t="s">
        <v>105</v>
      </c>
      <c r="H66" s="270" t="n">
        <f aca="false">H65+(H65*0.5*(H29/12-1))</f>
        <v>0.02</v>
      </c>
      <c r="I66" s="199"/>
      <c r="J66" s="199"/>
      <c r="K66" s="200"/>
      <c r="L66" s="67"/>
      <c r="M66" s="198" t="s">
        <v>105</v>
      </c>
      <c r="N66" s="270" t="n">
        <f aca="false">N65+(N65*0.5*(H29/12-1))</f>
        <v>0.02</v>
      </c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0</v>
      </c>
      <c r="C67" s="378" t="s">
        <v>234</v>
      </c>
      <c r="D67" s="379"/>
      <c r="E67" s="200"/>
      <c r="F67" s="67"/>
      <c r="G67" s="262" t="s">
        <v>106</v>
      </c>
      <c r="H67" s="69" t="n">
        <f aca="false">(H61*H66)/1.2</f>
        <v>0</v>
      </c>
      <c r="I67" s="199"/>
      <c r="J67" s="36"/>
      <c r="K67" s="200"/>
      <c r="L67" s="67"/>
      <c r="M67" s="262" t="s">
        <v>106</v>
      </c>
      <c r="N67" s="69" t="n">
        <f aca="false">(N61*N66)/1.2</f>
        <v>0</v>
      </c>
      <c r="O67" s="199"/>
      <c r="P67" s="36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380"/>
      <c r="D68" s="36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268" t="s">
        <v>107</v>
      </c>
      <c r="N68" s="269" t="n">
        <v>0.0075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272" t="s">
        <v>108</v>
      </c>
      <c r="N69" s="273" t="n">
        <v>0.12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0.0084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262" t="s">
        <v>109</v>
      </c>
      <c r="N70" s="381" t="n">
        <f aca="false">N68*(1+N69)</f>
        <v>0.0084</v>
      </c>
      <c r="O70" s="199"/>
      <c r="P70" s="199"/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268" t="s">
        <v>110</v>
      </c>
      <c r="N71" s="90" t="n">
        <v>160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272" t="s">
        <v>111</v>
      </c>
      <c r="N72" s="81" t="n">
        <v>4.5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162</v>
      </c>
      <c r="C73" s="199"/>
      <c r="D73" s="382" t="n">
        <f aca="false">B73+B71</f>
        <v>322</v>
      </c>
      <c r="E73" s="200" t="s">
        <v>240</v>
      </c>
      <c r="F73" s="67"/>
      <c r="G73" s="262" t="s">
        <v>112</v>
      </c>
      <c r="H73" s="69" t="n">
        <f aca="false">H72*H29</f>
        <v>162</v>
      </c>
      <c r="I73" s="199"/>
      <c r="J73" s="36" t="n">
        <f aca="false">H73+H71</f>
        <v>322</v>
      </c>
      <c r="K73" s="200"/>
      <c r="L73" s="67"/>
      <c r="M73" s="262" t="s">
        <v>112</v>
      </c>
      <c r="N73" s="69" t="n">
        <f aca="false">N72*H29</f>
        <v>162</v>
      </c>
      <c r="O73" s="199"/>
      <c r="P73" s="36" t="n">
        <f aca="false">N73+N71</f>
        <v>322</v>
      </c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290</v>
      </c>
      <c r="C74" s="199"/>
      <c r="D74" s="199"/>
      <c r="E74" s="200"/>
      <c r="F74" s="67"/>
      <c r="G74" s="268" t="s">
        <v>289</v>
      </c>
      <c r="H74" s="90" t="n">
        <v>165</v>
      </c>
      <c r="I74" s="199"/>
      <c r="J74" s="199"/>
      <c r="K74" s="200"/>
      <c r="L74" s="67"/>
      <c r="M74" s="339" t="s">
        <v>289</v>
      </c>
      <c r="N74" s="340" t="n">
        <v>0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/>
      <c r="D75" s="199"/>
      <c r="E75" s="200"/>
      <c r="F75" s="67"/>
      <c r="G75" s="272" t="s">
        <v>290</v>
      </c>
      <c r="H75" s="81" t="n">
        <v>0</v>
      </c>
      <c r="I75" s="199"/>
      <c r="J75" s="199"/>
      <c r="K75" s="200"/>
      <c r="L75" s="67"/>
      <c r="M75" s="341" t="s">
        <v>290</v>
      </c>
      <c r="N75" s="342" t="n">
        <v>0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((B74+B75)/12)*(H29+1)</f>
        <v>894.166666666667</v>
      </c>
      <c r="C76" s="199"/>
      <c r="D76" s="36" t="n">
        <f aca="false">B76</f>
        <v>894.166666666667</v>
      </c>
      <c r="E76" s="200"/>
      <c r="F76" s="67"/>
      <c r="G76" s="262" t="s">
        <v>291</v>
      </c>
      <c r="H76" s="69" t="n">
        <f aca="false">((H74+H75)/12)*(H29-11)</f>
        <v>343.75</v>
      </c>
      <c r="I76" s="199"/>
      <c r="J76" s="36" t="n">
        <f aca="false">H76</f>
        <v>343.75</v>
      </c>
      <c r="K76" s="200"/>
      <c r="L76" s="67"/>
      <c r="M76" s="343" t="s">
        <v>291</v>
      </c>
      <c r="N76" s="344" t="n">
        <f aca="false">((N74+N75)/12)*(H29-11)</f>
        <v>0</v>
      </c>
      <c r="O76" s="199"/>
      <c r="P76" s="36" t="n">
        <f aca="false">N76</f>
        <v>0</v>
      </c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5" t="s">
        <v>292</v>
      </c>
      <c r="B77" s="31" t="n">
        <f aca="false">B102/(1-J15)</f>
        <v>0</v>
      </c>
      <c r="C77" s="310"/>
      <c r="D77" s="36" t="n">
        <f aca="false">B77</f>
        <v>0</v>
      </c>
      <c r="E77" s="376" t="n">
        <f aca="false">D77/(B58+B57)</f>
        <v>0</v>
      </c>
      <c r="F77" s="67"/>
      <c r="G77" s="268" t="s">
        <v>292</v>
      </c>
      <c r="H77" s="90" t="n">
        <v>0</v>
      </c>
      <c r="I77" s="199"/>
      <c r="J77" s="36" t="n">
        <f aca="false">H77</f>
        <v>0</v>
      </c>
      <c r="K77" s="200"/>
      <c r="L77" s="67"/>
      <c r="M77" s="268" t="s">
        <v>292</v>
      </c>
      <c r="N77" s="90" t="n">
        <v>0</v>
      </c>
      <c r="O77" s="199"/>
      <c r="P77" s="36" t="n">
        <f aca="false">N77</f>
        <v>0</v>
      </c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0</v>
      </c>
      <c r="C78" s="310"/>
      <c r="D78" s="36" t="n">
        <f aca="false">B78</f>
        <v>0</v>
      </c>
      <c r="E78" s="376"/>
      <c r="F78" s="67"/>
      <c r="G78" s="198" t="s">
        <v>293</v>
      </c>
      <c r="H78" s="37" t="n">
        <v>0</v>
      </c>
      <c r="I78" s="199"/>
      <c r="J78" s="36" t="n">
        <f aca="false">H78</f>
        <v>0</v>
      </c>
      <c r="K78" s="200"/>
      <c r="L78" s="67"/>
      <c r="M78" s="198" t="s">
        <v>293</v>
      </c>
      <c r="N78" s="37" t="n">
        <v>0</v>
      </c>
      <c r="O78" s="199"/>
      <c r="P78" s="36" t="n">
        <f aca="false">N78</f>
        <v>0</v>
      </c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310"/>
      <c r="D79" s="36" t="n">
        <f aca="false">B79</f>
        <v>300</v>
      </c>
      <c r="E79" s="376"/>
      <c r="F79" s="67"/>
      <c r="G79" s="272" t="s">
        <v>113</v>
      </c>
      <c r="H79" s="81" t="n">
        <v>200</v>
      </c>
      <c r="I79" s="199"/>
      <c r="J79" s="36" t="n">
        <f aca="false">H79</f>
        <v>200</v>
      </c>
      <c r="K79" s="200"/>
      <c r="L79" s="67"/>
      <c r="M79" s="272" t="s">
        <v>113</v>
      </c>
      <c r="N79" s="81" t="n">
        <v>200</v>
      </c>
      <c r="O79" s="199"/>
      <c r="P79" s="36" t="n">
        <f aca="false">N79</f>
        <v>200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310"/>
      <c r="D80" s="36" t="n">
        <f aca="false">B80</f>
        <v>100</v>
      </c>
      <c r="E80" s="376" t="n">
        <f aca="false">(D73+D76+D79+D80)/(B58+B57)</f>
        <v>44.8935185185185</v>
      </c>
      <c r="F80" s="67"/>
      <c r="G80" s="275" t="s">
        <v>114</v>
      </c>
      <c r="H80" s="91" t="n">
        <v>200</v>
      </c>
      <c r="I80" s="199"/>
      <c r="J80" s="36" t="n">
        <f aca="false">H80</f>
        <v>200</v>
      </c>
      <c r="K80" s="200"/>
      <c r="L80" s="67"/>
      <c r="M80" s="275" t="s">
        <v>114</v>
      </c>
      <c r="N80" s="91" t="n">
        <v>200</v>
      </c>
      <c r="O80" s="199"/>
      <c r="P80" s="36" t="n">
        <f aca="false">N80</f>
        <v>200</v>
      </c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3385.41708666667</v>
      </c>
      <c r="C81" s="310"/>
      <c r="D81" s="383"/>
      <c r="E81" s="376"/>
      <c r="F81" s="67"/>
      <c r="G81" s="276" t="s">
        <v>115</v>
      </c>
      <c r="H81" s="277" t="n">
        <f aca="false">SUM(J64:J80)</f>
        <v>1065.75</v>
      </c>
      <c r="I81" s="199"/>
      <c r="J81" s="199"/>
      <c r="K81" s="200"/>
      <c r="L81" s="67"/>
      <c r="M81" s="276" t="s">
        <v>115</v>
      </c>
      <c r="N81" s="277" t="n">
        <f aca="false">SUM(P64:P80)</f>
        <v>722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94.0393635185185</v>
      </c>
      <c r="C82" s="310"/>
      <c r="D82" s="199"/>
      <c r="E82" s="376"/>
      <c r="F82" s="67"/>
      <c r="G82" s="198" t="s">
        <v>116</v>
      </c>
      <c r="H82" s="37" t="n">
        <f aca="false">H81/H29</f>
        <v>29.6041666666667</v>
      </c>
      <c r="I82" s="199"/>
      <c r="J82" s="199"/>
      <c r="K82" s="200"/>
      <c r="L82" s="67"/>
      <c r="M82" s="198" t="s">
        <v>116</v>
      </c>
      <c r="N82" s="37" t="n">
        <f aca="false">N81/H29</f>
        <v>20.0555555555556</v>
      </c>
      <c r="O82" s="199"/>
      <c r="P82" s="199"/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H47</f>
        <v>-28.741132265911</v>
      </c>
      <c r="C83" s="310"/>
      <c r="D83" s="199"/>
      <c r="E83" s="376" t="n">
        <f aca="false">B83+E80+E77+E64</f>
        <v>65.2982312526075</v>
      </c>
      <c r="F83" s="67"/>
      <c r="G83" s="278" t="s">
        <v>117</v>
      </c>
      <c r="H83" s="63" t="n">
        <f aca="false">H47</f>
        <v>-28.741132265911</v>
      </c>
      <c r="I83" s="199"/>
      <c r="J83" s="199"/>
      <c r="K83" s="200"/>
      <c r="L83" s="67"/>
      <c r="M83" s="278" t="s">
        <v>117</v>
      </c>
      <c r="N83" s="63" t="n">
        <f aca="false">H47</f>
        <v>-28.741132265911</v>
      </c>
      <c r="O83" s="199"/>
      <c r="P83" s="199"/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310"/>
      <c r="D84" s="310"/>
      <c r="E84" s="376"/>
      <c r="F84" s="67"/>
      <c r="G84" s="198"/>
      <c r="H84" s="36"/>
      <c r="I84" s="199"/>
      <c r="J84" s="199"/>
      <c r="K84" s="200"/>
      <c r="L84" s="67"/>
      <c r="M84" s="198"/>
      <c r="N84" s="36"/>
      <c r="O84" s="199"/>
      <c r="P84" s="199"/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((B83*H29)+B81)*1.2</f>
        <v>2820.88359011264</v>
      </c>
      <c r="C85" s="310"/>
      <c r="D85" s="310"/>
      <c r="E85" s="376" t="n">
        <f aca="false">B85/(B58+B57)</f>
        <v>78.357877503129</v>
      </c>
      <c r="F85" s="67"/>
      <c r="G85" s="265" t="s">
        <v>127</v>
      </c>
      <c r="H85" s="31" t="n">
        <f aca="false">((H83*H29)+H81)*1.2</f>
        <v>37.2830861126437</v>
      </c>
      <c r="I85" s="199"/>
      <c r="J85" s="199"/>
      <c r="K85" s="200"/>
      <c r="L85" s="67"/>
      <c r="M85" s="265" t="s">
        <v>127</v>
      </c>
      <c r="N85" s="31" t="n">
        <f aca="false">((N83*H29)+N81)</f>
        <v>-312.680761572797</v>
      </c>
      <c r="O85" s="199"/>
      <c r="P85" s="199"/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(((B83*H29)+B81)/(1-B70))*B70</f>
        <v>19.9134581794963</v>
      </c>
      <c r="C86" s="310" t="s">
        <v>243</v>
      </c>
      <c r="D86" s="199"/>
      <c r="E86" s="376" t="n">
        <f aca="false">B86/(B58+B57)</f>
        <v>0.553151616097119</v>
      </c>
      <c r="F86" s="67"/>
      <c r="G86" s="198" t="s">
        <v>128</v>
      </c>
      <c r="H86" s="37" t="n">
        <f aca="false">((((H83*H29)+H81))/(1-H70))*H70</f>
        <v>0.263192419109022</v>
      </c>
      <c r="I86" s="199"/>
      <c r="J86" s="199"/>
      <c r="K86" s="200"/>
      <c r="L86" s="67"/>
      <c r="M86" s="198" t="s">
        <v>128</v>
      </c>
      <c r="N86" s="37" t="n">
        <f aca="false">(N85/(1-N70))*N70</f>
        <v>-2.6487680488216</v>
      </c>
      <c r="O86" s="199"/>
      <c r="P86" s="199"/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2840.79704829214</v>
      </c>
      <c r="C87" s="310"/>
      <c r="D87" s="384"/>
      <c r="E87" s="376" t="n">
        <f aca="false">E86+E85</f>
        <v>78.9110291192261</v>
      </c>
      <c r="F87" s="67"/>
      <c r="G87" s="262" t="s">
        <v>129</v>
      </c>
      <c r="H87" s="69" t="n">
        <f aca="false">IF(H110="YES",((H85+H86)-K114),(H85+H86))</f>
        <v>37.5462785317528</v>
      </c>
      <c r="I87" s="199"/>
      <c r="J87" s="199"/>
      <c r="K87" s="200"/>
      <c r="L87" s="67"/>
      <c r="M87" s="262" t="s">
        <v>129</v>
      </c>
      <c r="N87" s="69" t="n">
        <f aca="false">IF(N110="YES",((N85+N86)-Q114),(N85+N86))</f>
        <v>-315.329529621618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310"/>
      <c r="D88" s="199"/>
      <c r="E88" s="376"/>
      <c r="F88" s="67"/>
      <c r="G88" s="198"/>
      <c r="H88" s="36"/>
      <c r="I88" s="199"/>
      <c r="J88" s="199"/>
      <c r="K88" s="200"/>
      <c r="L88" s="67"/>
      <c r="M88" s="198"/>
      <c r="N88" s="36"/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7" t="n">
        <f aca="false">IF(B99=Y98,(I32+(I32*B105))/(B58),(I32+(I32*B105))/(B57+B58))*(C45/100)*1.2</f>
        <v>72</v>
      </c>
      <c r="C89" s="310"/>
      <c r="D89" s="199"/>
      <c r="E89" s="200"/>
      <c r="F89" s="67"/>
      <c r="G89" s="276" t="s">
        <v>130</v>
      </c>
      <c r="H89" s="277" t="n">
        <f aca="false">IF(H99=Y98,(D40+(D40*H105))/(H58),(D40+(D40*H105))/(H57+H58))*1.2</f>
        <v>210.731707317073</v>
      </c>
      <c r="I89" s="199"/>
      <c r="J89" s="199"/>
      <c r="K89" s="200"/>
      <c r="L89" s="67"/>
      <c r="M89" s="276" t="s">
        <v>130</v>
      </c>
      <c r="N89" s="277" t="n">
        <f aca="false">IF(N99=Y98,(D40+(D40*N105))/(N58),(D40+(D40*N105))/(N57+N58))</f>
        <v>175.609756097561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IF(B99=Y98,(B87-D105)/(B58),B87/(B57+B58))</f>
        <v>78.9110291192261</v>
      </c>
      <c r="C90" s="310"/>
      <c r="D90" s="199"/>
      <c r="E90" s="385"/>
      <c r="F90" s="67"/>
      <c r="G90" s="280" t="s">
        <v>131</v>
      </c>
      <c r="H90" s="281" t="n">
        <f aca="false">IF(H99=Y98,(H87-J105)/(H58),H87/(H57+H58))</f>
        <v>0.91576289101836</v>
      </c>
      <c r="I90" s="199"/>
      <c r="J90" s="199"/>
      <c r="K90" s="200"/>
      <c r="L90" s="67"/>
      <c r="M90" s="280" t="s">
        <v>131</v>
      </c>
      <c r="N90" s="281" t="n">
        <f aca="false">IF(N99=Y98,(N87-P105)/(N58),N87/(N57+N58))</f>
        <v>-7.69096413711265</v>
      </c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150.911029119226</v>
      </c>
      <c r="C91" s="310"/>
      <c r="D91" s="386"/>
      <c r="E91" s="333"/>
      <c r="F91" s="67"/>
      <c r="G91" s="282" t="s">
        <v>132</v>
      </c>
      <c r="H91" s="283" t="n">
        <f aca="false">IF(G105="YES",H90+H89,H90)</f>
        <v>211.647470208092</v>
      </c>
      <c r="I91" s="199"/>
      <c r="J91" s="199"/>
      <c r="K91" s="200"/>
      <c r="L91" s="67"/>
      <c r="M91" s="282" t="s">
        <v>132</v>
      </c>
      <c r="N91" s="283" t="n">
        <f aca="false">IF(M105="YES",N90+N89,N90)</f>
        <v>167.918791960448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61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262"/>
      <c r="N92" s="263"/>
      <c r="O92" s="263"/>
      <c r="P92" s="263"/>
      <c r="Q92" s="264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199"/>
      <c r="N93" s="199"/>
      <c r="O93" s="199"/>
      <c r="P93" s="199"/>
      <c r="Q93" s="199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56.2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197" t="s">
        <v>352</v>
      </c>
      <c r="N94" s="197"/>
      <c r="O94" s="197"/>
      <c r="P94" s="197"/>
      <c r="Q94" s="19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 t="s">
        <v>387</v>
      </c>
      <c r="F95" s="67"/>
      <c r="G95" s="198"/>
      <c r="H95" s="199"/>
      <c r="I95" s="199"/>
      <c r="J95" s="199"/>
      <c r="K95" s="200"/>
      <c r="L95" s="67"/>
      <c r="M95" s="198"/>
      <c r="N95" s="199"/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201" t="s">
        <v>137</v>
      </c>
      <c r="N96" s="201"/>
      <c r="O96" s="201"/>
      <c r="P96" s="201"/>
      <c r="Q96" s="201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387"/>
      <c r="C97" s="387"/>
      <c r="D97" s="199"/>
      <c r="E97" s="200"/>
      <c r="F97" s="67"/>
      <c r="G97" s="198"/>
      <c r="H97" s="199"/>
      <c r="I97" s="199"/>
      <c r="J97" s="199"/>
      <c r="K97" s="200"/>
      <c r="L97" s="67"/>
      <c r="M97" s="198"/>
      <c r="N97" s="199"/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 t="s">
        <v>141</v>
      </c>
      <c r="Z97" s="67"/>
      <c r="AC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198" t="s">
        <v>138</v>
      </c>
      <c r="N98" s="199" t="s">
        <v>36</v>
      </c>
      <c r="O98" s="199"/>
      <c r="P98" s="199" t="s">
        <v>295</v>
      </c>
      <c r="Q98" s="200"/>
      <c r="R98" s="67"/>
      <c r="S98" s="67"/>
      <c r="T98" s="67"/>
      <c r="U98" s="67"/>
      <c r="V98" s="67"/>
      <c r="W98" s="67"/>
      <c r="X98" s="67"/>
      <c r="Y98" s="67" t="s">
        <v>273</v>
      </c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0</v>
      </c>
      <c r="E99" s="109"/>
      <c r="F99" s="67"/>
      <c r="G99" s="204" t="s">
        <v>296</v>
      </c>
      <c r="H99" s="284" t="s">
        <v>275</v>
      </c>
      <c r="I99" s="284"/>
      <c r="J99" s="109" t="n">
        <v>0</v>
      </c>
      <c r="K99" s="109"/>
      <c r="L99" s="67"/>
      <c r="M99" s="204" t="s">
        <v>296</v>
      </c>
      <c r="N99" s="284" t="s">
        <v>275</v>
      </c>
      <c r="O99" s="284"/>
      <c r="P99" s="109" t="n">
        <v>0</v>
      </c>
      <c r="Q99" s="109"/>
      <c r="R99" s="67"/>
      <c r="S99" s="67"/>
      <c r="T99" s="67"/>
      <c r="U99" s="67"/>
      <c r="V99" s="67"/>
      <c r="W99" s="67"/>
      <c r="X99" s="67"/>
      <c r="Y99" s="67" t="s">
        <v>274</v>
      </c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198"/>
      <c r="N100" s="199"/>
      <c r="O100" s="199"/>
      <c r="P100" s="199"/>
      <c r="Q100" s="200"/>
      <c r="R100" s="67"/>
      <c r="S100" s="67"/>
      <c r="T100" s="67"/>
      <c r="U100" s="67"/>
      <c r="V100" s="67"/>
      <c r="W100" s="67"/>
      <c r="X100" s="67"/>
      <c r="Y100" s="67" t="s">
        <v>275</v>
      </c>
      <c r="Z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388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198" t="s">
        <v>297</v>
      </c>
      <c r="N101" s="199" t="s">
        <v>298</v>
      </c>
      <c r="O101" s="199"/>
      <c r="P101" s="199" t="s">
        <v>299</v>
      </c>
      <c r="Q101" s="200"/>
      <c r="R101" s="67"/>
      <c r="S101" s="67"/>
      <c r="T101" s="67"/>
      <c r="U101" s="67"/>
      <c r="V101" s="67"/>
      <c r="W101" s="67"/>
      <c r="X101" s="67"/>
      <c r="Y101" s="67" t="s">
        <v>276</v>
      </c>
      <c r="Z101" s="67"/>
    </row>
    <row r="102" customFormat="false" ht="18.75" hidden="false" customHeight="true" outlineLevel="0" collapsed="false">
      <c r="A102" s="285" t="n">
        <v>239.99</v>
      </c>
      <c r="B102" s="109" t="n">
        <v>0</v>
      </c>
      <c r="C102" s="109"/>
      <c r="D102" s="109" t="n">
        <v>0</v>
      </c>
      <c r="E102" s="109"/>
      <c r="F102" s="67"/>
      <c r="G102" s="285" t="n">
        <v>199.99</v>
      </c>
      <c r="H102" s="109" t="n">
        <v>0</v>
      </c>
      <c r="I102" s="109"/>
      <c r="J102" s="109" t="n">
        <v>0</v>
      </c>
      <c r="K102" s="109"/>
      <c r="L102" s="67"/>
      <c r="M102" s="285" t="n">
        <v>199.99</v>
      </c>
      <c r="N102" s="109" t="n">
        <v>0</v>
      </c>
      <c r="O102" s="109"/>
      <c r="P102" s="109" t="n">
        <v>0</v>
      </c>
      <c r="Q102" s="109"/>
      <c r="R102" s="67"/>
      <c r="S102" s="67"/>
      <c r="T102" s="67"/>
      <c r="U102" s="67"/>
      <c r="V102" s="67"/>
      <c r="W102" s="67"/>
      <c r="X102" s="67"/>
      <c r="Y102" s="67" t="s">
        <v>277</v>
      </c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 t="s">
        <v>278</v>
      </c>
      <c r="Z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204" t="s">
        <v>139</v>
      </c>
      <c r="N104" s="67" t="s">
        <v>142</v>
      </c>
      <c r="O104" s="199"/>
      <c r="P104" s="199" t="s">
        <v>153</v>
      </c>
      <c r="Q104" s="200"/>
      <c r="R104" s="67"/>
      <c r="S104" s="67"/>
      <c r="T104" s="67"/>
      <c r="U104" s="67"/>
      <c r="V104" s="67"/>
      <c r="W104" s="67"/>
      <c r="X104" s="67"/>
      <c r="Y104" s="67" t="s">
        <v>279</v>
      </c>
      <c r="Z104" s="67"/>
    </row>
    <row r="105" customFormat="false" ht="18.75" hidden="false" customHeight="true" outlineLevel="0" collapsed="false">
      <c r="A105" s="206" t="s">
        <v>31</v>
      </c>
      <c r="B105" s="286" t="n">
        <v>0.2</v>
      </c>
      <c r="C105" s="286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/>
      <c r="K105" s="109"/>
      <c r="L105" s="67"/>
      <c r="M105" s="206" t="s">
        <v>31</v>
      </c>
      <c r="N105" s="286" t="n">
        <v>0.2</v>
      </c>
      <c r="O105" s="286"/>
      <c r="P105" s="109" t="n">
        <v>0</v>
      </c>
      <c r="Q105" s="109"/>
      <c r="R105" s="67"/>
      <c r="S105" s="67"/>
      <c r="T105" s="67"/>
      <c r="U105" s="67"/>
      <c r="V105" s="67"/>
      <c r="W105" s="67"/>
      <c r="X105" s="67"/>
      <c r="Y105" s="67" t="s">
        <v>280</v>
      </c>
      <c r="Z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198"/>
      <c r="N107" s="199" t="s">
        <v>353</v>
      </c>
      <c r="O107" s="206" t="s">
        <v>31</v>
      </c>
      <c r="P107" s="199"/>
      <c r="Q107" s="200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18.75" hidden="false" customHeight="true" outlineLevel="0" collapsed="false">
      <c r="A108" s="201" t="n">
        <v>199.99</v>
      </c>
      <c r="B108" s="201" t="n">
        <v>0</v>
      </c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201" t="s">
        <v>300</v>
      </c>
      <c r="N108" s="201"/>
      <c r="O108" s="201"/>
      <c r="P108" s="201"/>
      <c r="Q108" s="201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198" t="s">
        <v>301</v>
      </c>
      <c r="N110" s="206" t="s">
        <v>32</v>
      </c>
      <c r="O110" s="199"/>
      <c r="P110" s="199"/>
      <c r="Q110" s="200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8.75" hidden="false" customHeight="true" outlineLevel="0" collapsed="false">
      <c r="A111" s="198" t="s">
        <v>32</v>
      </c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198"/>
      <c r="N111" s="199"/>
      <c r="O111" s="199"/>
      <c r="P111" s="199"/>
      <c r="Q111" s="200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0</v>
      </c>
      <c r="K112" s="109" t="n">
        <v>0</v>
      </c>
      <c r="L112" s="67"/>
      <c r="M112" s="198" t="s">
        <v>186</v>
      </c>
      <c r="N112" s="199"/>
      <c r="O112" s="199"/>
      <c r="P112" s="285" t="n">
        <v>500</v>
      </c>
      <c r="Q112" s="109" t="n">
        <v>300</v>
      </c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0</v>
      </c>
      <c r="K113" s="109" t="n">
        <v>0</v>
      </c>
      <c r="L113" s="67"/>
      <c r="M113" s="198" t="s">
        <v>187</v>
      </c>
      <c r="N113" s="199"/>
      <c r="O113" s="199"/>
      <c r="P113" s="43" t="n">
        <f aca="false">Q113</f>
        <v>100</v>
      </c>
      <c r="Q113" s="109" t="n">
        <v>100</v>
      </c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0</v>
      </c>
      <c r="K114" s="157" t="n">
        <f aca="false">K112-K113</f>
        <v>0</v>
      </c>
      <c r="L114" s="67"/>
      <c r="M114" s="198" t="s">
        <v>188</v>
      </c>
      <c r="N114" s="199"/>
      <c r="O114" s="199"/>
      <c r="P114" s="43" t="n">
        <f aca="false">P112-P113</f>
        <v>400</v>
      </c>
      <c r="Q114" s="157" t="n">
        <f aca="false">Q112-Q113</f>
        <v>200</v>
      </c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0</v>
      </c>
      <c r="K115" s="200"/>
      <c r="L115" s="67"/>
      <c r="M115" s="198" t="s">
        <v>189</v>
      </c>
      <c r="N115" s="199"/>
      <c r="O115" s="199"/>
      <c r="P115" s="43" t="n">
        <f aca="false">P114-Q114</f>
        <v>200</v>
      </c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198"/>
      <c r="N116" s="199"/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265" t="s">
        <v>149</v>
      </c>
      <c r="N117" s="266"/>
      <c r="O117" s="266"/>
      <c r="P117" s="266"/>
      <c r="Q117" s="31" t="n">
        <f aca="false">P99</f>
        <v>0</v>
      </c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0</v>
      </c>
      <c r="F118" s="67"/>
      <c r="G118" s="198" t="s">
        <v>66</v>
      </c>
      <c r="H118" s="199"/>
      <c r="I118" s="199"/>
      <c r="J118" s="199"/>
      <c r="K118" s="37" t="n">
        <f aca="false">G102</f>
        <v>199.99</v>
      </c>
      <c r="L118" s="67"/>
      <c r="M118" s="198" t="s">
        <v>66</v>
      </c>
      <c r="N118" s="199"/>
      <c r="O118" s="199"/>
      <c r="P118" s="199"/>
      <c r="Q118" s="37" t="n">
        <f aca="false">M102</f>
        <v>199.99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(E118)+E117-E114</f>
        <v>0</v>
      </c>
      <c r="F119" s="67"/>
      <c r="G119" s="287" t="s">
        <v>302</v>
      </c>
      <c r="H119" s="263"/>
      <c r="I119" s="263"/>
      <c r="J119" s="263"/>
      <c r="K119" s="69" t="n">
        <f aca="false">((K118/1.2)+K117)-(J115-K113)</f>
        <v>166.658333333333</v>
      </c>
      <c r="L119" s="67"/>
      <c r="M119" s="287" t="s">
        <v>302</v>
      </c>
      <c r="N119" s="263"/>
      <c r="O119" s="263"/>
      <c r="P119" s="263"/>
      <c r="Q119" s="69" t="n">
        <f aca="false">(Q118+Q117)-P115</f>
        <v>-0.00999999999999091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198"/>
      <c r="N120" s="199"/>
      <c r="O120" s="199"/>
      <c r="P120" s="199"/>
      <c r="Q120" s="200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198"/>
      <c r="N121" s="199"/>
      <c r="O121" s="199"/>
      <c r="P121" s="199"/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201" t="s">
        <v>303</v>
      </c>
      <c r="N122" s="201"/>
      <c r="O122" s="201"/>
      <c r="P122" s="201"/>
      <c r="Q122" s="201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198"/>
      <c r="N123" s="199"/>
      <c r="O123" s="199"/>
      <c r="P123" s="199"/>
      <c r="Q123" s="200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198" t="s">
        <v>194</v>
      </c>
      <c r="N124" s="162" t="n">
        <v>0</v>
      </c>
      <c r="O124" s="162"/>
      <c r="P124" s="199"/>
      <c r="Q124" s="200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36</v>
      </c>
      <c r="C125" s="294"/>
      <c r="D125" s="293" t="n">
        <f aca="false">B160</f>
        <v>10000</v>
      </c>
      <c r="E125" s="291"/>
      <c r="F125" s="67"/>
      <c r="G125" s="198"/>
      <c r="H125" s="199"/>
      <c r="I125" s="199"/>
      <c r="J125" s="199"/>
      <c r="K125" s="200"/>
      <c r="L125" s="67"/>
      <c r="M125" s="198"/>
      <c r="N125" s="199"/>
      <c r="O125" s="199"/>
      <c r="P125" s="199"/>
      <c r="Q125" s="200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296" t="s">
        <v>306</v>
      </c>
      <c r="H126" s="297" t="s">
        <v>307</v>
      </c>
      <c r="I126" s="297"/>
      <c r="J126" s="297" t="s">
        <v>308</v>
      </c>
      <c r="K126" s="200"/>
      <c r="L126" s="67"/>
      <c r="M126" s="296" t="s">
        <v>354</v>
      </c>
      <c r="N126" s="297" t="s">
        <v>262</v>
      </c>
      <c r="O126" s="297"/>
      <c r="P126" s="297" t="s">
        <v>132</v>
      </c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300" t="n">
        <f aca="false">H90</f>
        <v>0.91576289101836</v>
      </c>
      <c r="H127" s="166" t="n">
        <f aca="false">IF(G105="YES",H89*H57,0)</f>
        <v>1264.39024390244</v>
      </c>
      <c r="I127" s="166"/>
      <c r="J127" s="301" t="n">
        <f aca="false">H91</f>
        <v>211.647470208092</v>
      </c>
      <c r="K127" s="200"/>
      <c r="L127" s="67"/>
      <c r="M127" s="300" t="n">
        <f aca="false">N90</f>
        <v>-7.69096413711265</v>
      </c>
      <c r="N127" s="166" t="n">
        <f aca="false">IF(M105="YES",N89*N57,0)</f>
        <v>1053.65853658537</v>
      </c>
      <c r="O127" s="166"/>
      <c r="P127" s="166" t="n">
        <f aca="false">N91</f>
        <v>167.918791960448</v>
      </c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78.9110291192261</v>
      </c>
      <c r="B128" s="290" t="n">
        <f aca="false">IF(A105="YES",B89,0)</f>
        <v>72</v>
      </c>
      <c r="C128" s="294"/>
      <c r="D128" s="290" t="n">
        <f aca="false">B91</f>
        <v>150.911029119226</v>
      </c>
      <c r="E128" s="291"/>
      <c r="F128" s="67"/>
      <c r="G128" s="198"/>
      <c r="H128" s="199"/>
      <c r="I128" s="199"/>
      <c r="J128" s="199"/>
      <c r="K128" s="200"/>
      <c r="L128" s="67"/>
      <c r="M128" s="198"/>
      <c r="N128" s="199"/>
      <c r="O128" s="199"/>
      <c r="P128" s="199"/>
      <c r="Q128" s="200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 t="s">
        <v>95</v>
      </c>
      <c r="H129" s="199" t="s">
        <v>96</v>
      </c>
      <c r="I129" s="199"/>
      <c r="J129" s="199" t="s">
        <v>98</v>
      </c>
      <c r="K129" s="200"/>
      <c r="L129" s="67"/>
      <c r="M129" s="198" t="s">
        <v>95</v>
      </c>
      <c r="N129" s="199" t="s">
        <v>96</v>
      </c>
      <c r="O129" s="199"/>
      <c r="P129" s="199" t="s">
        <v>98</v>
      </c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213" t="n">
        <f aca="false">G152</f>
        <v>36</v>
      </c>
      <c r="H130" s="168" t="n">
        <f aca="false">B151</f>
        <v>0</v>
      </c>
      <c r="I130" s="215"/>
      <c r="J130" s="214" t="n">
        <f aca="false">B58</f>
        <v>35</v>
      </c>
      <c r="K130" s="200"/>
      <c r="L130" s="67"/>
      <c r="M130" s="213" t="n">
        <f aca="false">M155</f>
        <v>36</v>
      </c>
      <c r="N130" s="168" t="n">
        <f aca="false">B151</f>
        <v>0</v>
      </c>
      <c r="O130" s="215"/>
      <c r="P130" s="214" t="n">
        <f aca="false">B58</f>
        <v>35</v>
      </c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78.9110291192261</v>
      </c>
      <c r="C131" s="199"/>
      <c r="D131" s="42" t="n">
        <f aca="false">IF(A105="YES",B89*B57,0)</f>
        <v>72</v>
      </c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198" t="s">
        <v>355</v>
      </c>
      <c r="N132" s="199" t="s">
        <v>252</v>
      </c>
      <c r="O132" s="199"/>
      <c r="P132" s="199" t="s">
        <v>256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5.49457734611016</v>
      </c>
      <c r="H133" s="42" t="n">
        <f aca="false">IF(G105="YES",H89*H57,0)</f>
        <v>1264.39024390244</v>
      </c>
      <c r="I133" s="205"/>
      <c r="J133" s="170" t="n">
        <f aca="false">H91*H57</f>
        <v>1269.88482124855</v>
      </c>
      <c r="K133" s="200"/>
      <c r="L133" s="67"/>
      <c r="M133" s="171" t="n">
        <f aca="false">N90*N57</f>
        <v>-46.1457848226759</v>
      </c>
      <c r="N133" s="42" t="n">
        <f aca="false">IF(M105="YES",N89*N57,0)</f>
        <v>1053.65853658537</v>
      </c>
      <c r="O133" s="205"/>
      <c r="P133" s="170" t="n">
        <f aca="false">N91*N57</f>
        <v>1007.51275176269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150.911029119226</v>
      </c>
      <c r="B134" s="42" t="n">
        <f aca="false">E114</f>
        <v>0</v>
      </c>
      <c r="C134" s="199"/>
      <c r="D134" s="303" t="n">
        <f aca="false">B58</f>
        <v>35</v>
      </c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198" t="s">
        <v>264</v>
      </c>
      <c r="N135" s="199" t="s">
        <v>265</v>
      </c>
      <c r="O135" s="199"/>
      <c r="P135" s="199" t="s">
        <v>269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113" t="n">
        <f aca="false">E15*0.000006</f>
        <v>0</v>
      </c>
      <c r="N136" s="42" t="n">
        <f aca="false">IF(M105="YES",E15*0.000002,0)</f>
        <v>0</v>
      </c>
      <c r="O136" s="42"/>
      <c r="P136" s="42" t="n">
        <f aca="false">M136+N136</f>
        <v>0</v>
      </c>
      <c r="Q136" s="10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78.9110291192261</v>
      </c>
      <c r="B137" s="42" t="n">
        <f aca="false">IF(A105="YES",B89,0)</f>
        <v>72</v>
      </c>
      <c r="C137" s="199"/>
      <c r="D137" s="42" t="n">
        <f aca="false">B91</f>
        <v>150.911029119226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198" t="s">
        <v>152</v>
      </c>
      <c r="N138" s="199" t="s">
        <v>320</v>
      </c>
      <c r="O138" s="199"/>
      <c r="P138" s="199" t="s">
        <v>321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199.99</v>
      </c>
      <c r="H139" s="42" t="n">
        <f aca="false">H67</f>
        <v>0</v>
      </c>
      <c r="I139" s="42"/>
      <c r="J139" s="42" t="n">
        <f aca="false">H102*0.9</f>
        <v>0</v>
      </c>
      <c r="K139" s="107"/>
      <c r="L139" s="67"/>
      <c r="M139" s="113" t="n">
        <f aca="false">M102</f>
        <v>199.99</v>
      </c>
      <c r="N139" s="42" t="n">
        <f aca="false">N67</f>
        <v>0</v>
      </c>
      <c r="O139" s="42"/>
      <c r="P139" s="42" t="n">
        <f aca="false">N102*0.9</f>
        <v>0</v>
      </c>
      <c r="Q139" s="10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(B61*0.000006)*1.2*100</f>
        <v>29.17872</v>
      </c>
      <c r="B140" s="309" t="n">
        <f aca="false">IF(A105="YES",B61*0.000002,0)*1.2*100</f>
        <v>9.72624</v>
      </c>
      <c r="C140" s="310"/>
      <c r="D140" s="309" t="n">
        <f aca="false">A140+B140</f>
        <v>38.90496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198" t="s">
        <v>323</v>
      </c>
      <c r="N141" s="199" t="s">
        <v>324</v>
      </c>
      <c r="O141" s="199"/>
      <c r="P141" s="199" t="s">
        <v>325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IF(G105="YES",((B36*H105)*0.1)*(G130),0)</f>
        <v>36</v>
      </c>
      <c r="H142" s="42" t="n">
        <f aca="false">G102-100</f>
        <v>99.99</v>
      </c>
      <c r="I142" s="42"/>
      <c r="J142" s="42" t="e">
        <f aca="false">(H139+J139+G142+H142)-H145</f>
        <v>#DIV/0!</v>
      </c>
      <c r="K142" s="107"/>
      <c r="L142" s="67"/>
      <c r="M142" s="113" t="n">
        <f aca="false">IF(M105="YES",((B36*N105)*0.1)*(M130),0)</f>
        <v>36</v>
      </c>
      <c r="N142" s="42" t="n">
        <f aca="false">M102-100</f>
        <v>99.99</v>
      </c>
      <c r="O142" s="42"/>
      <c r="P142" s="42" t="e">
        <f aca="false">(N139+P139+M142+N142)-N145</f>
        <v>#DIV/0!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0</v>
      </c>
      <c r="C143" s="199"/>
      <c r="D143" s="142" t="n">
        <f aca="false">B102</f>
        <v>0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198" t="s">
        <v>327</v>
      </c>
      <c r="N144" s="199" t="s">
        <v>328</v>
      </c>
      <c r="O144" s="199"/>
      <c r="P144" s="199"/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v>0</v>
      </c>
      <c r="H145" s="42" t="e">
        <f aca="false">(H139+J139+G142+H142)*(G145/H64)</f>
        <v>#DIV/0!</v>
      </c>
      <c r="I145" s="199"/>
      <c r="J145" s="199"/>
      <c r="K145" s="200"/>
      <c r="L145" s="67"/>
      <c r="M145" s="113" t="n">
        <v>0</v>
      </c>
      <c r="N145" s="42" t="e">
        <f aca="false">(N139+P139+M142+N142)*(M145/N64)</f>
        <v>#DIV/0!</v>
      </c>
      <c r="O145" s="199"/>
      <c r="P145" s="199"/>
      <c r="Q145" s="200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113"/>
      <c r="N146" s="42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4" t="s">
        <v>356</v>
      </c>
      <c r="N147" s="43" t="s">
        <v>357</v>
      </c>
      <c r="O147" s="199"/>
      <c r="P147" s="199"/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0</v>
      </c>
      <c r="B148" s="42" t="n">
        <f aca="false">B102</f>
        <v>0</v>
      </c>
      <c r="C148" s="42"/>
      <c r="D148" s="42" t="n">
        <f aca="false">IF(A105="YES",(B40*B105)*B125,0)*0.1</f>
        <v>36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348" t="n">
        <v>18000</v>
      </c>
      <c r="N148" s="349" t="n">
        <v>0.99</v>
      </c>
      <c r="O148" s="349"/>
      <c r="P148" s="199"/>
      <c r="Q148" s="200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198"/>
      <c r="N150" s="199"/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56</v>
      </c>
      <c r="E151" s="107"/>
      <c r="F151" s="67"/>
      <c r="G151" s="233"/>
      <c r="H151" s="235" t="n">
        <f aca="false">B51</f>
        <v>10000</v>
      </c>
      <c r="I151" s="235"/>
      <c r="J151" s="199"/>
      <c r="K151" s="200"/>
      <c r="L151" s="67"/>
      <c r="M151" s="258" t="s">
        <v>333</v>
      </c>
      <c r="N151" s="199"/>
      <c r="O151" s="199"/>
      <c r="P151" s="259"/>
      <c r="Q151" s="26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36</v>
      </c>
      <c r="H152" s="78" t="n">
        <f aca="false">H91</f>
        <v>211.647470208092</v>
      </c>
      <c r="I152" s="78"/>
      <c r="J152" s="199"/>
      <c r="K152" s="200"/>
      <c r="L152" s="67"/>
      <c r="M152" s="198"/>
      <c r="N152" s="232"/>
      <c r="O152" s="232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233" t="s">
        <v>95</v>
      </c>
      <c r="N153" s="234" t="s">
        <v>96</v>
      </c>
      <c r="O153" s="234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D102</f>
        <v>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233"/>
      <c r="N154" s="235" t="n">
        <f aca="false">B51</f>
        <v>10000</v>
      </c>
      <c r="O154" s="235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237" t="n">
        <f aca="false">A52</f>
        <v>36</v>
      </c>
      <c r="N155" s="78" t="n">
        <f aca="false">N91</f>
        <v>167.918791960448</v>
      </c>
      <c r="O155" s="78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198"/>
      <c r="N157" s="199"/>
      <c r="O157" s="199"/>
      <c r="P157" s="199"/>
      <c r="Q157" s="20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198"/>
      <c r="N158" s="199"/>
      <c r="O158" s="199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198"/>
      <c r="N159" s="199"/>
      <c r="O159" s="199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10000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198"/>
      <c r="N160" s="199"/>
      <c r="O160" s="199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36</v>
      </c>
      <c r="B161" s="78" t="n">
        <f aca="false">B91</f>
        <v>150.911029119226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198"/>
      <c r="N161" s="199"/>
      <c r="O161" s="199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262"/>
      <c r="N162" s="263"/>
      <c r="O162" s="263"/>
      <c r="P162" s="263"/>
      <c r="Q162" s="264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198"/>
      <c r="B165" s="199"/>
      <c r="C165" s="199"/>
      <c r="D165" s="199"/>
      <c r="E165" s="200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62"/>
      <c r="B166" s="263"/>
      <c r="C166" s="263"/>
      <c r="D166" s="263"/>
      <c r="E166" s="264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293" t="n">
        <f aca="false">A161</f>
        <v>36</v>
      </c>
      <c r="C174" s="294"/>
      <c r="D174" s="293" t="n">
        <f aca="false">D125</f>
        <v>10000</v>
      </c>
      <c r="E174" s="291"/>
      <c r="F174" s="67"/>
      <c r="G174" s="67" t="s">
        <v>389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B90</f>
        <v>78.9110291192261</v>
      </c>
      <c r="B177" s="290" t="n">
        <f aca="false">IF(A105="YES",B89,0)</f>
        <v>72</v>
      </c>
      <c r="C177" s="294"/>
      <c r="D177" s="290" t="n">
        <f aca="false">B91</f>
        <v>150.911029119226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B99</f>
        <v> Monthly in advance </v>
      </c>
      <c r="B180" s="42" t="n">
        <f aca="false">B90*B57</f>
        <v>78.9110291192261</v>
      </c>
      <c r="C180" s="199"/>
      <c r="D180" s="42" t="n">
        <f aca="false">IF(A105="YES",B89*B57,0)</f>
        <v>72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B91*B57</f>
        <v>150.911029119226</v>
      </c>
      <c r="B183" s="42" t="n">
        <f aca="false">E114</f>
        <v>0</v>
      </c>
      <c r="C183" s="199"/>
      <c r="D183" s="303" t="n">
        <f aca="false">B58</f>
        <v>35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B90</f>
        <v>78.9110291192261</v>
      </c>
      <c r="B186" s="42" t="n">
        <f aca="false">IF(A105="YES",B89,0)</f>
        <v>72</v>
      </c>
      <c r="C186" s="199"/>
      <c r="D186" s="42" t="n">
        <f aca="false">B91</f>
        <v>150.911029119226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A140</f>
        <v>29.17872</v>
      </c>
      <c r="B189" s="309" t="n">
        <f aca="false">B140</f>
        <v>9.72624</v>
      </c>
      <c r="C189" s="310"/>
      <c r="D189" s="309" t="n">
        <f aca="false">A189+B189</f>
        <v>38.90496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E118</f>
        <v>0</v>
      </c>
      <c r="C192" s="199"/>
      <c r="D192" s="142" t="n">
        <f aca="false">B102</f>
        <v>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B67</f>
        <v>0</v>
      </c>
      <c r="B197" s="42" t="n">
        <f aca="false">B102</f>
        <v>0</v>
      </c>
      <c r="C197" s="42"/>
      <c r="D197" s="42" t="n">
        <f aca="false">IF(A105="YES",(B40*B105)*B125,0)*0.1</f>
        <v>36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A151</f>
        <v>20</v>
      </c>
      <c r="B200" s="42" t="n">
        <f aca="false">(A148+B148+D148+A151)*(A143/B64)</f>
        <v>0</v>
      </c>
      <c r="C200" s="42"/>
      <c r="D200" s="42" t="n">
        <f aca="false">D151</f>
        <v>56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D102</f>
        <v>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0.095</v>
      </c>
      <c r="C209" s="290" t="s">
        <v>228</v>
      </c>
      <c r="D209" s="320" t="n">
        <f aca="false">D64</f>
        <v>1769.25042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0</v>
      </c>
      <c r="C211" s="289" t="s">
        <v>230</v>
      </c>
      <c r="D211" s="320" t="n">
        <f aca="false">B225+E221+B221+B223</f>
        <v>380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2149.25042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D64</f>
        <v>1769.25042</v>
      </c>
      <c r="C217" s="223" t="s">
        <v>234</v>
      </c>
      <c r="D217" s="199"/>
      <c r="E217" s="270" t="n">
        <f aca="false">B66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B67</f>
        <v>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(B77-(B77*(E219)))*J15</f>
        <v>0</v>
      </c>
      <c r="C221" s="205" t="s">
        <v>236</v>
      </c>
      <c r="D221" s="199"/>
      <c r="E221" s="37" t="n">
        <f aca="false">A200</f>
        <v>20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B78-(B78*(E219))</f>
        <v>0</v>
      </c>
      <c r="C223" s="205" t="s">
        <v>231</v>
      </c>
      <c r="D223" s="199"/>
      <c r="E223" s="37" t="n">
        <f aca="false">(B217-B211+D211)</f>
        <v>2149.25042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360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B71</f>
        <v>160</v>
      </c>
      <c r="C229" s="205" t="s">
        <v>239</v>
      </c>
      <c r="D229" s="312"/>
      <c r="E229" s="140" t="n">
        <f aca="false">B72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D73</f>
        <v>322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B68</f>
        <v>0.0075</v>
      </c>
      <c r="C231" s="205" t="s">
        <v>242</v>
      </c>
      <c r="D231" s="312"/>
      <c r="E231" s="270" t="n">
        <f aca="false">B69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B86</f>
        <v>19.9134581794963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B79</f>
        <v>300</v>
      </c>
      <c r="C233" s="327" t="s">
        <v>340</v>
      </c>
      <c r="D233" s="328"/>
      <c r="E233" s="140" t="n">
        <f aca="false">B74</f>
        <v>290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B80</f>
        <v>100</v>
      </c>
      <c r="C235" s="331" t="s">
        <v>341</v>
      </c>
      <c r="D235" s="331"/>
      <c r="E235" s="140" t="n">
        <f aca="false">B75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64">
    <mergeCell ref="A1:F1"/>
    <mergeCell ref="D7:E18"/>
    <mergeCell ref="A16:C18"/>
    <mergeCell ref="A19:D19"/>
    <mergeCell ref="A21:D21"/>
    <mergeCell ref="A24:E24"/>
    <mergeCell ref="A28:E28"/>
    <mergeCell ref="B30:C30"/>
    <mergeCell ref="G38:H38"/>
    <mergeCell ref="B40:C40"/>
    <mergeCell ref="C44:D44"/>
    <mergeCell ref="C45:D45"/>
    <mergeCell ref="A50:A51"/>
    <mergeCell ref="B50:C50"/>
    <mergeCell ref="B51:C51"/>
    <mergeCell ref="B52:C52"/>
    <mergeCell ref="A94:E94"/>
    <mergeCell ref="G94:K94"/>
    <mergeCell ref="M94:Q94"/>
    <mergeCell ref="A96:E96"/>
    <mergeCell ref="G96:K96"/>
    <mergeCell ref="M96:Q96"/>
    <mergeCell ref="B97:C97"/>
    <mergeCell ref="B99:C99"/>
    <mergeCell ref="D99:E99"/>
    <mergeCell ref="H99:I99"/>
    <mergeCell ref="J99:K99"/>
    <mergeCell ref="N99:O99"/>
    <mergeCell ref="P99:Q99"/>
    <mergeCell ref="B102:C102"/>
    <mergeCell ref="D102:E102"/>
    <mergeCell ref="H102:I102"/>
    <mergeCell ref="J102:K102"/>
    <mergeCell ref="N102:O102"/>
    <mergeCell ref="P102:Q102"/>
    <mergeCell ref="B105:C105"/>
    <mergeCell ref="D105:E105"/>
    <mergeCell ref="H105:I105"/>
    <mergeCell ref="J105:K105"/>
    <mergeCell ref="N105:O105"/>
    <mergeCell ref="P105:Q105"/>
    <mergeCell ref="A108:E108"/>
    <mergeCell ref="G108:K108"/>
    <mergeCell ref="M108:Q108"/>
    <mergeCell ref="A122:E122"/>
    <mergeCell ref="G122:K122"/>
    <mergeCell ref="M122:Q122"/>
    <mergeCell ref="H124:I124"/>
    <mergeCell ref="N124:O124"/>
    <mergeCell ref="N148:O148"/>
    <mergeCell ref="G150:G151"/>
    <mergeCell ref="H150:I150"/>
    <mergeCell ref="H151:I151"/>
    <mergeCell ref="H152:I152"/>
    <mergeCell ref="M153:M154"/>
    <mergeCell ref="N153:O153"/>
    <mergeCell ref="N154:O154"/>
    <mergeCell ref="N155:O155"/>
    <mergeCell ref="A159:A160"/>
    <mergeCell ref="B159:C159"/>
    <mergeCell ref="B160:C160"/>
    <mergeCell ref="B161:C161"/>
    <mergeCell ref="A171:E171"/>
    <mergeCell ref="A207:E207"/>
  </mergeCells>
  <dataValidations count="3">
    <dataValidation allowBlank="true" errorStyle="stop" operator="between" showDropDown="false" showErrorMessage="true" showInputMessage="false" sqref="H99 N99 G105 M105 O107 H110 N110" type="list">
      <formula1>#ref!</formula1>
      <formula2>0</formula2>
    </dataValidation>
    <dataValidation allowBlank="true" errorStyle="stop" operator="between" showDropDown="false" showErrorMessage="true" showInputMessage="false" sqref="B26 A105 B110" type="list">
      <formula1>'Formula1-BCH'!$I$3:$I$4</formula1>
      <formula2>0</formula2>
    </dataValidation>
    <dataValidation allowBlank="true" errorStyle="stop" operator="between" showDropDown="false" showErrorMessage="true" showInputMessage="false" sqref="B99" type="list">
      <formula1>'Formula1-BCH'!$Y$97:$Y$105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2"/>
  <sheetViews>
    <sheetView showFormulas="false" showGridLines="true" showRowColHeaders="true" showZeros="true" rightToLeft="false" tabSelected="false" showOutlineSymbols="true" defaultGridColor="true" view="normal" topLeftCell="A202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56.0" collapsed="false" outlineLevel="0"/>
    <col min="2" max="2" customWidth="true" hidden="false" style="1" width="18.12" collapsed="false" outlineLevel="0"/>
    <col min="3" max="3" customWidth="true" hidden="false" style="1" width="25.12" collapsed="false" outlineLevel="0"/>
    <col min="4" max="4" customWidth="true" hidden="false" style="1" width="18.12" collapsed="false" outlineLevel="0"/>
    <col min="5" max="5" customWidth="true" hidden="false" style="1" width="24.0" collapsed="false" outlineLevel="0"/>
    <col min="7" max="7" customWidth="true" hidden="false" style="1" width="53.5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8.2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14041.67</v>
      </c>
      <c r="C2" s="9" t="s">
        <v>16</v>
      </c>
      <c r="D2" s="10" t="n">
        <f aca="false">C9</f>
        <v>2808.334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 t="n">
        <v>25000</v>
      </c>
      <c r="H3" s="67"/>
      <c r="I3" s="67" t="s">
        <v>31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16850.004</v>
      </c>
      <c r="C4" s="247"/>
      <c r="D4" s="247"/>
      <c r="E4" s="247"/>
      <c r="F4" s="248" t="s">
        <v>10</v>
      </c>
      <c r="G4" s="67"/>
      <c r="H4" s="67"/>
      <c r="I4" s="67" t="s">
        <v>32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364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7.35" hidden="false" customHeight="false" outlineLevel="0" collapsed="false">
      <c r="A8" s="250"/>
      <c r="B8" s="67"/>
      <c r="C8" s="67"/>
      <c r="D8" s="249"/>
      <c r="E8" s="249"/>
      <c r="F8" s="67"/>
      <c r="G8" s="365" t="e">
        <f aca="false">G9*100/B3</f>
        <v>#DIV/0!</v>
      </c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13666.67</v>
      </c>
      <c r="C9" s="14" t="n">
        <f aca="false">B9*0.2</f>
        <v>2808.334</v>
      </c>
      <c r="D9" s="249"/>
      <c r="E9" s="249"/>
      <c r="F9" s="67"/>
      <c r="G9" s="364" t="n">
        <f aca="false">E9-G11</f>
        <v>-152558.333333333</v>
      </c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364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364" t="n">
        <f aca="false">G13/1.2</f>
        <v>152558.333333333</v>
      </c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364" t="n">
        <f aca="false">G15-E14-E13-E12</f>
        <v>183070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14041.67</v>
      </c>
      <c r="C15" s="14" t="n">
        <f aca="false">SUM(C9:C13)</f>
        <v>2808.334</v>
      </c>
      <c r="D15" s="249"/>
      <c r="E15" s="249"/>
      <c r="F15" s="67"/>
      <c r="G15" s="21" t="n">
        <v>183070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366" t="n">
        <f aca="false">(B3+C3+E10)*1.2</f>
        <v>0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1" t="n">
        <f aca="false">(B3+C3+D3+E3+E10)*1.2</f>
        <v>0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16850.004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14041.67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364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4" t="s">
        <v>139</v>
      </c>
      <c r="B26" s="206" t="s">
        <v>31</v>
      </c>
      <c r="C26" s="199"/>
      <c r="D26" s="199"/>
      <c r="E26" s="200"/>
      <c r="F26" s="67"/>
      <c r="G26" s="202" t="s">
        <v>36</v>
      </c>
      <c r="H26" s="202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38</v>
      </c>
      <c r="H27" s="203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1" t="s">
        <v>193</v>
      </c>
      <c r="B28" s="201"/>
      <c r="C28" s="201"/>
      <c r="D28" s="201"/>
      <c r="E28" s="201"/>
      <c r="F28" s="67"/>
      <c r="G28" s="203" t="s">
        <v>40</v>
      </c>
      <c r="H28" s="203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198"/>
      <c r="B29" s="199"/>
      <c r="C29" s="199"/>
      <c r="D29" s="199"/>
      <c r="E29" s="200"/>
      <c r="F29" s="67"/>
      <c r="G29" s="202" t="s">
        <v>41</v>
      </c>
      <c r="H29" s="367" t="n">
        <v>24</v>
      </c>
      <c r="I29" s="67"/>
      <c r="J29" s="67"/>
      <c r="K29" s="67" t="n">
        <v>35</v>
      </c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 t="s">
        <v>194</v>
      </c>
      <c r="B30" s="162" t="s">
        <v>359</v>
      </c>
      <c r="C30" s="162"/>
      <c r="D30" s="199"/>
      <c r="E30" s="200"/>
      <c r="F30" s="67"/>
      <c r="G30" s="202" t="s">
        <v>45</v>
      </c>
      <c r="H30" s="367" t="n">
        <v>8000</v>
      </c>
      <c r="I30" s="67"/>
      <c r="J30" s="67"/>
      <c r="K30" s="67" t="n">
        <v>35000</v>
      </c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198"/>
      <c r="B31" s="199"/>
      <c r="C31" s="199"/>
      <c r="D31" s="199"/>
      <c r="E31" s="200"/>
      <c r="F31" s="67"/>
      <c r="G31" s="202" t="s">
        <v>48</v>
      </c>
      <c r="H31" s="46" t="n">
        <v>80000</v>
      </c>
      <c r="I31" s="67"/>
      <c r="J31" s="67"/>
      <c r="K31" s="67" t="n">
        <v>80000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98" t="s">
        <v>95</v>
      </c>
      <c r="B32" s="199" t="s">
        <v>96</v>
      </c>
      <c r="C32" s="199"/>
      <c r="D32" s="368" t="s">
        <v>365</v>
      </c>
      <c r="E32" s="200"/>
      <c r="F32" s="67"/>
      <c r="G32" s="202" t="s">
        <v>49</v>
      </c>
      <c r="I32" s="46" t="n">
        <v>4000</v>
      </c>
      <c r="J32" s="67"/>
      <c r="K32" s="67" t="n">
        <v>0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31.5" hidden="false" customHeight="true" outlineLevel="0" collapsed="false">
      <c r="A33" s="213" t="n">
        <f aca="false">A52</f>
        <v>35</v>
      </c>
      <c r="B33" s="214" t="n">
        <v>10000</v>
      </c>
      <c r="C33" s="215"/>
      <c r="D33" s="369" t="n">
        <f aca="false">H48</f>
        <v>460.911583609102</v>
      </c>
      <c r="E33" s="200"/>
      <c r="F33" s="67"/>
      <c r="G33" s="203" t="s">
        <v>366</v>
      </c>
      <c r="H33" s="52" t="n">
        <f aca="false">E21-E11</f>
        <v>14041.67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198"/>
      <c r="B34" s="199"/>
      <c r="C34" s="199"/>
      <c r="D34" s="199"/>
      <c r="E34" s="200"/>
      <c r="F34" s="67"/>
      <c r="G34" s="67" t="s">
        <v>382</v>
      </c>
      <c r="H34" s="67" t="n">
        <f aca="false">H29</f>
        <v>35</v>
      </c>
      <c r="I34" s="67" t="n">
        <v>43957.29</v>
      </c>
      <c r="J34" s="67" t="n">
        <v>841.24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98" t="s">
        <v>367</v>
      </c>
      <c r="B35" s="199" t="s">
        <v>368</v>
      </c>
      <c r="C35" s="199"/>
      <c r="D35" s="199" t="s">
        <v>369</v>
      </c>
      <c r="E35" s="200"/>
      <c r="F35" s="67"/>
      <c r="G35" s="55" t="s">
        <v>59</v>
      </c>
      <c r="H35" s="218" t="n">
        <v>0.095</v>
      </c>
      <c r="I35" s="67" t="n">
        <v>46215.83</v>
      </c>
      <c r="J35" s="67" t="n">
        <v>909.69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71" t="n">
        <f aca="false">H47</f>
        <v>460.911583609102</v>
      </c>
      <c r="B36" s="42" t="n">
        <f aca="false">IF(B26="YES",H42,"")</f>
        <v>0</v>
      </c>
      <c r="C36" s="205"/>
      <c r="D36" s="170" t="n">
        <f aca="false">H31</f>
        <v>0</v>
      </c>
      <c r="E36" s="200"/>
      <c r="F36" s="67"/>
      <c r="G36" s="67"/>
      <c r="H36" s="67"/>
      <c r="I36" s="67" t="n">
        <f aca="false">I35-I34</f>
        <v>2258.54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113"/>
      <c r="B37" s="42"/>
      <c r="C37" s="205"/>
      <c r="D37" s="42"/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198"/>
      <c r="B38" s="199"/>
      <c r="C38" s="199"/>
      <c r="D38" s="199"/>
      <c r="E38" s="200"/>
      <c r="F38" s="67"/>
      <c r="G38" s="227" t="s">
        <v>65</v>
      </c>
      <c r="H38" s="22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198" t="s">
        <v>370</v>
      </c>
      <c r="B39" s="199" t="s">
        <v>371</v>
      </c>
      <c r="C39" s="199"/>
      <c r="D39" s="199" t="s">
        <v>372</v>
      </c>
      <c r="E39" s="200"/>
      <c r="F39" s="67"/>
      <c r="G39" s="67" t="s">
        <v>97</v>
      </c>
      <c r="H39" s="7" t="n">
        <f aca="false">H33</f>
        <v>14041.67</v>
      </c>
      <c r="I39" s="7" t="n">
        <f aca="false">(I48*H46)+H44</f>
        <v>42650.995763804</v>
      </c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109" t="n">
        <f aca="false">D36*A45/100</f>
        <v>0</v>
      </c>
      <c r="B40" s="109" t="n">
        <f aca="false">IF(B26="YES",H42,"0")</f>
        <v>0</v>
      </c>
      <c r="C40" s="109"/>
      <c r="D40" s="170" t="n">
        <f aca="false">I32</f>
        <v>0</v>
      </c>
      <c r="E40" s="200"/>
      <c r="F40" s="67"/>
      <c r="G40" s="67" t="s">
        <v>119</v>
      </c>
      <c r="H40" s="7" t="n">
        <f aca="false">A40/1.2</f>
        <v>0</v>
      </c>
      <c r="I40" s="7" t="n">
        <f aca="false">H39-I39</f>
        <v>-28609.325763804</v>
      </c>
      <c r="J40" s="67" t="n">
        <v>0</v>
      </c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98"/>
      <c r="B41" s="199"/>
      <c r="C41" s="199"/>
      <c r="D41" s="199"/>
      <c r="E41" s="200"/>
      <c r="F41" s="67"/>
      <c r="G41" s="67" t="s">
        <v>373</v>
      </c>
      <c r="H41" s="225" t="n">
        <f aca="false">H35/12</f>
        <v>0.00791666666666667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198"/>
      <c r="B42" s="199"/>
      <c r="C42" s="199"/>
      <c r="D42" s="199"/>
      <c r="E42" s="200"/>
      <c r="F42" s="67"/>
      <c r="G42" s="67" t="s">
        <v>374</v>
      </c>
      <c r="H42" s="7" t="n">
        <f aca="false">(I32/H34)*(C45/100)</f>
        <v>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65"/>
      <c r="B43" s="266"/>
      <c r="C43" s="266"/>
      <c r="D43" s="266"/>
      <c r="E43" s="267"/>
      <c r="F43" s="67"/>
      <c r="G43" s="67" t="s">
        <v>375</v>
      </c>
      <c r="H43" s="67"/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370" t="s">
        <v>89</v>
      </c>
      <c r="B44" s="199"/>
      <c r="C44" s="371" t="s">
        <v>90</v>
      </c>
      <c r="D44" s="371"/>
      <c r="E44" s="200"/>
      <c r="F44" s="67"/>
      <c r="G44" s="67" t="s">
        <v>383</v>
      </c>
      <c r="H44" s="7" t="n">
        <f aca="false">(H40/(1+H41)^(H34+1))</f>
        <v>0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372" t="n">
        <v>30</v>
      </c>
      <c r="B45" s="199"/>
      <c r="C45" s="373" t="n">
        <v>30</v>
      </c>
      <c r="D45" s="373"/>
      <c r="E45" s="200"/>
      <c r="F45" s="67"/>
      <c r="G45" s="67" t="s">
        <v>384</v>
      </c>
      <c r="H45" s="7" t="n">
        <f aca="false">(H39-H44)</f>
        <v>14041.67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62"/>
      <c r="B46" s="263"/>
      <c r="C46" s="263"/>
      <c r="D46" s="263"/>
      <c r="E46" s="264"/>
      <c r="F46" s="67"/>
      <c r="G46" s="67" t="s">
        <v>385</v>
      </c>
      <c r="H46" s="7" t="n">
        <f aca="false">((1-(1/((1+H41)^H34)))/H41)</f>
        <v>30.4649969741457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98"/>
      <c r="B47" s="199"/>
      <c r="C47" s="199"/>
      <c r="D47" s="199"/>
      <c r="E47" s="200"/>
      <c r="F47" s="67"/>
      <c r="G47" s="67" t="s">
        <v>379</v>
      </c>
      <c r="H47" s="7" t="n">
        <f aca="false">H45/H46</f>
        <v>460.911583609102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374" t="s">
        <v>380</v>
      </c>
      <c r="H48" s="7" t="n">
        <f aca="false">IF(B26="YES",H47+H42,H47)</f>
        <v>460.911583609102</v>
      </c>
      <c r="I48" s="7" t="n">
        <f aca="false">I49-H42</f>
        <v>1400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 t="s">
        <v>381</v>
      </c>
      <c r="H49" s="261"/>
      <c r="I49" s="7" t="n">
        <v>1400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35000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35</v>
      </c>
      <c r="B52" s="78" t="n">
        <f aca="false">H48</f>
        <v>460.911583609102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199"/>
      <c r="N55" s="199"/>
      <c r="O55" s="199"/>
      <c r="P55" s="199"/>
      <c r="Q55" s="199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265"/>
      <c r="N56" s="266"/>
      <c r="O56" s="266"/>
      <c r="P56" s="266"/>
      <c r="Q56" s="2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IF(B99=Y97,1,IF(B99=Y98,1,IF(B99=Y99,3,IF(B99=Y100,6,IF(B99=Y101,9,IF(B99=Y102,12,IF(B99=Y103,3,IF(B99=Y104,6,IF(B99=Y105,9,0)))))))))</f>
        <v>1</v>
      </c>
      <c r="C57" s="199"/>
      <c r="D57" s="199"/>
      <c r="E57" s="200"/>
      <c r="F57" s="67"/>
      <c r="G57" s="198" t="s">
        <v>97</v>
      </c>
      <c r="H57" s="199" t="n">
        <f aca="false">IF(H99=Y97,1,IF(H99=Y98,1,IF(H99=Y99,3,IF(H99=Y100,6,IF(H99=Y101,9,IF(H99=Y102,12,IF(H99=Y103,3,IF(H99=Y104,6,IF(H99=Y105,9,0)))))))))</f>
        <v>6</v>
      </c>
      <c r="I57" s="199"/>
      <c r="J57" s="199"/>
      <c r="K57" s="200"/>
      <c r="L57" s="67"/>
      <c r="M57" s="198" t="s">
        <v>97</v>
      </c>
      <c r="N57" s="199" t="n">
        <f aca="false">IF(N99=Y97,1,IF(N99=Y98,1,IF(N99=Y99,3,IF(N99=Y100,6,IF(N99=Y101,9,IF(N99=Y102,12,IF(N99=Y103,3,IF(N99=Y104,6,IF(N99=Y105,9,0)))))))))</f>
        <v>6</v>
      </c>
      <c r="O57" s="199"/>
      <c r="P57" s="199"/>
      <c r="Q57" s="200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IF(B99=Y97,H29-B57,IF(B99=Y98,H29-B57,IF(B99=Y99,H29-1,IF(B99=Y100,H29-1,IF(B99=Y101,H29-1,IF(B99=Y102,H29-1,IF(B99=Y103,H29-B57,IF(B99=Y104,H29-B57,IF(B99=Y105,H29-B57,0)))))))))</f>
        <v>34</v>
      </c>
      <c r="C58" s="199"/>
      <c r="D58" s="199"/>
      <c r="E58" s="200"/>
      <c r="F58" s="67"/>
      <c r="G58" s="198" t="s">
        <v>98</v>
      </c>
      <c r="H58" s="199" t="n">
        <f aca="false">IF(H99=Y97,H29-H57,IF(H99=Y98,H29-H57,IF(H99=Y99,H29-1,IF(H99=Y100,H29-1,IF(H99=Y101,H29-1,IF(H99=Y102,H29-1,IF(H99=Y103,H29-H57,IF(H99=Y104,H29-H57,IF(H99=Y105,H29-H57,0)))))))))</f>
        <v>34</v>
      </c>
      <c r="I58" s="199"/>
      <c r="J58" s="199"/>
      <c r="K58" s="200"/>
      <c r="L58" s="67"/>
      <c r="M58" s="198" t="s">
        <v>98</v>
      </c>
      <c r="N58" s="199" t="n">
        <f aca="false">IF(N99=Y97,H29-N57,IF(N99=Y98,H29-N57,IF(N99=Y99,H29-1,IF(N99=Y100,H29-1,IF(N99=Y101,H29-1,IF(N99=Y102,H29-1,IF(N99=Y103,H29-N57,IF(N99=Y104,H29-N57,IF(N99=Y105,H29-N57,0)))))))))</f>
        <v>34</v>
      </c>
      <c r="O58" s="199"/>
      <c r="P58" s="199"/>
      <c r="Q58" s="200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198"/>
      <c r="N59" s="199"/>
      <c r="O59" s="199"/>
      <c r="P59" s="199"/>
      <c r="Q59" s="200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386</v>
      </c>
      <c r="B60" s="199" t="n">
        <f aca="false">E19</f>
        <v>16850.004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198"/>
      <c r="N60" s="199"/>
      <c r="O60" s="199"/>
      <c r="P60" s="199"/>
      <c r="Q60" s="200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v>40526</v>
      </c>
      <c r="C61" s="199"/>
      <c r="D61" s="199"/>
      <c r="E61" s="200"/>
      <c r="F61" s="67"/>
      <c r="G61" s="198" t="s">
        <v>27</v>
      </c>
      <c r="H61" s="36" t="n">
        <f aca="false">G18</f>
        <v>0</v>
      </c>
      <c r="I61" s="199"/>
      <c r="J61" s="199"/>
      <c r="K61" s="200"/>
      <c r="L61" s="67"/>
      <c r="M61" s="198" t="s">
        <v>27</v>
      </c>
      <c r="N61" s="36" t="n">
        <f aca="false">G18</f>
        <v>0</v>
      </c>
      <c r="O61" s="199"/>
      <c r="P61" s="199"/>
      <c r="Q61" s="200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268" t="s">
        <v>287</v>
      </c>
      <c r="N62" s="269" t="n">
        <v>0.07</v>
      </c>
      <c r="O62" s="199"/>
      <c r="P62" s="199"/>
      <c r="Q62" s="200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0.1035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0.103541666666667</v>
      </c>
      <c r="I63" s="199"/>
      <c r="J63" s="199"/>
      <c r="K63" s="200"/>
      <c r="L63" s="67"/>
      <c r="M63" s="198" t="s">
        <v>288</v>
      </c>
      <c r="N63" s="270" t="n">
        <f aca="false">N62+(N62*0.25*(H29/12-1))</f>
        <v>0.103541666666667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B60*B63</f>
        <v>1743.975414</v>
      </c>
      <c r="C64" s="375" t="n">
        <v>10000</v>
      </c>
      <c r="D64" s="36" t="n">
        <f aca="false">B64</f>
        <v>1743.975414</v>
      </c>
      <c r="E64" s="376" t="n">
        <f aca="false">D64/(B58+B57)</f>
        <v>49.8278689714286</v>
      </c>
      <c r="F64" s="67"/>
      <c r="G64" s="262" t="s">
        <v>103</v>
      </c>
      <c r="H64" s="69" t="n">
        <f aca="false">H61*H63</f>
        <v>0</v>
      </c>
      <c r="I64" s="199"/>
      <c r="J64" s="36" t="n">
        <f aca="false">H64-G145</f>
        <v>0</v>
      </c>
      <c r="K64" s="200"/>
      <c r="L64" s="67"/>
      <c r="M64" s="262" t="s">
        <v>103</v>
      </c>
      <c r="N64" s="69" t="n">
        <f aca="false">N61*N63</f>
        <v>0</v>
      </c>
      <c r="O64" s="199"/>
      <c r="P64" s="36" t="n">
        <f aca="false">N64-M145</f>
        <v>0</v>
      </c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36"/>
      <c r="E65" s="200"/>
      <c r="F65" s="67"/>
      <c r="G65" s="268" t="s">
        <v>104</v>
      </c>
      <c r="H65" s="269" t="n">
        <v>0.01</v>
      </c>
      <c r="I65" s="199"/>
      <c r="J65" s="199"/>
      <c r="K65" s="200"/>
      <c r="L65" s="67"/>
      <c r="M65" s="268" t="s">
        <v>104</v>
      </c>
      <c r="N65" s="269" t="n">
        <v>0.01</v>
      </c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377" t="s">
        <v>234</v>
      </c>
      <c r="D66" s="199"/>
      <c r="E66" s="200"/>
      <c r="F66" s="67"/>
      <c r="G66" s="198" t="s">
        <v>105</v>
      </c>
      <c r="H66" s="270" t="n">
        <f aca="false">H65+(H65*0.5*(H29/12-1))</f>
        <v>0.0195833333333333</v>
      </c>
      <c r="I66" s="199"/>
      <c r="J66" s="199"/>
      <c r="K66" s="200"/>
      <c r="L66" s="67"/>
      <c r="M66" s="198" t="s">
        <v>105</v>
      </c>
      <c r="N66" s="270" t="n">
        <f aca="false">N65+(N65*0.5*(H29/12-1))</f>
        <v>0.0195833333333333</v>
      </c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0</v>
      </c>
      <c r="C67" s="378" t="s">
        <v>234</v>
      </c>
      <c r="D67" s="379"/>
      <c r="E67" s="200"/>
      <c r="F67" s="67"/>
      <c r="G67" s="262" t="s">
        <v>106</v>
      </c>
      <c r="H67" s="69" t="n">
        <f aca="false">(H61*H66)/1.2</f>
        <v>0</v>
      </c>
      <c r="I67" s="199"/>
      <c r="J67" s="36"/>
      <c r="K67" s="200"/>
      <c r="L67" s="67"/>
      <c r="M67" s="262" t="s">
        <v>106</v>
      </c>
      <c r="N67" s="69" t="n">
        <f aca="false">(N61*N66)/1.2</f>
        <v>0</v>
      </c>
      <c r="O67" s="199"/>
      <c r="P67" s="36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380"/>
      <c r="D68" s="36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268" t="s">
        <v>107</v>
      </c>
      <c r="N68" s="269" t="n">
        <v>0.0075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272" t="s">
        <v>108</v>
      </c>
      <c r="N69" s="273" t="n">
        <v>0.12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0.0084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262" t="s">
        <v>109</v>
      </c>
      <c r="N70" s="381" t="n">
        <f aca="false">N68*(1+N69)</f>
        <v>0.0084</v>
      </c>
      <c r="O70" s="199"/>
      <c r="P70" s="199"/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268" t="s">
        <v>110</v>
      </c>
      <c r="N71" s="90" t="n">
        <v>160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272" t="s">
        <v>111</v>
      </c>
      <c r="N72" s="81" t="n">
        <v>4.5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157.5</v>
      </c>
      <c r="C73" s="199"/>
      <c r="D73" s="382" t="n">
        <f aca="false">B73+B71</f>
        <v>317.5</v>
      </c>
      <c r="E73" s="200" t="s">
        <v>240</v>
      </c>
      <c r="F73" s="67"/>
      <c r="G73" s="262" t="s">
        <v>112</v>
      </c>
      <c r="H73" s="69" t="n">
        <f aca="false">H72*H29</f>
        <v>157.5</v>
      </c>
      <c r="I73" s="199"/>
      <c r="J73" s="36" t="n">
        <f aca="false">H73+H71</f>
        <v>317.5</v>
      </c>
      <c r="K73" s="200"/>
      <c r="L73" s="67"/>
      <c r="M73" s="262" t="s">
        <v>112</v>
      </c>
      <c r="N73" s="69" t="n">
        <f aca="false">N72*H29</f>
        <v>157.5</v>
      </c>
      <c r="O73" s="199"/>
      <c r="P73" s="36" t="n">
        <f aca="false">N73+N71</f>
        <v>317.5</v>
      </c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290</v>
      </c>
      <c r="C74" s="199"/>
      <c r="D74" s="199"/>
      <c r="E74" s="200"/>
      <c r="F74" s="67"/>
      <c r="G74" s="268" t="s">
        <v>289</v>
      </c>
      <c r="H74" s="90" t="n">
        <v>165</v>
      </c>
      <c r="I74" s="199"/>
      <c r="J74" s="199"/>
      <c r="K74" s="200"/>
      <c r="L74" s="67"/>
      <c r="M74" s="339" t="s">
        <v>289</v>
      </c>
      <c r="N74" s="340" t="n">
        <v>0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/>
      <c r="D75" s="199"/>
      <c r="E75" s="200"/>
      <c r="F75" s="67"/>
      <c r="G75" s="272" t="s">
        <v>290</v>
      </c>
      <c r="H75" s="81" t="n">
        <v>0</v>
      </c>
      <c r="I75" s="199"/>
      <c r="J75" s="199"/>
      <c r="K75" s="200"/>
      <c r="L75" s="67"/>
      <c r="M75" s="341" t="s">
        <v>290</v>
      </c>
      <c r="N75" s="342" t="n">
        <v>0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((B74+B75)/12)*(H29+1)</f>
        <v>870</v>
      </c>
      <c r="C76" s="199"/>
      <c r="D76" s="36" t="n">
        <f aca="false">B76</f>
        <v>870</v>
      </c>
      <c r="E76" s="200"/>
      <c r="F76" s="67"/>
      <c r="G76" s="262" t="s">
        <v>291</v>
      </c>
      <c r="H76" s="69" t="n">
        <f aca="false">((H74+H75)/12)*(H29-11)</f>
        <v>330</v>
      </c>
      <c r="I76" s="199"/>
      <c r="J76" s="36" t="n">
        <f aca="false">H76</f>
        <v>330</v>
      </c>
      <c r="K76" s="200"/>
      <c r="L76" s="67"/>
      <c r="M76" s="343" t="s">
        <v>291</v>
      </c>
      <c r="N76" s="344" t="n">
        <f aca="false">((N74+N75)/12)*(H29-11)</f>
        <v>0</v>
      </c>
      <c r="O76" s="199"/>
      <c r="P76" s="36" t="n">
        <f aca="false">N76</f>
        <v>0</v>
      </c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5" t="s">
        <v>292</v>
      </c>
      <c r="B77" s="31" t="n">
        <f aca="false">B102/(1-J15)</f>
        <v>0</v>
      </c>
      <c r="C77" s="310"/>
      <c r="D77" s="36" t="n">
        <f aca="false">B77</f>
        <v>0</v>
      </c>
      <c r="E77" s="376" t="n">
        <f aca="false">D77/(B58+B57)</f>
        <v>0</v>
      </c>
      <c r="F77" s="67"/>
      <c r="G77" s="268" t="s">
        <v>292</v>
      </c>
      <c r="H77" s="90" t="n">
        <v>0</v>
      </c>
      <c r="I77" s="199"/>
      <c r="J77" s="36" t="n">
        <f aca="false">H77</f>
        <v>0</v>
      </c>
      <c r="K77" s="200"/>
      <c r="L77" s="67"/>
      <c r="M77" s="268" t="s">
        <v>292</v>
      </c>
      <c r="N77" s="90" t="n">
        <v>0</v>
      </c>
      <c r="O77" s="199"/>
      <c r="P77" s="36" t="n">
        <f aca="false">N77</f>
        <v>0</v>
      </c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0</v>
      </c>
      <c r="C78" s="310"/>
      <c r="D78" s="36" t="n">
        <f aca="false">B78</f>
        <v>0</v>
      </c>
      <c r="E78" s="376"/>
      <c r="F78" s="67"/>
      <c r="G78" s="198" t="s">
        <v>293</v>
      </c>
      <c r="H78" s="37" t="n">
        <v>0</v>
      </c>
      <c r="I78" s="199"/>
      <c r="J78" s="36" t="n">
        <f aca="false">H78</f>
        <v>0</v>
      </c>
      <c r="K78" s="200"/>
      <c r="L78" s="67"/>
      <c r="M78" s="198" t="s">
        <v>293</v>
      </c>
      <c r="N78" s="37" t="n">
        <v>0</v>
      </c>
      <c r="O78" s="199"/>
      <c r="P78" s="36" t="n">
        <f aca="false">N78</f>
        <v>0</v>
      </c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310"/>
      <c r="D79" s="36" t="n">
        <f aca="false">B79</f>
        <v>300</v>
      </c>
      <c r="E79" s="376"/>
      <c r="F79" s="67"/>
      <c r="G79" s="272" t="s">
        <v>113</v>
      </c>
      <c r="H79" s="81" t="n">
        <v>200</v>
      </c>
      <c r="I79" s="199"/>
      <c r="J79" s="36" t="n">
        <f aca="false">H79</f>
        <v>200</v>
      </c>
      <c r="K79" s="200"/>
      <c r="L79" s="67"/>
      <c r="M79" s="272" t="s">
        <v>113</v>
      </c>
      <c r="N79" s="81" t="n">
        <v>200</v>
      </c>
      <c r="O79" s="199"/>
      <c r="P79" s="36" t="n">
        <f aca="false">N79</f>
        <v>200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310"/>
      <c r="D80" s="36" t="n">
        <f aca="false">B80</f>
        <v>100</v>
      </c>
      <c r="E80" s="376" t="n">
        <f aca="false">(D73+D76+D79+D80)/(B58+B57)</f>
        <v>45.3571428571429</v>
      </c>
      <c r="F80" s="67"/>
      <c r="G80" s="275" t="s">
        <v>114</v>
      </c>
      <c r="H80" s="91" t="n">
        <v>200</v>
      </c>
      <c r="I80" s="199"/>
      <c r="J80" s="36" t="n">
        <f aca="false">H80</f>
        <v>200</v>
      </c>
      <c r="K80" s="200"/>
      <c r="L80" s="67"/>
      <c r="M80" s="275" t="s">
        <v>114</v>
      </c>
      <c r="N80" s="91" t="n">
        <v>200</v>
      </c>
      <c r="O80" s="199"/>
      <c r="P80" s="36" t="n">
        <f aca="false">N80</f>
        <v>200</v>
      </c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3331.475414</v>
      </c>
      <c r="C81" s="310"/>
      <c r="D81" s="383"/>
      <c r="E81" s="376"/>
      <c r="F81" s="67"/>
      <c r="G81" s="276" t="s">
        <v>115</v>
      </c>
      <c r="H81" s="277" t="n">
        <f aca="false">SUM(J64:J80)</f>
        <v>1047.5</v>
      </c>
      <c r="I81" s="199"/>
      <c r="J81" s="199"/>
      <c r="K81" s="200"/>
      <c r="L81" s="67"/>
      <c r="M81" s="276" t="s">
        <v>115</v>
      </c>
      <c r="N81" s="277" t="n">
        <f aca="false">SUM(P64:P80)</f>
        <v>717.5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95.1850118285714</v>
      </c>
      <c r="C82" s="310"/>
      <c r="D82" s="199"/>
      <c r="E82" s="376"/>
      <c r="F82" s="67"/>
      <c r="G82" s="198" t="s">
        <v>116</v>
      </c>
      <c r="H82" s="37" t="n">
        <f aca="false">H81/H29</f>
        <v>29.9285714285714</v>
      </c>
      <c r="I82" s="199"/>
      <c r="J82" s="199"/>
      <c r="K82" s="200"/>
      <c r="L82" s="67"/>
      <c r="M82" s="198" t="s">
        <v>116</v>
      </c>
      <c r="N82" s="37" t="n">
        <f aca="false">N81/H29</f>
        <v>20.5</v>
      </c>
      <c r="O82" s="199"/>
      <c r="P82" s="199"/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H47</f>
        <v>460.911583609102</v>
      </c>
      <c r="C83" s="310"/>
      <c r="D83" s="199"/>
      <c r="E83" s="376" t="n">
        <f aca="false">B83+E80+E77+E64</f>
        <v>556.096595437674</v>
      </c>
      <c r="F83" s="67"/>
      <c r="G83" s="278" t="s">
        <v>117</v>
      </c>
      <c r="H83" s="63" t="n">
        <f aca="false">H47</f>
        <v>460.911583609102</v>
      </c>
      <c r="I83" s="199"/>
      <c r="J83" s="199"/>
      <c r="K83" s="200"/>
      <c r="L83" s="67"/>
      <c r="M83" s="278" t="s">
        <v>117</v>
      </c>
      <c r="N83" s="63" t="n">
        <f aca="false">H47</f>
        <v>460.911583609102</v>
      </c>
      <c r="O83" s="199"/>
      <c r="P83" s="199"/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310"/>
      <c r="D84" s="310"/>
      <c r="E84" s="376"/>
      <c r="F84" s="67"/>
      <c r="G84" s="198"/>
      <c r="H84" s="36"/>
      <c r="I84" s="199"/>
      <c r="J84" s="199"/>
      <c r="K84" s="200"/>
      <c r="L84" s="67"/>
      <c r="M84" s="198"/>
      <c r="N84" s="36"/>
      <c r="O84" s="199"/>
      <c r="P84" s="199"/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((B83*H29)+B81)</f>
        <v>19463.3808403186</v>
      </c>
      <c r="C85" s="310"/>
      <c r="D85" s="310"/>
      <c r="E85" s="376" t="n">
        <f aca="false">B85/(B58+B57)</f>
        <v>556.096595437674</v>
      </c>
      <c r="F85" s="67"/>
      <c r="G85" s="265" t="s">
        <v>127</v>
      </c>
      <c r="H85" s="31" t="n">
        <f aca="false">((H83*H29)+H81)*1.2</f>
        <v>20615.2865115823</v>
      </c>
      <c r="I85" s="199"/>
      <c r="J85" s="199"/>
      <c r="K85" s="200"/>
      <c r="L85" s="67"/>
      <c r="M85" s="265" t="s">
        <v>127</v>
      </c>
      <c r="N85" s="31" t="n">
        <f aca="false">((N83*H29)+N81)</f>
        <v>16849.4054263186</v>
      </c>
      <c r="O85" s="199"/>
      <c r="P85" s="199"/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(((B83*H29)+B81)/(1-B70))*B70</f>
        <v>164.877368957923</v>
      </c>
      <c r="C86" s="310" t="s">
        <v>243</v>
      </c>
      <c r="D86" s="199"/>
      <c r="E86" s="376" t="n">
        <f aca="false">B86/(B58+B57)</f>
        <v>4.71078197022636</v>
      </c>
      <c r="F86" s="67"/>
      <c r="G86" s="198" t="s">
        <v>128</v>
      </c>
      <c r="H86" s="37" t="n">
        <f aca="false">((((H83*H29)+H81))/(1-H70))*H70</f>
        <v>145.52945298616</v>
      </c>
      <c r="I86" s="199"/>
      <c r="J86" s="199"/>
      <c r="K86" s="200"/>
      <c r="L86" s="67"/>
      <c r="M86" s="198" t="s">
        <v>128</v>
      </c>
      <c r="N86" s="37" t="n">
        <f aca="false">(N85/(1-N70))*N70</f>
        <v>142.733970936946</v>
      </c>
      <c r="O86" s="199"/>
      <c r="P86" s="199"/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19628.2582092765</v>
      </c>
      <c r="C87" s="310"/>
      <c r="D87" s="384"/>
      <c r="E87" s="376" t="n">
        <f aca="false">E86+E85</f>
        <v>560.8073774079</v>
      </c>
      <c r="F87" s="67"/>
      <c r="G87" s="262" t="s">
        <v>129</v>
      </c>
      <c r="H87" s="69" t="n">
        <f aca="false">IF(H110="YES",((H85+H86)-K114),(H85+H86))</f>
        <v>20760.8159645685</v>
      </c>
      <c r="I87" s="199"/>
      <c r="J87" s="199"/>
      <c r="K87" s="200"/>
      <c r="L87" s="67"/>
      <c r="M87" s="262" t="s">
        <v>129</v>
      </c>
      <c r="N87" s="69" t="n">
        <f aca="false">IF(N110="YES",((N85+N86)-Q114),(N85+N86))</f>
        <v>16992.1393972555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310"/>
      <c r="D88" s="199"/>
      <c r="E88" s="376"/>
      <c r="F88" s="67"/>
      <c r="G88" s="198"/>
      <c r="H88" s="36"/>
      <c r="I88" s="199"/>
      <c r="J88" s="199"/>
      <c r="K88" s="200"/>
      <c r="L88" s="67"/>
      <c r="M88" s="198"/>
      <c r="N88" s="36"/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7" t="n">
        <f aca="false">IF(B99=Y98,(I32+(I32*B105))/(B58),(I32+(I32*B105))/(B57+B58))*(C45/100)</f>
        <v>0</v>
      </c>
      <c r="C89" s="310"/>
      <c r="D89" s="199"/>
      <c r="E89" s="200"/>
      <c r="F89" s="67"/>
      <c r="G89" s="276" t="s">
        <v>130</v>
      </c>
      <c r="H89" s="277" t="n">
        <f aca="false">IF(H99=Y98,(D40+(D40*H105))/(H58),(D40+(D40*H105))/(H57+H58))*1.2</f>
        <v>0</v>
      </c>
      <c r="I89" s="199"/>
      <c r="J89" s="199"/>
      <c r="K89" s="200"/>
      <c r="L89" s="67"/>
      <c r="M89" s="276" t="s">
        <v>130</v>
      </c>
      <c r="N89" s="277" t="n">
        <f aca="false">IF(N99=Y98,(D40+(D40*N105))/(N58),(D40+(D40*N105))/(N57+N58))</f>
        <v>0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IF(B99=Y98,(B87-D105)/(B58),B87/(B57+B58))</f>
        <v>560.8073774079</v>
      </c>
      <c r="C90" s="310"/>
      <c r="D90" s="199"/>
      <c r="E90" s="385"/>
      <c r="F90" s="67"/>
      <c r="G90" s="280" t="s">
        <v>131</v>
      </c>
      <c r="H90" s="281" t="n">
        <f aca="false">IF(H99=Y98,(H87-J105)/(H58),H87/(H57+H58))</f>
        <v>519.020399114211</v>
      </c>
      <c r="I90" s="199"/>
      <c r="J90" s="199"/>
      <c r="K90" s="200"/>
      <c r="L90" s="67"/>
      <c r="M90" s="280" t="s">
        <v>131</v>
      </c>
      <c r="N90" s="281" t="n">
        <f aca="false">IF(N99=Y98,(N87-P105)/(N58),N87/(N57+N58))</f>
        <v>424.803484931388</v>
      </c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560.8073774079</v>
      </c>
      <c r="C91" s="310"/>
      <c r="D91" s="386"/>
      <c r="E91" s="333"/>
      <c r="F91" s="67"/>
      <c r="G91" s="282" t="s">
        <v>132</v>
      </c>
      <c r="H91" s="283" t="n">
        <f aca="false">IF(G105="YES",H90+H89,H90)</f>
        <v>519.020399114211</v>
      </c>
      <c r="I91" s="199"/>
      <c r="J91" s="199"/>
      <c r="K91" s="200"/>
      <c r="L91" s="67"/>
      <c r="M91" s="282" t="s">
        <v>132</v>
      </c>
      <c r="N91" s="283" t="n">
        <f aca="false">IF(M105="YES",N90+N89,N90)</f>
        <v>424.803484931388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61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262"/>
      <c r="N92" s="263"/>
      <c r="O92" s="263"/>
      <c r="P92" s="263"/>
      <c r="Q92" s="264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199"/>
      <c r="N93" s="199"/>
      <c r="O93" s="199"/>
      <c r="P93" s="199"/>
      <c r="Q93" s="199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56.2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197" t="s">
        <v>352</v>
      </c>
      <c r="N94" s="197"/>
      <c r="O94" s="197"/>
      <c r="P94" s="197"/>
      <c r="Q94" s="19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 t="s">
        <v>387</v>
      </c>
      <c r="F95" s="67"/>
      <c r="G95" s="198"/>
      <c r="H95" s="199"/>
      <c r="I95" s="199"/>
      <c r="J95" s="199"/>
      <c r="K95" s="200"/>
      <c r="L95" s="67"/>
      <c r="M95" s="198"/>
      <c r="N95" s="199"/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201" t="s">
        <v>137</v>
      </c>
      <c r="N96" s="201"/>
      <c r="O96" s="201"/>
      <c r="P96" s="201"/>
      <c r="Q96" s="201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387"/>
      <c r="C97" s="387"/>
      <c r="D97" s="199"/>
      <c r="E97" s="200"/>
      <c r="F97" s="67"/>
      <c r="G97" s="198"/>
      <c r="H97" s="199"/>
      <c r="I97" s="199"/>
      <c r="J97" s="199"/>
      <c r="K97" s="200"/>
      <c r="L97" s="67"/>
      <c r="M97" s="198"/>
      <c r="N97" s="199"/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 t="s">
        <v>141</v>
      </c>
      <c r="Z97" s="67"/>
      <c r="AC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198" t="s">
        <v>138</v>
      </c>
      <c r="N98" s="199" t="s">
        <v>36</v>
      </c>
      <c r="O98" s="199"/>
      <c r="P98" s="199" t="s">
        <v>295</v>
      </c>
      <c r="Q98" s="200"/>
      <c r="R98" s="67"/>
      <c r="S98" s="67"/>
      <c r="T98" s="67"/>
      <c r="U98" s="67"/>
      <c r="V98" s="67"/>
      <c r="W98" s="67"/>
      <c r="X98" s="67"/>
      <c r="Y98" s="67" t="s">
        <v>273</v>
      </c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0</v>
      </c>
      <c r="E99" s="109"/>
      <c r="F99" s="67"/>
      <c r="G99" s="204" t="s">
        <v>296</v>
      </c>
      <c r="H99" s="284" t="s">
        <v>275</v>
      </c>
      <c r="I99" s="284"/>
      <c r="J99" s="109" t="n">
        <v>0</v>
      </c>
      <c r="K99" s="109"/>
      <c r="L99" s="67"/>
      <c r="M99" s="204" t="s">
        <v>296</v>
      </c>
      <c r="N99" s="284" t="s">
        <v>275</v>
      </c>
      <c r="O99" s="284"/>
      <c r="P99" s="109" t="n">
        <v>0</v>
      </c>
      <c r="Q99" s="109"/>
      <c r="R99" s="67"/>
      <c r="S99" s="67"/>
      <c r="T99" s="67"/>
      <c r="U99" s="67"/>
      <c r="V99" s="67"/>
      <c r="W99" s="67"/>
      <c r="X99" s="67"/>
      <c r="Y99" s="67" t="s">
        <v>274</v>
      </c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198"/>
      <c r="N100" s="199"/>
      <c r="O100" s="199"/>
      <c r="P100" s="199"/>
      <c r="Q100" s="200"/>
      <c r="R100" s="67"/>
      <c r="S100" s="67"/>
      <c r="T100" s="67"/>
      <c r="U100" s="67"/>
      <c r="V100" s="67"/>
      <c r="W100" s="67"/>
      <c r="X100" s="67"/>
      <c r="Y100" s="67" t="s">
        <v>275</v>
      </c>
      <c r="Z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388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198" t="s">
        <v>297</v>
      </c>
      <c r="N101" s="199" t="s">
        <v>298</v>
      </c>
      <c r="O101" s="199"/>
      <c r="P101" s="199" t="s">
        <v>299</v>
      </c>
      <c r="Q101" s="200"/>
      <c r="R101" s="67"/>
      <c r="S101" s="67"/>
      <c r="T101" s="67"/>
      <c r="U101" s="67"/>
      <c r="V101" s="67"/>
      <c r="W101" s="67"/>
      <c r="X101" s="67"/>
      <c r="Y101" s="67" t="s">
        <v>276</v>
      </c>
      <c r="Z101" s="67"/>
    </row>
    <row r="102" customFormat="false" ht="18.75" hidden="false" customHeight="true" outlineLevel="0" collapsed="false">
      <c r="A102" s="285" t="n">
        <v>199.991666666667</v>
      </c>
      <c r="B102" s="109" t="n">
        <v>0</v>
      </c>
      <c r="C102" s="109"/>
      <c r="D102" s="109" t="n">
        <v>0</v>
      </c>
      <c r="E102" s="109"/>
      <c r="F102" s="67"/>
      <c r="G102" s="285" t="n">
        <v>199.99</v>
      </c>
      <c r="H102" s="109" t="n">
        <v>0</v>
      </c>
      <c r="I102" s="109"/>
      <c r="J102" s="109" t="n">
        <v>0</v>
      </c>
      <c r="K102" s="109"/>
      <c r="L102" s="67"/>
      <c r="M102" s="285" t="n">
        <v>199.99</v>
      </c>
      <c r="N102" s="109" t="n">
        <v>0</v>
      </c>
      <c r="O102" s="109"/>
      <c r="P102" s="109" t="n">
        <v>0</v>
      </c>
      <c r="Q102" s="109"/>
      <c r="R102" s="67"/>
      <c r="S102" s="67"/>
      <c r="T102" s="67"/>
      <c r="U102" s="67"/>
      <c r="V102" s="67"/>
      <c r="W102" s="67"/>
      <c r="X102" s="67"/>
      <c r="Y102" s="67" t="s">
        <v>277</v>
      </c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 t="s">
        <v>278</v>
      </c>
      <c r="Z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204" t="s">
        <v>139</v>
      </c>
      <c r="N104" s="67" t="s">
        <v>142</v>
      </c>
      <c r="O104" s="199"/>
      <c r="P104" s="199" t="s">
        <v>153</v>
      </c>
      <c r="Q104" s="200"/>
      <c r="R104" s="67"/>
      <c r="S104" s="67"/>
      <c r="T104" s="67"/>
      <c r="U104" s="67"/>
      <c r="V104" s="67"/>
      <c r="W104" s="67"/>
      <c r="X104" s="67"/>
      <c r="Y104" s="67" t="s">
        <v>279</v>
      </c>
      <c r="Z104" s="67"/>
    </row>
    <row r="105" customFormat="false" ht="18.75" hidden="false" customHeight="true" outlineLevel="0" collapsed="false">
      <c r="A105" s="206" t="s">
        <v>31</v>
      </c>
      <c r="B105" s="286" t="n">
        <v>0.2</v>
      </c>
      <c r="C105" s="286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/>
      <c r="K105" s="109"/>
      <c r="L105" s="67"/>
      <c r="M105" s="206" t="s">
        <v>31</v>
      </c>
      <c r="N105" s="286" t="n">
        <v>0.2</v>
      </c>
      <c r="O105" s="286"/>
      <c r="P105" s="109" t="n">
        <v>0</v>
      </c>
      <c r="Q105" s="109"/>
      <c r="R105" s="67"/>
      <c r="S105" s="67"/>
      <c r="T105" s="67"/>
      <c r="U105" s="67"/>
      <c r="V105" s="67"/>
      <c r="W105" s="67"/>
      <c r="X105" s="67"/>
      <c r="Y105" s="67" t="s">
        <v>280</v>
      </c>
      <c r="Z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198"/>
      <c r="N107" s="199" t="s">
        <v>353</v>
      </c>
      <c r="O107" s="206" t="s">
        <v>31</v>
      </c>
      <c r="P107" s="199"/>
      <c r="Q107" s="200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18.75" hidden="false" customHeight="true" outlineLevel="0" collapsed="false">
      <c r="A108" s="201" t="n">
        <v>199.99</v>
      </c>
      <c r="B108" s="201" t="n">
        <v>0</v>
      </c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201" t="s">
        <v>300</v>
      </c>
      <c r="N108" s="201"/>
      <c r="O108" s="201"/>
      <c r="P108" s="201"/>
      <c r="Q108" s="201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198" t="s">
        <v>301</v>
      </c>
      <c r="N110" s="206" t="s">
        <v>32</v>
      </c>
      <c r="O110" s="199"/>
      <c r="P110" s="199"/>
      <c r="Q110" s="200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8.75" hidden="false" customHeight="true" outlineLevel="0" collapsed="false">
      <c r="A111" s="198" t="s">
        <v>32</v>
      </c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198"/>
      <c r="N111" s="199"/>
      <c r="O111" s="199"/>
      <c r="P111" s="199"/>
      <c r="Q111" s="200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0</v>
      </c>
      <c r="K112" s="109" t="n">
        <v>0</v>
      </c>
      <c r="L112" s="67"/>
      <c r="M112" s="198" t="s">
        <v>186</v>
      </c>
      <c r="N112" s="199"/>
      <c r="O112" s="199"/>
      <c r="P112" s="285" t="n">
        <v>500</v>
      </c>
      <c r="Q112" s="109" t="n">
        <v>300</v>
      </c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0</v>
      </c>
      <c r="K113" s="109" t="n">
        <v>0</v>
      </c>
      <c r="L113" s="67"/>
      <c r="M113" s="198" t="s">
        <v>187</v>
      </c>
      <c r="N113" s="199"/>
      <c r="O113" s="199"/>
      <c r="P113" s="43" t="n">
        <f aca="false">Q113</f>
        <v>100</v>
      </c>
      <c r="Q113" s="109" t="n">
        <v>100</v>
      </c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0</v>
      </c>
      <c r="K114" s="157" t="n">
        <f aca="false">K112-K113</f>
        <v>0</v>
      </c>
      <c r="L114" s="67"/>
      <c r="M114" s="198" t="s">
        <v>188</v>
      </c>
      <c r="N114" s="199"/>
      <c r="O114" s="199"/>
      <c r="P114" s="43" t="n">
        <f aca="false">P112-P113</f>
        <v>400</v>
      </c>
      <c r="Q114" s="157" t="n">
        <f aca="false">Q112-Q113</f>
        <v>200</v>
      </c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0</v>
      </c>
      <c r="K115" s="200"/>
      <c r="L115" s="67"/>
      <c r="M115" s="198" t="s">
        <v>189</v>
      </c>
      <c r="N115" s="199"/>
      <c r="O115" s="199"/>
      <c r="P115" s="43" t="n">
        <f aca="false">P114-Q114</f>
        <v>200</v>
      </c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198"/>
      <c r="N116" s="199"/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265" t="s">
        <v>149</v>
      </c>
      <c r="N117" s="266"/>
      <c r="O117" s="266"/>
      <c r="P117" s="266"/>
      <c r="Q117" s="31" t="n">
        <f aca="false">P99</f>
        <v>0</v>
      </c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v>199.99</v>
      </c>
      <c r="F118" s="67"/>
      <c r="G118" s="198" t="s">
        <v>66</v>
      </c>
      <c r="H118" s="199"/>
      <c r="I118" s="199"/>
      <c r="J118" s="199"/>
      <c r="K118" s="37" t="n">
        <f aca="false">G102</f>
        <v>199.99</v>
      </c>
      <c r="L118" s="67"/>
      <c r="M118" s="198" t="s">
        <v>66</v>
      </c>
      <c r="N118" s="199"/>
      <c r="O118" s="199"/>
      <c r="P118" s="199"/>
      <c r="Q118" s="37" t="n">
        <f aca="false">M102</f>
        <v>199.99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(E118*1.2)+E117-E114</f>
        <v>239.988</v>
      </c>
      <c r="F119" s="67"/>
      <c r="G119" s="287" t="s">
        <v>302</v>
      </c>
      <c r="H119" s="263"/>
      <c r="I119" s="263"/>
      <c r="J119" s="263"/>
      <c r="K119" s="69" t="n">
        <f aca="false">((K118/1.2)+K117)-(J115-K113)</f>
        <v>166.658333333333</v>
      </c>
      <c r="L119" s="67"/>
      <c r="M119" s="287" t="s">
        <v>302</v>
      </c>
      <c r="N119" s="263"/>
      <c r="O119" s="263"/>
      <c r="P119" s="263"/>
      <c r="Q119" s="69" t="n">
        <f aca="false">(Q118+Q117)-P115</f>
        <v>-0.00999999999999091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198"/>
      <c r="N120" s="199"/>
      <c r="O120" s="199"/>
      <c r="P120" s="199"/>
      <c r="Q120" s="200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198"/>
      <c r="N121" s="199"/>
      <c r="O121" s="199"/>
      <c r="P121" s="199"/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201" t="s">
        <v>303</v>
      </c>
      <c r="N122" s="201"/>
      <c r="O122" s="201"/>
      <c r="P122" s="201"/>
      <c r="Q122" s="201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198"/>
      <c r="N123" s="199"/>
      <c r="O123" s="199"/>
      <c r="P123" s="199"/>
      <c r="Q123" s="200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198" t="s">
        <v>194</v>
      </c>
      <c r="N124" s="162" t="n">
        <v>0</v>
      </c>
      <c r="O124" s="162"/>
      <c r="P124" s="199"/>
      <c r="Q124" s="200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35</v>
      </c>
      <c r="C125" s="294"/>
      <c r="D125" s="293" t="n">
        <f aca="false">B160</f>
        <v>35000</v>
      </c>
      <c r="E125" s="291"/>
      <c r="F125" s="67"/>
      <c r="G125" s="198"/>
      <c r="H125" s="199"/>
      <c r="I125" s="199"/>
      <c r="J125" s="199"/>
      <c r="K125" s="200"/>
      <c r="L125" s="67"/>
      <c r="M125" s="198"/>
      <c r="N125" s="199"/>
      <c r="O125" s="199"/>
      <c r="P125" s="199"/>
      <c r="Q125" s="200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296" t="s">
        <v>306</v>
      </c>
      <c r="H126" s="297" t="s">
        <v>307</v>
      </c>
      <c r="I126" s="297"/>
      <c r="J126" s="297" t="s">
        <v>308</v>
      </c>
      <c r="K126" s="200"/>
      <c r="L126" s="67"/>
      <c r="M126" s="296" t="s">
        <v>354</v>
      </c>
      <c r="N126" s="297" t="s">
        <v>262</v>
      </c>
      <c r="O126" s="297"/>
      <c r="P126" s="297" t="s">
        <v>132</v>
      </c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300" t="n">
        <f aca="false">H90</f>
        <v>519.020399114211</v>
      </c>
      <c r="H127" s="166" t="n">
        <f aca="false">IF(G105="YES",H89*H57,0)</f>
        <v>0</v>
      </c>
      <c r="I127" s="166"/>
      <c r="J127" s="301" t="n">
        <f aca="false">H91</f>
        <v>519.020399114211</v>
      </c>
      <c r="K127" s="200"/>
      <c r="L127" s="67"/>
      <c r="M127" s="300" t="n">
        <f aca="false">N90</f>
        <v>424.803484931388</v>
      </c>
      <c r="N127" s="166" t="n">
        <f aca="false">IF(M105="YES",N89*N57,0)</f>
        <v>0</v>
      </c>
      <c r="O127" s="166"/>
      <c r="P127" s="166" t="n">
        <f aca="false">N91</f>
        <v>424.803484931388</v>
      </c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560.8073774079</v>
      </c>
      <c r="B128" s="290" t="n">
        <f aca="false">IF(A105="YES",B89,0)</f>
        <v>0</v>
      </c>
      <c r="C128" s="294"/>
      <c r="D128" s="290" t="n">
        <f aca="false">B91</f>
        <v>560.8073774079</v>
      </c>
      <c r="E128" s="291"/>
      <c r="F128" s="67"/>
      <c r="G128" s="198"/>
      <c r="H128" s="199"/>
      <c r="I128" s="199"/>
      <c r="J128" s="199"/>
      <c r="K128" s="200"/>
      <c r="L128" s="67"/>
      <c r="M128" s="198"/>
      <c r="N128" s="199"/>
      <c r="O128" s="199"/>
      <c r="P128" s="199"/>
      <c r="Q128" s="200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 t="s">
        <v>95</v>
      </c>
      <c r="H129" s="199" t="s">
        <v>96</v>
      </c>
      <c r="I129" s="199"/>
      <c r="J129" s="199" t="s">
        <v>98</v>
      </c>
      <c r="K129" s="200"/>
      <c r="L129" s="67"/>
      <c r="M129" s="198" t="s">
        <v>95</v>
      </c>
      <c r="N129" s="199" t="s">
        <v>96</v>
      </c>
      <c r="O129" s="199"/>
      <c r="P129" s="199" t="s">
        <v>98</v>
      </c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213" t="n">
        <f aca="false">G152</f>
        <v>35</v>
      </c>
      <c r="H130" s="168" t="n">
        <f aca="false">B151</f>
        <v>0</v>
      </c>
      <c r="I130" s="215"/>
      <c r="J130" s="214" t="n">
        <f aca="false">B58</f>
        <v>34</v>
      </c>
      <c r="K130" s="200"/>
      <c r="L130" s="67"/>
      <c r="M130" s="213" t="n">
        <f aca="false">M155</f>
        <v>35</v>
      </c>
      <c r="N130" s="168" t="n">
        <f aca="false">B151</f>
        <v>0</v>
      </c>
      <c r="O130" s="215"/>
      <c r="P130" s="214" t="n">
        <f aca="false">B58</f>
        <v>34</v>
      </c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560.8073774079</v>
      </c>
      <c r="C131" s="199"/>
      <c r="D131" s="42" t="n">
        <f aca="false">IF(A105="YES",B89*B57,0)</f>
        <v>0</v>
      </c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198" t="s">
        <v>355</v>
      </c>
      <c r="N132" s="199" t="s">
        <v>252</v>
      </c>
      <c r="O132" s="199"/>
      <c r="P132" s="199" t="s">
        <v>256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3114.12239468527</v>
      </c>
      <c r="H133" s="42" t="n">
        <f aca="false">IF(G105="YES",H89*H57,0)</f>
        <v>0</v>
      </c>
      <c r="I133" s="205"/>
      <c r="J133" s="170" t="n">
        <f aca="false">H91*H57</f>
        <v>3114.12239468527</v>
      </c>
      <c r="K133" s="200"/>
      <c r="L133" s="67"/>
      <c r="M133" s="171" t="n">
        <f aca="false">N90*N57</f>
        <v>2548.82090958833</v>
      </c>
      <c r="N133" s="42" t="n">
        <f aca="false">IF(M105="YES",N89*N57,0)</f>
        <v>0</v>
      </c>
      <c r="O133" s="205"/>
      <c r="P133" s="170" t="n">
        <f aca="false">N91*N57</f>
        <v>2548.82090958833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560.8073774079</v>
      </c>
      <c r="B134" s="42" t="n">
        <f aca="false">E114</f>
        <v>0</v>
      </c>
      <c r="C134" s="199"/>
      <c r="D134" s="303" t="n">
        <f aca="false">B58</f>
        <v>34</v>
      </c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198" t="s">
        <v>264</v>
      </c>
      <c r="N135" s="199" t="s">
        <v>265</v>
      </c>
      <c r="O135" s="199"/>
      <c r="P135" s="199" t="s">
        <v>269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113" t="n">
        <f aca="false">E15*0.000006</f>
        <v>0</v>
      </c>
      <c r="N136" s="42" t="n">
        <f aca="false">IF(M105="YES",E15*0.000002,0)</f>
        <v>0</v>
      </c>
      <c r="O136" s="42"/>
      <c r="P136" s="42" t="n">
        <f aca="false">M136+N136</f>
        <v>0</v>
      </c>
      <c r="Q136" s="10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560.8073774079</v>
      </c>
      <c r="B137" s="42" t="n">
        <f aca="false">IF(A105="YES",B89,0)</f>
        <v>0</v>
      </c>
      <c r="C137" s="199"/>
      <c r="D137" s="42" t="n">
        <f aca="false">B91</f>
        <v>560.8073774079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198" t="s">
        <v>152</v>
      </c>
      <c r="N138" s="199" t="s">
        <v>320</v>
      </c>
      <c r="O138" s="199"/>
      <c r="P138" s="199" t="s">
        <v>321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199.99</v>
      </c>
      <c r="H139" s="42" t="n">
        <f aca="false">H67</f>
        <v>0</v>
      </c>
      <c r="I139" s="42"/>
      <c r="J139" s="42" t="n">
        <f aca="false">H102*0.9</f>
        <v>0</v>
      </c>
      <c r="K139" s="107"/>
      <c r="L139" s="67"/>
      <c r="M139" s="113" t="n">
        <f aca="false">M102</f>
        <v>199.99</v>
      </c>
      <c r="N139" s="42" t="n">
        <f aca="false">N67</f>
        <v>0</v>
      </c>
      <c r="O139" s="42"/>
      <c r="P139" s="42" t="n">
        <f aca="false">N102*0.9</f>
        <v>0</v>
      </c>
      <c r="Q139" s="10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(B61*0.000006)*100</f>
        <v>24.3156</v>
      </c>
      <c r="B140" s="309" t="n">
        <f aca="false">IF(A105="YES",B61*0.000002,0)*100</f>
        <v>8.1052</v>
      </c>
      <c r="C140" s="310"/>
      <c r="D140" s="309" t="n">
        <f aca="false">A140+B140</f>
        <v>32.4208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198" t="s">
        <v>323</v>
      </c>
      <c r="N141" s="199" t="s">
        <v>324</v>
      </c>
      <c r="O141" s="199"/>
      <c r="P141" s="199" t="s">
        <v>325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IF(G105="YES",((B36*H105)*0.1)*(G130),0)</f>
        <v>0</v>
      </c>
      <c r="H142" s="42" t="n">
        <f aca="false">G102-100</f>
        <v>99.99</v>
      </c>
      <c r="I142" s="42"/>
      <c r="J142" s="42" t="e">
        <f aca="false">(H139+J139+G142+H142)-H145</f>
        <v>#DIV/0!</v>
      </c>
      <c r="K142" s="107"/>
      <c r="L142" s="67"/>
      <c r="M142" s="113" t="n">
        <f aca="false">IF(M105="YES",((B36*N105)*0.1)*(M130),0)</f>
        <v>0</v>
      </c>
      <c r="N142" s="42" t="n">
        <f aca="false">M102-100</f>
        <v>99.99</v>
      </c>
      <c r="O142" s="42"/>
      <c r="P142" s="42" t="e">
        <f aca="false">(N139+P139+M142+N142)-N145</f>
        <v>#DIV/0!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199.99</v>
      </c>
      <c r="C143" s="199"/>
      <c r="D143" s="142" t="n">
        <f aca="false">B102</f>
        <v>0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198" t="s">
        <v>327</v>
      </c>
      <c r="N144" s="199" t="s">
        <v>328</v>
      </c>
      <c r="O144" s="199"/>
      <c r="P144" s="199"/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v>0</v>
      </c>
      <c r="H145" s="42" t="e">
        <f aca="false">(H139+J139+G142+H142)*(G145/H64)</f>
        <v>#DIV/0!</v>
      </c>
      <c r="I145" s="199"/>
      <c r="J145" s="199"/>
      <c r="K145" s="200"/>
      <c r="L145" s="67"/>
      <c r="M145" s="113" t="n">
        <v>0</v>
      </c>
      <c r="N145" s="42" t="e">
        <f aca="false">(N139+P139+M142+N142)*(M145/N64)</f>
        <v>#DIV/0!</v>
      </c>
      <c r="O145" s="199"/>
      <c r="P145" s="199"/>
      <c r="Q145" s="200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113"/>
      <c r="N146" s="42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4" t="s">
        <v>356</v>
      </c>
      <c r="N147" s="43" t="s">
        <v>357</v>
      </c>
      <c r="O147" s="199"/>
      <c r="P147" s="199"/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0</v>
      </c>
      <c r="B148" s="42" t="n">
        <f aca="false">B102</f>
        <v>0</v>
      </c>
      <c r="C148" s="42"/>
      <c r="D148" s="42" t="n">
        <f aca="false">IF(A105="YES",(B40*B105)*B125,0)*0.1</f>
        <v>0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348" t="n">
        <v>18000</v>
      </c>
      <c r="N148" s="349" t="n">
        <v>0.99</v>
      </c>
      <c r="O148" s="349"/>
      <c r="P148" s="199"/>
      <c r="Q148" s="200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198"/>
      <c r="N150" s="199"/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20</v>
      </c>
      <c r="E151" s="107"/>
      <c r="F151" s="67"/>
      <c r="G151" s="233"/>
      <c r="H151" s="235" t="n">
        <f aca="false">B51</f>
        <v>35000</v>
      </c>
      <c r="I151" s="235"/>
      <c r="J151" s="199"/>
      <c r="K151" s="200"/>
      <c r="L151" s="67"/>
      <c r="M151" s="258" t="s">
        <v>333</v>
      </c>
      <c r="N151" s="199"/>
      <c r="O151" s="199"/>
      <c r="P151" s="259"/>
      <c r="Q151" s="26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35</v>
      </c>
      <c r="H152" s="78" t="n">
        <f aca="false">H91</f>
        <v>519.020399114211</v>
      </c>
      <c r="I152" s="78"/>
      <c r="J152" s="199"/>
      <c r="K152" s="200"/>
      <c r="L152" s="67"/>
      <c r="M152" s="198"/>
      <c r="N152" s="232"/>
      <c r="O152" s="232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233" t="s">
        <v>95</v>
      </c>
      <c r="N153" s="234" t="s">
        <v>96</v>
      </c>
      <c r="O153" s="234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D102</f>
        <v>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233"/>
      <c r="N154" s="235" t="n">
        <f aca="false">B51</f>
        <v>35000</v>
      </c>
      <c r="O154" s="235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237" t="n">
        <f aca="false">A52</f>
        <v>35</v>
      </c>
      <c r="N155" s="78" t="n">
        <f aca="false">N91</f>
        <v>424.803484931388</v>
      </c>
      <c r="O155" s="78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198"/>
      <c r="N157" s="199"/>
      <c r="O157" s="199"/>
      <c r="P157" s="199"/>
      <c r="Q157" s="20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198"/>
      <c r="N158" s="199"/>
      <c r="O158" s="199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198"/>
      <c r="N159" s="199"/>
      <c r="O159" s="199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35000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198"/>
      <c r="N160" s="199"/>
      <c r="O160" s="199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35</v>
      </c>
      <c r="B161" s="78" t="n">
        <f aca="false">B91</f>
        <v>560.8073774079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198"/>
      <c r="N161" s="199"/>
      <c r="O161" s="199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262"/>
      <c r="N162" s="263"/>
      <c r="O162" s="263"/>
      <c r="P162" s="263"/>
      <c r="Q162" s="264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198"/>
      <c r="B165" s="199"/>
      <c r="C165" s="199"/>
      <c r="D165" s="199"/>
      <c r="E165" s="200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62"/>
      <c r="B166" s="263"/>
      <c r="C166" s="263"/>
      <c r="D166" s="263"/>
      <c r="E166" s="264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293" t="n">
        <f aca="false">A161</f>
        <v>35</v>
      </c>
      <c r="C174" s="294"/>
      <c r="D174" s="293" t="n">
        <f aca="false">D125</f>
        <v>35000</v>
      </c>
      <c r="E174" s="291"/>
      <c r="F174" s="67"/>
      <c r="G174" s="67" t="s">
        <v>389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B90</f>
        <v>560.8073774079</v>
      </c>
      <c r="B177" s="290" t="n">
        <f aca="false">IF(A105="YES",B89,0)</f>
        <v>0</v>
      </c>
      <c r="C177" s="294"/>
      <c r="D177" s="290" t="n">
        <f aca="false">B91</f>
        <v>560.8073774079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B99</f>
        <v> Monthly in advance </v>
      </c>
      <c r="B180" s="42" t="n">
        <f aca="false">B90*B57</f>
        <v>560.8073774079</v>
      </c>
      <c r="C180" s="199"/>
      <c r="D180" s="42" t="n">
        <f aca="false">IF(A105="YES",B89*B57,0)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B91*B57</f>
        <v>560.8073774079</v>
      </c>
      <c r="B183" s="42" t="n">
        <f aca="false">E114</f>
        <v>0</v>
      </c>
      <c r="C183" s="199"/>
      <c r="D183" s="303" t="n">
        <f aca="false">B58</f>
        <v>34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B90</f>
        <v>560.8073774079</v>
      </c>
      <c r="B186" s="42" t="n">
        <f aca="false">IF(A105="YES",B89,0)</f>
        <v>0</v>
      </c>
      <c r="C186" s="199"/>
      <c r="D186" s="42" t="n">
        <f aca="false">B91</f>
        <v>560.8073774079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A140</f>
        <v>24.3156</v>
      </c>
      <c r="B189" s="309" t="n">
        <f aca="false">B140</f>
        <v>8.1052</v>
      </c>
      <c r="C189" s="310"/>
      <c r="D189" s="309" t="n">
        <f aca="false">A189+B189</f>
        <v>32.4208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E118</f>
        <v>199.99</v>
      </c>
      <c r="C192" s="199"/>
      <c r="D192" s="142" t="n">
        <f aca="false">B102</f>
        <v>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B67</f>
        <v>0</v>
      </c>
      <c r="B197" s="42" t="n">
        <f aca="false">B102</f>
        <v>0</v>
      </c>
      <c r="C197" s="42"/>
      <c r="D197" s="42" t="n">
        <f aca="false">IF(A105="YES",(B40*B105)*B125,0)*0.1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A151</f>
        <v>20</v>
      </c>
      <c r="B200" s="42" t="n">
        <f aca="false">(A148+B148+D148+A151)*(A143/B64)</f>
        <v>0</v>
      </c>
      <c r="C200" s="42"/>
      <c r="D200" s="42" t="n">
        <f aca="false">D151</f>
        <v>20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D102</f>
        <v>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0.095</v>
      </c>
      <c r="C209" s="290" t="s">
        <v>228</v>
      </c>
      <c r="D209" s="320" t="n">
        <f aca="false">D64</f>
        <v>1743.975414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0</v>
      </c>
      <c r="C211" s="289" t="s">
        <v>230</v>
      </c>
      <c r="D211" s="320" t="n">
        <f aca="false">B225+E221+B221+B223</f>
        <v>20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1763.975414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D64</f>
        <v>1743.975414</v>
      </c>
      <c r="C217" s="223" t="s">
        <v>234</v>
      </c>
      <c r="D217" s="199"/>
      <c r="E217" s="270" t="n">
        <f aca="false">B66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B67</f>
        <v>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(B77-(B77*(E219)))*J15</f>
        <v>0</v>
      </c>
      <c r="C221" s="205" t="s">
        <v>236</v>
      </c>
      <c r="D221" s="199"/>
      <c r="E221" s="37" t="n">
        <f aca="false">A200</f>
        <v>20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B78-(B78*(E219))</f>
        <v>0</v>
      </c>
      <c r="C223" s="205" t="s">
        <v>231</v>
      </c>
      <c r="D223" s="199"/>
      <c r="E223" s="37" t="n">
        <f aca="false">(B217-B211+D211)</f>
        <v>1763.975414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B71</f>
        <v>160</v>
      </c>
      <c r="C229" s="205" t="s">
        <v>239</v>
      </c>
      <c r="D229" s="312"/>
      <c r="E229" s="140" t="n">
        <f aca="false">B72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D73</f>
        <v>317.5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B68</f>
        <v>0.0075</v>
      </c>
      <c r="C231" s="205" t="s">
        <v>242</v>
      </c>
      <c r="D231" s="312"/>
      <c r="E231" s="270" t="n">
        <f aca="false">B69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B86</f>
        <v>164.877368957923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B79</f>
        <v>300</v>
      </c>
      <c r="C233" s="327" t="s">
        <v>340</v>
      </c>
      <c r="D233" s="328"/>
      <c r="E233" s="140" t="n">
        <f aca="false">B74</f>
        <v>290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B80</f>
        <v>100</v>
      </c>
      <c r="C235" s="331" t="s">
        <v>341</v>
      </c>
      <c r="D235" s="331"/>
      <c r="E235" s="140" t="n">
        <f aca="false">B75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64">
    <mergeCell ref="A1:F1"/>
    <mergeCell ref="D7:E18"/>
    <mergeCell ref="A16:C18"/>
    <mergeCell ref="A19:D19"/>
    <mergeCell ref="A21:D21"/>
    <mergeCell ref="A24:E24"/>
    <mergeCell ref="A28:E28"/>
    <mergeCell ref="B30:C30"/>
    <mergeCell ref="G38:H38"/>
    <mergeCell ref="B40:C40"/>
    <mergeCell ref="C44:D44"/>
    <mergeCell ref="C45:D45"/>
    <mergeCell ref="A50:A51"/>
    <mergeCell ref="B50:C50"/>
    <mergeCell ref="B51:C51"/>
    <mergeCell ref="B52:C52"/>
    <mergeCell ref="A94:E94"/>
    <mergeCell ref="G94:K94"/>
    <mergeCell ref="M94:Q94"/>
    <mergeCell ref="A96:E96"/>
    <mergeCell ref="G96:K96"/>
    <mergeCell ref="M96:Q96"/>
    <mergeCell ref="B97:C97"/>
    <mergeCell ref="B99:C99"/>
    <mergeCell ref="D99:E99"/>
    <mergeCell ref="H99:I99"/>
    <mergeCell ref="J99:K99"/>
    <mergeCell ref="N99:O99"/>
    <mergeCell ref="P99:Q99"/>
    <mergeCell ref="B102:C102"/>
    <mergeCell ref="D102:E102"/>
    <mergeCell ref="H102:I102"/>
    <mergeCell ref="J102:K102"/>
    <mergeCell ref="N102:O102"/>
    <mergeCell ref="P102:Q102"/>
    <mergeCell ref="B105:C105"/>
    <mergeCell ref="D105:E105"/>
    <mergeCell ref="H105:I105"/>
    <mergeCell ref="J105:K105"/>
    <mergeCell ref="N105:O105"/>
    <mergeCell ref="P105:Q105"/>
    <mergeCell ref="A108:E108"/>
    <mergeCell ref="G108:K108"/>
    <mergeCell ref="M108:Q108"/>
    <mergeCell ref="A122:E122"/>
    <mergeCell ref="G122:K122"/>
    <mergeCell ref="M122:Q122"/>
    <mergeCell ref="H124:I124"/>
    <mergeCell ref="N124:O124"/>
    <mergeCell ref="N148:O148"/>
    <mergeCell ref="G150:G151"/>
    <mergeCell ref="H150:I150"/>
    <mergeCell ref="H151:I151"/>
    <mergeCell ref="H152:I152"/>
    <mergeCell ref="M153:M154"/>
    <mergeCell ref="N153:O153"/>
    <mergeCell ref="N154:O154"/>
    <mergeCell ref="N155:O155"/>
    <mergeCell ref="A159:A160"/>
    <mergeCell ref="B159:C159"/>
    <mergeCell ref="B160:C160"/>
    <mergeCell ref="B161:C161"/>
    <mergeCell ref="A171:E171"/>
    <mergeCell ref="A207:E207"/>
  </mergeCells>
  <dataValidations count="3">
    <dataValidation allowBlank="true" errorStyle="stop" operator="between" showDropDown="false" showErrorMessage="true" showInputMessage="false" sqref="H99 N99 G105 M105 O107 H110 N110" type="list">
      <formula1>#ref!</formula1>
      <formula2>0</formula2>
    </dataValidation>
    <dataValidation allowBlank="true" errorStyle="stop" operator="between" showDropDown="false" showErrorMessage="true" showInputMessage="false" sqref="B26 A105 B110" type="list">
      <formula1>'Formula1-BCH'!$I$3:$I$4</formula1>
      <formula2>0</formula2>
    </dataValidation>
    <dataValidation allowBlank="true" errorStyle="stop" operator="between" showDropDown="false" showErrorMessage="true" showInputMessage="false" sqref="B99" type="list">
      <formula1>'Formula1-BCH'!$Y$97:$Y$105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70" activeCellId="0" sqref="F270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2" customWidth="true" hidden="false" style="6" width="18.88" collapsed="false" outlineLevel="0"/>
    <col min="13" max="13" customWidth="true" hidden="false" style="6" width="22.5" collapsed="false" outlineLevel="0"/>
    <col min="14" max="14" customWidth="true" hidden="false" style="6" width="20.88" collapsed="false" outlineLevel="0"/>
    <col min="15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21000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 t="s">
        <v>10</v>
      </c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17708.33</v>
      </c>
      <c r="C9" s="14" t="n">
        <f aca="false">B9*0.2</f>
        <v>3500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37404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22.05" hidden="false" customHeight="false" outlineLevel="0" collapsed="false">
      <c r="A26" s="32" t="s">
        <v>35</v>
      </c>
      <c r="B26" s="32"/>
      <c r="C26" s="32"/>
      <c r="D26" s="32"/>
      <c r="E26" s="32"/>
      <c r="F26" s="32"/>
      <c r="G26" s="32"/>
      <c r="H26" s="32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18.75" hidden="false" customHeight="false" outlineLevel="0" collapsed="false">
      <c r="A28" s="40" t="s">
        <v>36</v>
      </c>
      <c r="B28" s="36" t="s">
        <v>39</v>
      </c>
      <c r="C28" s="36"/>
      <c r="D28" s="36"/>
      <c r="E28" s="36"/>
      <c r="F28" s="36"/>
      <c r="G28" s="36"/>
      <c r="H28" s="37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/>
      <c r="I29" s="36"/>
      <c r="J29" s="33" t="s">
        <v>41</v>
      </c>
      <c r="K29" s="41" t="str">
        <f aca="false">A34</f>
        <v>12</v>
      </c>
    </row>
    <row r="30" customFormat="false" ht="18.75" hidden="false" customHeight="false" outlineLevel="0" collapsed="false">
      <c r="A30" s="40" t="s">
        <v>42</v>
      </c>
      <c r="B30" s="36"/>
      <c r="C30" s="42" t="s">
        <v>43</v>
      </c>
      <c r="D30" s="43"/>
      <c r="E30" s="36"/>
      <c r="F30" s="42" t="s">
        <v>44</v>
      </c>
      <c r="G30" s="43"/>
      <c r="H30" s="37"/>
      <c r="I30" s="36"/>
      <c r="J30" s="33" t="s">
        <v>45</v>
      </c>
      <c r="K30" s="41" t="str">
        <f aca="false">C34</f>
        <v>5000</v>
      </c>
    </row>
    <row r="31" customFormat="false" ht="18.75" hidden="false" customHeight="false" outlineLevel="0" collapsed="false">
      <c r="A31" s="44" t="s">
        <v>46</v>
      </c>
      <c r="B31" s="36"/>
      <c r="C31" s="45" t="s">
        <v>47</v>
      </c>
      <c r="D31" s="45"/>
      <c r="E31" s="36"/>
      <c r="F31" s="45"/>
      <c r="G31" s="45"/>
      <c r="H31" s="37"/>
      <c r="I31" s="36"/>
      <c r="J31" s="33" t="s">
        <v>48</v>
      </c>
      <c r="K31" s="46" t="n">
        <f aca="false">A43</f>
        <v>6000</v>
      </c>
    </row>
    <row r="32" customFormat="false" ht="34.3" hidden="false" customHeight="false" outlineLevel="0" collapsed="false">
      <c r="A32" s="40"/>
      <c r="B32" s="47"/>
      <c r="C32" s="47"/>
      <c r="D32" s="47"/>
      <c r="E32" s="47"/>
      <c r="F32" s="47"/>
      <c r="G32" s="47"/>
      <c r="H32" s="37"/>
      <c r="I32" s="7"/>
      <c r="J32" s="33" t="s">
        <v>49</v>
      </c>
      <c r="K32" s="46" t="n">
        <f aca="false">A46</f>
        <v>0</v>
      </c>
      <c r="M32" s="48" t="s">
        <v>50</v>
      </c>
      <c r="N32" s="49" t="s">
        <v>51</v>
      </c>
    </row>
    <row r="33" customFormat="false" ht="18.75" hidden="false" customHeight="false" outlineLevel="0" collapsed="false">
      <c r="A33" s="40" t="s">
        <v>52</v>
      </c>
      <c r="B33" s="36"/>
      <c r="C33" s="50" t="s">
        <v>53</v>
      </c>
      <c r="D33" s="43"/>
      <c r="E33" s="36"/>
      <c r="F33" s="42" t="s">
        <v>54</v>
      </c>
      <c r="G33" s="43"/>
      <c r="H33" s="51"/>
      <c r="I33" s="7"/>
      <c r="J33" s="38"/>
      <c r="K33" s="52"/>
      <c r="M33" s="48"/>
      <c r="N33" s="17"/>
    </row>
    <row r="34" customFormat="false" ht="18.75" hidden="false" customHeight="false" outlineLevel="0" collapsed="false">
      <c r="A34" s="44" t="s">
        <v>55</v>
      </c>
      <c r="B34" s="36"/>
      <c r="C34" s="45" t="s">
        <v>56</v>
      </c>
      <c r="D34" s="45"/>
      <c r="E34" s="36"/>
      <c r="F34" s="45" t="n">
        <f aca="false">(A34/12)*C34</f>
        <v>5000</v>
      </c>
      <c r="G34" s="45"/>
      <c r="H34" s="51"/>
      <c r="I34" s="7"/>
      <c r="J34" s="7"/>
      <c r="K34" s="7"/>
      <c r="M34" s="48" t="s">
        <v>57</v>
      </c>
      <c r="N34" s="53" t="s">
        <v>58</v>
      </c>
    </row>
    <row r="35" customFormat="false" ht="21.6" hidden="false" customHeight="false" outlineLevel="0" collapsed="false">
      <c r="A35" s="35"/>
      <c r="B35" s="36"/>
      <c r="C35" s="36"/>
      <c r="E35" s="36"/>
      <c r="F35" s="47"/>
      <c r="G35" s="47"/>
      <c r="H35" s="51"/>
      <c r="I35" s="7"/>
      <c r="J35" s="54" t="s">
        <v>59</v>
      </c>
      <c r="K35" s="55" t="n">
        <v>0.065</v>
      </c>
      <c r="M35" s="48"/>
      <c r="N35" s="17" t="s">
        <v>10</v>
      </c>
    </row>
    <row r="36" customFormat="false" ht="18.75" hidden="false" customHeight="false" outlineLevel="0" collapsed="false">
      <c r="A36" s="40" t="s">
        <v>60</v>
      </c>
      <c r="B36" s="36"/>
      <c r="C36" s="42" t="s">
        <v>61</v>
      </c>
      <c r="D36" s="43"/>
      <c r="E36" s="36"/>
      <c r="F36" s="42" t="s">
        <v>62</v>
      </c>
      <c r="G36" s="43"/>
      <c r="H36" s="51"/>
      <c r="I36" s="7"/>
      <c r="J36" s="7" t="s">
        <v>63</v>
      </c>
      <c r="K36" s="7" t="n">
        <f aca="false">C40</f>
        <v>11</v>
      </c>
      <c r="M36" s="48" t="s">
        <v>64</v>
      </c>
      <c r="N36" s="56" t="n">
        <f aca="false">N32-N34</f>
        <v>22125</v>
      </c>
    </row>
    <row r="37" customFormat="false" ht="18.75" hidden="false" customHeight="false" outlineLevel="0" collapsed="false">
      <c r="A37" s="40" t="n">
        <f aca="false">E19</f>
        <v>21000</v>
      </c>
      <c r="B37" s="36"/>
      <c r="C37" s="45" t="s">
        <v>58</v>
      </c>
      <c r="D37" s="45"/>
      <c r="E37" s="36"/>
      <c r="F37" s="47" t="n">
        <f aca="false">A37-C37</f>
        <v>20000</v>
      </c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40"/>
      <c r="B38" s="47"/>
      <c r="C38" s="47"/>
      <c r="D38" s="47"/>
      <c r="E38" s="47"/>
      <c r="F38" s="47"/>
      <c r="G38" s="47"/>
      <c r="H38" s="51"/>
      <c r="J38" s="57" t="s">
        <v>65</v>
      </c>
      <c r="K38" s="57"/>
      <c r="L38" s="7"/>
    </row>
    <row r="39" customFormat="false" ht="18.75" hidden="false" customHeight="false" outlineLevel="0" collapsed="false">
      <c r="A39" s="40" t="s">
        <v>66</v>
      </c>
      <c r="B39" s="36"/>
      <c r="C39" s="43" t="s">
        <v>67</v>
      </c>
      <c r="D39" s="42"/>
      <c r="E39" s="36"/>
      <c r="F39" s="42" t="s">
        <v>68</v>
      </c>
      <c r="G39" s="43"/>
      <c r="H39" s="51"/>
      <c r="J39" s="7" t="s">
        <v>69</v>
      </c>
      <c r="K39" s="7" t="str">
        <f aca="false">F40</f>
        <v>500</v>
      </c>
      <c r="L39" s="7"/>
    </row>
    <row r="40" customFormat="false" ht="18.75" hidden="false" customHeight="false" outlineLevel="0" collapsed="false">
      <c r="A40" s="44" t="s">
        <v>55</v>
      </c>
      <c r="B40" s="36"/>
      <c r="C40" s="58" t="n">
        <f aca="false">A34-1</f>
        <v>11</v>
      </c>
      <c r="D40" s="58"/>
      <c r="E40" s="36"/>
      <c r="F40" s="45" t="s">
        <v>70</v>
      </c>
      <c r="G40" s="45"/>
      <c r="H40" s="51"/>
      <c r="J40" s="7" t="s">
        <v>71</v>
      </c>
      <c r="K40" s="7" t="n">
        <f aca="false">C15</f>
        <v>3500</v>
      </c>
      <c r="L40" s="7"/>
    </row>
    <row r="41" customFormat="false" ht="18.75" hidden="false" customHeight="false" outlineLevel="0" collapsed="false">
      <c r="A41" s="40"/>
      <c r="B41" s="47"/>
      <c r="C41" s="47"/>
      <c r="D41" s="47"/>
      <c r="E41" s="47"/>
      <c r="F41" s="47"/>
      <c r="G41" s="47"/>
      <c r="H41" s="51"/>
      <c r="J41" s="7" t="s">
        <v>72</v>
      </c>
      <c r="K41" s="7" t="n">
        <f aca="false">IF(F43="Yes",A46,0)</f>
        <v>0</v>
      </c>
      <c r="L41" s="7"/>
    </row>
    <row r="42" customFormat="false" ht="18.75" hidden="false" customHeight="false" outlineLevel="0" collapsed="false">
      <c r="A42" s="40" t="s">
        <v>73</v>
      </c>
      <c r="B42" s="36"/>
      <c r="C42" s="42" t="s">
        <v>74</v>
      </c>
      <c r="D42" s="43"/>
      <c r="E42" s="36"/>
      <c r="F42" s="42" t="s">
        <v>75</v>
      </c>
      <c r="G42" s="43"/>
      <c r="H42" s="51"/>
      <c r="J42" s="7" t="s">
        <v>76</v>
      </c>
      <c r="K42" s="7" t="n">
        <f aca="false">A43</f>
        <v>6000</v>
      </c>
      <c r="L42" s="7"/>
    </row>
    <row r="43" customFormat="false" ht="18.75" hidden="false" customHeight="false" outlineLevel="0" collapsed="false">
      <c r="A43" s="44" t="n">
        <v>6000</v>
      </c>
      <c r="B43" s="36"/>
      <c r="C43" s="45" t="n">
        <v>20</v>
      </c>
      <c r="D43" s="45"/>
      <c r="E43" s="36"/>
      <c r="F43" s="45" t="s">
        <v>31</v>
      </c>
      <c r="G43" s="45"/>
      <c r="H43" s="51"/>
      <c r="J43" s="7" t="s">
        <v>77</v>
      </c>
      <c r="K43" s="7" t="str">
        <f aca="false">A34</f>
        <v>12</v>
      </c>
      <c r="L43" s="7"/>
    </row>
    <row r="44" customFormat="false" ht="18.75" hidden="false" customHeight="false" outlineLevel="0" collapsed="false">
      <c r="A44" s="40"/>
      <c r="B44" s="47"/>
      <c r="C44" s="47"/>
      <c r="D44" s="47"/>
      <c r="E44" s="47"/>
      <c r="F44" s="47"/>
      <c r="G44" s="47"/>
      <c r="H44" s="51"/>
      <c r="J44" s="7" t="s">
        <v>78</v>
      </c>
      <c r="K44" s="7" t="n">
        <f aca="false">((K40-(((K42/(1.2))*0.2)))/(K43))</f>
        <v>208.333333333333</v>
      </c>
      <c r="L44" s="7"/>
    </row>
    <row r="45" customFormat="false" ht="18.75" hidden="false" customHeight="false" outlineLevel="0" collapsed="false">
      <c r="A45" s="40" t="s">
        <v>79</v>
      </c>
      <c r="B45" s="36"/>
      <c r="C45" s="42" t="s">
        <v>80</v>
      </c>
      <c r="D45" s="43"/>
      <c r="E45" s="36"/>
      <c r="F45" s="42" t="s">
        <v>81</v>
      </c>
      <c r="G45" s="43"/>
      <c r="H45" s="51"/>
      <c r="J45" s="7" t="s">
        <v>82</v>
      </c>
      <c r="K45" s="7" t="n">
        <f aca="false">(K39-K44)+K41</f>
        <v>291.666666666667</v>
      </c>
      <c r="L45" s="7"/>
    </row>
    <row r="46" customFormat="false" ht="18.75" hidden="false" customHeight="false" outlineLevel="0" collapsed="false">
      <c r="A46" s="44" t="n">
        <v>0</v>
      </c>
      <c r="B46" s="36"/>
      <c r="C46" s="45" t="n">
        <v>1</v>
      </c>
      <c r="D46" s="45"/>
      <c r="E46" s="36"/>
      <c r="F46" s="45" t="n">
        <v>0</v>
      </c>
      <c r="G46" s="45"/>
      <c r="H46" s="51"/>
      <c r="J46" s="7" t="s">
        <v>83</v>
      </c>
      <c r="K46" s="7" t="n">
        <v>0</v>
      </c>
      <c r="L46" s="7"/>
    </row>
    <row r="47" customFormat="false" ht="18.75" hidden="false" customHeight="false" outlineLevel="0" collapsed="false">
      <c r="A47" s="40"/>
      <c r="B47" s="47"/>
      <c r="C47" s="47"/>
      <c r="D47" s="47"/>
      <c r="E47" s="47"/>
      <c r="F47" s="47"/>
      <c r="G47" s="47"/>
      <c r="H47" s="51"/>
      <c r="J47" s="7" t="s">
        <v>84</v>
      </c>
      <c r="K47" s="7" t="n">
        <f aca="false">A40/K29</f>
        <v>1</v>
      </c>
      <c r="L47" s="7"/>
    </row>
    <row r="48" customFormat="false" ht="18.75" hidden="false" customHeight="false" outlineLevel="0" collapsed="false">
      <c r="A48" s="40" t="s">
        <v>85</v>
      </c>
      <c r="B48" s="47"/>
      <c r="C48" s="47"/>
      <c r="D48" s="47"/>
      <c r="E48" s="47"/>
      <c r="F48" s="47"/>
      <c r="G48" s="47"/>
      <c r="H48" s="51"/>
      <c r="J48" s="59" t="s">
        <v>86</v>
      </c>
      <c r="K48" s="7" t="n">
        <f aca="false">C43/A34</f>
        <v>1.66666666666667</v>
      </c>
      <c r="L48" s="7"/>
    </row>
    <row r="49" customFormat="false" ht="18.75" hidden="false" customHeight="false" outlineLevel="0" collapsed="false">
      <c r="A49" s="40" t="n">
        <f aca="false">C46+F46</f>
        <v>1</v>
      </c>
      <c r="B49" s="47"/>
      <c r="C49" s="47"/>
      <c r="D49" s="47"/>
      <c r="E49" s="36"/>
      <c r="F49" s="47"/>
      <c r="G49" s="47"/>
      <c r="H49" s="51"/>
      <c r="J49" s="59" t="s">
        <v>87</v>
      </c>
      <c r="K49" s="7" t="n">
        <f aca="false">K45+K48+K47</f>
        <v>294.333333333333</v>
      </c>
      <c r="L49" s="7"/>
    </row>
    <row r="50" customFormat="false" ht="18.75" hidden="false" customHeight="false" outlineLevel="0" collapsed="false">
      <c r="A50" s="60"/>
      <c r="B50" s="61"/>
      <c r="C50" s="61"/>
      <c r="D50" s="61"/>
      <c r="E50" s="61"/>
      <c r="F50" s="61"/>
      <c r="G50" s="62"/>
      <c r="H50" s="63"/>
      <c r="I50" s="7"/>
      <c r="J50" s="59" t="s">
        <v>88</v>
      </c>
      <c r="K50" s="7" t="n">
        <f aca="false">K49-A46</f>
        <v>294.333333333333</v>
      </c>
    </row>
    <row r="51" customFormat="false" ht="19.5" hidden="false" customHeight="true" outlineLevel="0" collapsed="false">
      <c r="A51" s="29"/>
      <c r="B51" s="30"/>
      <c r="C51" s="30"/>
      <c r="D51" s="30"/>
      <c r="E51" s="30"/>
      <c r="F51" s="30"/>
      <c r="G51" s="30"/>
      <c r="H51" s="31"/>
      <c r="I51" s="7"/>
      <c r="J51" s="7"/>
      <c r="K51" s="7"/>
    </row>
    <row r="52" customFormat="false" ht="18.75" hidden="false" customHeight="false" outlineLevel="0" collapsed="false">
      <c r="A52" s="64" t="s">
        <v>89</v>
      </c>
      <c r="B52" s="36"/>
      <c r="C52" s="36" t="s">
        <v>90</v>
      </c>
      <c r="D52" s="36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65" t="n">
        <v>1</v>
      </c>
      <c r="B53" s="36"/>
      <c r="C53" s="66" t="n">
        <v>1</v>
      </c>
      <c r="D53" s="66"/>
      <c r="E53" s="66"/>
      <c r="F53" s="36"/>
      <c r="G53" s="36"/>
      <c r="H53" s="37"/>
      <c r="I53" s="7"/>
      <c r="J53" s="67" t="s">
        <v>91</v>
      </c>
      <c r="K53" s="68" t="s">
        <v>92</v>
      </c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9"/>
      <c r="B55" s="30"/>
      <c r="C55" s="30"/>
      <c r="D55" s="30"/>
      <c r="E55" s="30"/>
      <c r="F55" s="30"/>
      <c r="G55" s="30"/>
      <c r="H55" s="31"/>
      <c r="I55" s="7"/>
      <c r="J55" s="7" t="s">
        <v>93</v>
      </c>
      <c r="K55" s="7" t="n">
        <f aca="false">A46*A34</f>
        <v>0</v>
      </c>
    </row>
    <row r="56" customFormat="false" ht="18.75" hidden="false" customHeight="false" outlineLevel="0" collapsed="false">
      <c r="A56" s="70" t="s">
        <v>94</v>
      </c>
      <c r="B56" s="36"/>
      <c r="C56" s="36"/>
      <c r="D56" s="71"/>
      <c r="E56" s="71"/>
      <c r="F56" s="71"/>
      <c r="G56" s="71"/>
      <c r="H56" s="72"/>
      <c r="I56" s="7"/>
      <c r="J56" s="7"/>
      <c r="K56" s="7"/>
    </row>
    <row r="57" customFormat="false" ht="19.5" hidden="false" customHeight="true" outlineLevel="0" collapsed="false">
      <c r="A57" s="35"/>
      <c r="B57" s="73"/>
      <c r="C57" s="73"/>
      <c r="D57" s="36"/>
      <c r="E57" s="36"/>
      <c r="F57" s="36"/>
      <c r="G57" s="36"/>
      <c r="H57" s="37"/>
      <c r="I57" s="7"/>
      <c r="J57" s="7"/>
      <c r="K57" s="7"/>
    </row>
    <row r="58" customFormat="false" ht="19.7" hidden="false" customHeight="false" outlineLevel="0" collapsed="false">
      <c r="A58" s="74" t="s">
        <v>95</v>
      </c>
      <c r="B58" s="75" t="s">
        <v>96</v>
      </c>
      <c r="C58" s="75"/>
      <c r="D58" s="75"/>
      <c r="E58" s="36"/>
      <c r="F58" s="36"/>
      <c r="G58" s="36"/>
      <c r="H58" s="37"/>
      <c r="I58" s="7"/>
      <c r="J58" s="7"/>
      <c r="K58" s="7"/>
    </row>
    <row r="59" customFormat="false" ht="18.75" hidden="false" customHeight="false" outlineLevel="0" collapsed="false">
      <c r="A59" s="74"/>
      <c r="B59" s="76" t="str">
        <f aca="false">K30</f>
        <v>5000</v>
      </c>
      <c r="C59" s="76"/>
      <c r="D59" s="76"/>
      <c r="E59" s="36"/>
      <c r="F59" s="36"/>
      <c r="G59" s="36"/>
      <c r="H59" s="37"/>
      <c r="I59" s="7"/>
      <c r="J59" s="7"/>
      <c r="K59" s="7"/>
    </row>
    <row r="60" customFormat="false" ht="18.75" hidden="false" customHeight="false" outlineLevel="0" collapsed="false">
      <c r="A60" s="77" t="str">
        <f aca="false">K29</f>
        <v>12</v>
      </c>
      <c r="B60" s="78" t="n">
        <f aca="false">K49</f>
        <v>294.333333333333</v>
      </c>
      <c r="C60" s="78"/>
      <c r="D60" s="78"/>
      <c r="E60" s="36"/>
      <c r="F60" s="36"/>
      <c r="G60" s="36"/>
      <c r="H60" s="37"/>
      <c r="I60" s="7"/>
      <c r="J60" s="7"/>
      <c r="K60" s="7"/>
    </row>
    <row r="61" customFormat="false" ht="18.75" hidden="false" customHeight="false" outlineLevel="0" collapsed="false">
      <c r="A61" s="35"/>
      <c r="B61" s="36"/>
      <c r="C61" s="36"/>
      <c r="D61" s="36"/>
      <c r="E61" s="36"/>
      <c r="F61" s="36"/>
      <c r="G61" s="36"/>
      <c r="H61" s="37"/>
      <c r="I61" s="7"/>
      <c r="J61" s="7"/>
      <c r="K61" s="7"/>
    </row>
    <row r="62" customFormat="false" ht="18.75" hidden="false" customHeight="false" outlineLevel="0" collapsed="false">
      <c r="A62" s="60"/>
      <c r="B62" s="61"/>
      <c r="C62" s="61"/>
      <c r="D62" s="61"/>
      <c r="E62" s="61"/>
      <c r="F62" s="61"/>
      <c r="G62" s="61"/>
      <c r="H62" s="69"/>
      <c r="I62" s="7"/>
      <c r="J62" s="7"/>
      <c r="K62" s="7"/>
    </row>
    <row r="63" customFormat="false" ht="18.75" hidden="false" customHeight="false" outlineLevel="0" collapsed="false">
      <c r="A63" s="36"/>
      <c r="B63" s="36"/>
      <c r="C63" s="36"/>
      <c r="D63" s="36"/>
      <c r="E63" s="36"/>
      <c r="F63" s="36"/>
      <c r="G63" s="36"/>
      <c r="H63" s="36"/>
      <c r="I63" s="7"/>
      <c r="J63" s="7"/>
      <c r="K63" s="7"/>
    </row>
    <row r="64" customFormat="false" ht="18.75" hidden="false" customHeight="false" outlineLevel="0" collapsed="false">
      <c r="A64" s="36"/>
      <c r="B64" s="36"/>
      <c r="C64" s="36"/>
      <c r="D64" s="36"/>
      <c r="E64" s="36"/>
      <c r="F64" s="36"/>
      <c r="G64" s="36"/>
      <c r="H64" s="36"/>
      <c r="I64" s="7"/>
      <c r="J64" s="7"/>
      <c r="K64" s="7"/>
    </row>
    <row r="65" customFormat="false" ht="18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J65" s="7"/>
      <c r="K65" s="7"/>
    </row>
    <row r="66" customFormat="false" ht="18.75" hidden="false" customHeight="false" outlineLevel="0" collapsed="false">
      <c r="A66" s="29"/>
      <c r="B66" s="30"/>
      <c r="C66" s="30"/>
      <c r="D66" s="30"/>
      <c r="E66" s="79"/>
      <c r="F66" s="79"/>
      <c r="G66" s="79"/>
      <c r="H66" s="31"/>
      <c r="J66" s="29"/>
      <c r="K66" s="30"/>
      <c r="L66" s="30"/>
      <c r="M66" s="30"/>
      <c r="N66" s="79"/>
      <c r="O66" s="79"/>
      <c r="P66" s="79"/>
      <c r="Q66" s="31"/>
      <c r="S66" s="29"/>
      <c r="T66" s="30"/>
      <c r="U66" s="30"/>
      <c r="V66" s="30"/>
      <c r="W66" s="79"/>
      <c r="X66" s="79"/>
      <c r="Y66" s="79"/>
      <c r="Z66" s="31"/>
      <c r="AB66" s="29"/>
      <c r="AC66" s="30"/>
      <c r="AD66" s="30"/>
      <c r="AE66" s="30"/>
      <c r="AF66" s="79"/>
      <c r="AG66" s="79"/>
      <c r="AH66" s="79"/>
      <c r="AI66" s="31"/>
    </row>
    <row r="67" customFormat="false" ht="18.75" hidden="false" customHeight="false" outlineLevel="0" collapsed="false">
      <c r="A67" s="35" t="s">
        <v>97</v>
      </c>
      <c r="B67" s="36" t="n">
        <v>1</v>
      </c>
      <c r="C67" s="36"/>
      <c r="D67" s="36"/>
      <c r="E67" s="27"/>
      <c r="F67" s="27"/>
      <c r="G67" s="27"/>
      <c r="H67" s="37"/>
      <c r="J67" s="35" t="s">
        <v>97</v>
      </c>
      <c r="K67" s="36" t="n">
        <v>1</v>
      </c>
      <c r="L67" s="36"/>
      <c r="M67" s="36"/>
      <c r="N67" s="27"/>
      <c r="O67" s="27"/>
      <c r="P67" s="27"/>
      <c r="Q67" s="37"/>
      <c r="S67" s="35" t="s">
        <v>97</v>
      </c>
      <c r="T67" s="36" t="n">
        <v>1</v>
      </c>
      <c r="U67" s="36"/>
      <c r="V67" s="36"/>
      <c r="W67" s="27"/>
      <c r="X67" s="27"/>
      <c r="Y67" s="27"/>
      <c r="Z67" s="37"/>
      <c r="AB67" s="35" t="s">
        <v>97</v>
      </c>
      <c r="AC67" s="36" t="n">
        <v>1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35" t="s">
        <v>98</v>
      </c>
      <c r="B68" s="36" t="n">
        <f aca="false">K29-B67</f>
        <v>11</v>
      </c>
      <c r="C68" s="36"/>
      <c r="D68" s="36"/>
      <c r="E68" s="27"/>
      <c r="F68" s="27"/>
      <c r="G68" s="27"/>
      <c r="H68" s="37"/>
      <c r="J68" s="35" t="s">
        <v>98</v>
      </c>
      <c r="K68" s="36" t="n">
        <f aca="false">K29-K67</f>
        <v>11</v>
      </c>
      <c r="L68" s="36"/>
      <c r="M68" s="36"/>
      <c r="N68" s="27"/>
      <c r="O68" s="27"/>
      <c r="P68" s="27"/>
      <c r="Q68" s="37"/>
      <c r="S68" s="35" t="s">
        <v>98</v>
      </c>
      <c r="T68" s="36" t="n">
        <f aca="false">K29-T67</f>
        <v>11</v>
      </c>
      <c r="U68" s="36"/>
      <c r="V68" s="36"/>
      <c r="W68" s="27"/>
      <c r="X68" s="27"/>
      <c r="Y68" s="27"/>
      <c r="Z68" s="37"/>
      <c r="AB68" s="35" t="s">
        <v>98</v>
      </c>
      <c r="AC68" s="36" t="n">
        <f aca="false">K29-AC67</f>
        <v>11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0" t="s">
        <v>99</v>
      </c>
      <c r="B69" s="81" t="n">
        <v>25</v>
      </c>
      <c r="C69" s="36"/>
      <c r="D69" s="36"/>
      <c r="E69" s="27"/>
      <c r="F69" s="27"/>
      <c r="G69" s="27"/>
      <c r="H69" s="37"/>
      <c r="J69" s="80" t="s">
        <v>99</v>
      </c>
      <c r="K69" s="81" t="n">
        <v>20</v>
      </c>
      <c r="L69" s="36"/>
      <c r="M69" s="36"/>
      <c r="N69" s="27"/>
      <c r="O69" s="27"/>
      <c r="P69" s="27"/>
      <c r="Q69" s="37"/>
      <c r="S69" s="80" t="s">
        <v>99</v>
      </c>
      <c r="T69" s="81" t="n">
        <v>10</v>
      </c>
      <c r="U69" s="36"/>
      <c r="V69" s="36"/>
      <c r="W69" s="27"/>
      <c r="X69" s="27"/>
      <c r="Y69" s="27"/>
      <c r="Z69" s="37"/>
      <c r="AB69" s="80" t="s">
        <v>99</v>
      </c>
      <c r="AC69" s="81" t="n">
        <v>10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35" t="s">
        <v>27</v>
      </c>
      <c r="B70" s="36" t="n">
        <f aca="false">J18</f>
        <v>37404</v>
      </c>
      <c r="C70" s="36"/>
      <c r="D70" s="36"/>
      <c r="E70" s="27"/>
      <c r="F70" s="27"/>
      <c r="G70" s="27"/>
      <c r="H70" s="37"/>
      <c r="J70" s="35" t="s">
        <v>27</v>
      </c>
      <c r="K70" s="36" t="n">
        <f aca="false">J18</f>
        <v>37404</v>
      </c>
      <c r="L70" s="36"/>
      <c r="M70" s="36"/>
      <c r="N70" s="27"/>
      <c r="O70" s="27"/>
      <c r="P70" s="27"/>
      <c r="Q70" s="37"/>
      <c r="S70" s="35" t="s">
        <v>27</v>
      </c>
      <c r="T70" s="36" t="n">
        <f aca="false">J18</f>
        <v>37404</v>
      </c>
      <c r="U70" s="36"/>
      <c r="V70" s="36"/>
      <c r="W70" s="27"/>
      <c r="X70" s="27"/>
      <c r="Y70" s="27"/>
      <c r="Z70" s="37"/>
      <c r="AB70" s="35" t="s">
        <v>27</v>
      </c>
      <c r="AC70" s="36" t="n">
        <f aca="false">J18</f>
        <v>37404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82" t="s">
        <v>100</v>
      </c>
      <c r="B71" s="83" t="n">
        <v>0.0105</v>
      </c>
      <c r="C71" s="36"/>
      <c r="D71" s="36"/>
      <c r="E71" s="27"/>
      <c r="F71" s="27"/>
      <c r="G71" s="27"/>
      <c r="H71" s="37"/>
      <c r="J71" s="82" t="s">
        <v>100</v>
      </c>
      <c r="K71" s="83" t="n">
        <v>0.06</v>
      </c>
      <c r="L71" s="36"/>
      <c r="M71" s="36"/>
      <c r="N71" s="27"/>
      <c r="O71" s="27"/>
      <c r="P71" s="27"/>
      <c r="Q71" s="37"/>
      <c r="S71" s="82" t="s">
        <v>100</v>
      </c>
      <c r="T71" s="83" t="n">
        <f aca="false">IF(AND(K29&gt;=12,K29&lt;=24),0.0105,IF(AND(K29&gt;=48),-0.0075,0))</f>
        <v>-0.0075</v>
      </c>
      <c r="U71" s="36"/>
      <c r="V71" s="36"/>
      <c r="W71" s="27"/>
      <c r="X71" s="27"/>
      <c r="Y71" s="27"/>
      <c r="Z71" s="37"/>
      <c r="AB71" s="82" t="s">
        <v>100</v>
      </c>
      <c r="AC71" s="83" t="n">
        <f aca="false">IF(AND(K29&gt;=12,K29&lt;=24),0.0105,IF(AND(K29&gt;=48),-0.0075,0))</f>
        <v>-0.0075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4" t="s">
        <v>101</v>
      </c>
      <c r="B72" s="85" t="n">
        <v>0.065</v>
      </c>
      <c r="C72" s="36"/>
      <c r="D72" s="36"/>
      <c r="E72" s="27"/>
      <c r="F72" s="27"/>
      <c r="G72" s="27"/>
      <c r="H72" s="37"/>
      <c r="J72" s="84" t="s">
        <v>101</v>
      </c>
      <c r="K72" s="85" t="n">
        <v>0.08</v>
      </c>
      <c r="L72" s="36"/>
      <c r="M72" s="36"/>
      <c r="N72" s="27"/>
      <c r="O72" s="27"/>
      <c r="P72" s="27"/>
      <c r="Q72" s="37"/>
      <c r="S72" s="84" t="s">
        <v>101</v>
      </c>
      <c r="T72" s="85" t="n">
        <v>0.059</v>
      </c>
      <c r="U72" s="36"/>
      <c r="V72" s="36"/>
      <c r="W72" s="27"/>
      <c r="X72" s="27"/>
      <c r="Y72" s="27"/>
      <c r="Z72" s="37"/>
      <c r="AB72" s="84" t="s">
        <v>101</v>
      </c>
      <c r="AC72" s="85" t="n">
        <v>0.059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6" t="s">
        <v>102</v>
      </c>
      <c r="B73" s="87" t="n">
        <v>0.05</v>
      </c>
      <c r="C73" s="36"/>
      <c r="D73" s="36"/>
      <c r="E73" s="27"/>
      <c r="F73" s="27"/>
      <c r="G73" s="27"/>
      <c r="H73" s="37"/>
      <c r="J73" s="86" t="s">
        <v>102</v>
      </c>
      <c r="K73" s="87" t="n">
        <v>0.1</v>
      </c>
      <c r="L73" s="36"/>
      <c r="M73" s="36"/>
      <c r="N73" s="27"/>
      <c r="O73" s="27"/>
      <c r="P73" s="27"/>
      <c r="Q73" s="37"/>
      <c r="S73" s="86" t="s">
        <v>102</v>
      </c>
      <c r="T73" s="87" t="n">
        <f aca="false">IF(T117=AP117,2.4%,7.2%)</f>
        <v>0.072</v>
      </c>
      <c r="U73" s="36"/>
      <c r="V73" s="36"/>
      <c r="W73" s="27"/>
      <c r="X73" s="27"/>
      <c r="Y73" s="27"/>
      <c r="Z73" s="37"/>
      <c r="AB73" s="86" t="s">
        <v>102</v>
      </c>
      <c r="AC73" s="87" t="n">
        <f aca="false">IF(AC117=AP117,2.4%,7.2%)</f>
        <v>0.072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103</v>
      </c>
      <c r="B74" s="69" t="n">
        <f aca="false">(B98*B68)-(K47*K29)</f>
        <v>15630.9006199563</v>
      </c>
      <c r="C74" s="36"/>
      <c r="D74" s="36"/>
      <c r="E74" s="27"/>
      <c r="F74" s="27"/>
      <c r="G74" s="27"/>
      <c r="H74" s="37"/>
      <c r="J74" s="60" t="s">
        <v>103</v>
      </c>
      <c r="K74" s="69" t="e">
        <f aca="false">(K98*K68)-(K47*K29)</f>
        <v>#VALUE!</v>
      </c>
      <c r="L74" s="36"/>
      <c r="M74" s="36"/>
      <c r="N74" s="27"/>
      <c r="O74" s="27"/>
      <c r="P74" s="27"/>
      <c r="Q74" s="37"/>
      <c r="S74" s="60" t="s">
        <v>103</v>
      </c>
      <c r="T74" s="69" t="e">
        <f aca="false">(T98*T68)-(K47*K29)</f>
        <v>#VALUE!</v>
      </c>
      <c r="U74" s="36"/>
      <c r="V74" s="36"/>
      <c r="W74" s="27"/>
      <c r="X74" s="27"/>
      <c r="Y74" s="27"/>
      <c r="Z74" s="37"/>
      <c r="AB74" s="60" t="s">
        <v>103</v>
      </c>
      <c r="AC74" s="69" t="e">
        <f aca="false">(AC98*AC68)-(K47*K29)</f>
        <v>#VALUE!</v>
      </c>
      <c r="AD74" s="36"/>
      <c r="AE74" s="36"/>
      <c r="AF74" s="27"/>
      <c r="AG74" s="27"/>
      <c r="AH74" s="27"/>
      <c r="AI74" s="37"/>
    </row>
    <row r="75" customFormat="false" ht="18.75" hidden="false" customHeight="false" outlineLevel="0" collapsed="false">
      <c r="A75" s="82" t="s">
        <v>104</v>
      </c>
      <c r="B75" s="83" t="n">
        <v>0.0075</v>
      </c>
      <c r="C75" s="36"/>
      <c r="D75" s="36"/>
      <c r="E75" s="27"/>
      <c r="F75" s="27"/>
      <c r="G75" s="27"/>
      <c r="H75" s="37"/>
      <c r="J75" s="82" t="s">
        <v>104</v>
      </c>
      <c r="K75" s="83" t="n">
        <v>0.05</v>
      </c>
      <c r="L75" s="36"/>
      <c r="M75" s="36"/>
      <c r="N75" s="27"/>
      <c r="O75" s="27"/>
      <c r="P75" s="27"/>
      <c r="Q75" s="37"/>
      <c r="S75" s="82" t="s">
        <v>104</v>
      </c>
      <c r="T75" s="83" t="n">
        <v>0.005</v>
      </c>
      <c r="U75" s="36"/>
      <c r="V75" s="36"/>
      <c r="W75" s="27"/>
      <c r="X75" s="27"/>
      <c r="Y75" s="27"/>
      <c r="Z75" s="37"/>
      <c r="AB75" s="82" t="s">
        <v>104</v>
      </c>
      <c r="AC75" s="83" t="n">
        <v>0.005</v>
      </c>
      <c r="AD75" s="36"/>
      <c r="AE75" s="36"/>
      <c r="AF75" s="27"/>
      <c r="AG75" s="27"/>
      <c r="AH75" s="27"/>
      <c r="AI75" s="37"/>
    </row>
    <row r="76" customFormat="false" ht="18.75" hidden="false" customHeight="false" outlineLevel="0" collapsed="false">
      <c r="A76" s="35"/>
      <c r="B76" s="88" t="n">
        <f aca="false">B75</f>
        <v>0.0075</v>
      </c>
      <c r="C76" s="36"/>
      <c r="D76" s="36"/>
      <c r="E76" s="27"/>
      <c r="F76" s="27"/>
      <c r="G76" s="27"/>
      <c r="H76" s="37"/>
      <c r="J76" s="35" t="s">
        <v>105</v>
      </c>
      <c r="K76" s="88" t="n">
        <f aca="false">K75+(K75*0.25*(K29/12-1))</f>
        <v>0.05</v>
      </c>
      <c r="L76" s="36"/>
      <c r="M76" s="36"/>
      <c r="N76" s="27"/>
      <c r="O76" s="27"/>
      <c r="P76" s="27"/>
      <c r="Q76" s="37"/>
      <c r="S76" s="35" t="s">
        <v>105</v>
      </c>
      <c r="T76" s="88" t="n">
        <f aca="false">T75+(T75*0.5*(K29/12-1))</f>
        <v>0.005</v>
      </c>
      <c r="U76" s="36"/>
      <c r="V76" s="36"/>
      <c r="W76" s="27"/>
      <c r="X76" s="27"/>
      <c r="Y76" s="27"/>
      <c r="Z76" s="37"/>
      <c r="AB76" s="35" t="s">
        <v>105</v>
      </c>
      <c r="AC76" s="88" t="n">
        <f aca="false">AC75+(AC75*0.5*(K29/12-1))</f>
        <v>0.005</v>
      </c>
      <c r="AD76" s="36"/>
      <c r="AE76" s="36"/>
      <c r="AF76" s="27"/>
      <c r="AG76" s="27"/>
      <c r="AH76" s="27"/>
      <c r="AI76" s="37"/>
    </row>
    <row r="77" customFormat="false" ht="18.75" hidden="false" customHeight="false" outlineLevel="0" collapsed="false">
      <c r="A77" s="60" t="s">
        <v>106</v>
      </c>
      <c r="B77" s="69" t="n">
        <f aca="false">(G167*B76)</f>
        <v>186.74997</v>
      </c>
      <c r="C77" s="36"/>
      <c r="D77" s="36"/>
      <c r="E77" s="27"/>
      <c r="F77" s="27"/>
      <c r="G77" s="27"/>
      <c r="H77" s="37"/>
      <c r="J77" s="60" t="s">
        <v>106</v>
      </c>
      <c r="K77" s="69" t="n">
        <f aca="false">K70*K76</f>
        <v>1870.2</v>
      </c>
      <c r="L77" s="36"/>
      <c r="M77" s="36"/>
      <c r="N77" s="27"/>
      <c r="O77" s="27"/>
      <c r="P77" s="27"/>
      <c r="Q77" s="37"/>
      <c r="S77" s="60" t="s">
        <v>106</v>
      </c>
      <c r="T77" s="69" t="n">
        <f aca="false">T70*T76</f>
        <v>187.02</v>
      </c>
      <c r="U77" s="36"/>
      <c r="V77" s="36"/>
      <c r="W77" s="27"/>
      <c r="X77" s="27"/>
      <c r="Y77" s="27"/>
      <c r="Z77" s="37"/>
      <c r="AB77" s="60" t="s">
        <v>106</v>
      </c>
      <c r="AC77" s="69" t="e">
        <f aca="false">AH167*AC76</f>
        <v>#VALUE!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82" t="s">
        <v>107</v>
      </c>
      <c r="B78" s="83" t="n">
        <v>0</v>
      </c>
      <c r="C78" s="36"/>
      <c r="D78" s="36"/>
      <c r="E78" s="27"/>
      <c r="F78" s="27"/>
      <c r="G78" s="27"/>
      <c r="H78" s="37"/>
      <c r="J78" s="82" t="s">
        <v>107</v>
      </c>
      <c r="K78" s="83" t="n">
        <v>0</v>
      </c>
      <c r="L78" s="36"/>
      <c r="M78" s="36"/>
      <c r="N78" s="27"/>
      <c r="O78" s="27"/>
      <c r="P78" s="27"/>
      <c r="Q78" s="37"/>
      <c r="S78" s="82" t="s">
        <v>107</v>
      </c>
      <c r="T78" s="83" t="n">
        <v>0</v>
      </c>
      <c r="U78" s="36"/>
      <c r="V78" s="36"/>
      <c r="W78" s="27"/>
      <c r="X78" s="27"/>
      <c r="Y78" s="27"/>
      <c r="Z78" s="37"/>
      <c r="AB78" s="82" t="s">
        <v>107</v>
      </c>
      <c r="AC78" s="83" t="n"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84" t="s">
        <v>108</v>
      </c>
      <c r="B79" s="85" t="n">
        <v>0</v>
      </c>
      <c r="C79" s="36"/>
      <c r="D79" s="36"/>
      <c r="E79" s="27"/>
      <c r="F79" s="27"/>
      <c r="G79" s="27"/>
      <c r="H79" s="37"/>
      <c r="J79" s="84" t="s">
        <v>108</v>
      </c>
      <c r="K79" s="85" t="n">
        <v>0</v>
      </c>
      <c r="L79" s="36"/>
      <c r="M79" s="36"/>
      <c r="N79" s="27"/>
      <c r="O79" s="27"/>
      <c r="P79" s="27"/>
      <c r="Q79" s="37"/>
      <c r="S79" s="84" t="s">
        <v>108</v>
      </c>
      <c r="T79" s="85" t="n">
        <v>0</v>
      </c>
      <c r="U79" s="36"/>
      <c r="V79" s="36"/>
      <c r="W79" s="27"/>
      <c r="X79" s="27"/>
      <c r="Y79" s="27"/>
      <c r="Z79" s="37"/>
      <c r="AB79" s="84" t="s">
        <v>108</v>
      </c>
      <c r="AC79" s="85" t="n">
        <v>0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60" t="s">
        <v>109</v>
      </c>
      <c r="B80" s="89" t="n">
        <f aca="false">B78*(1+B79)</f>
        <v>0</v>
      </c>
      <c r="C80" s="36"/>
      <c r="D80" s="36"/>
      <c r="E80" s="27"/>
      <c r="F80" s="27"/>
      <c r="G80" s="27"/>
      <c r="H80" s="37"/>
      <c r="J80" s="60" t="s">
        <v>109</v>
      </c>
      <c r="K80" s="89" t="n">
        <f aca="false">K78*(1+K79)</f>
        <v>0</v>
      </c>
      <c r="L80" s="36"/>
      <c r="M80" s="36"/>
      <c r="N80" s="27"/>
      <c r="O80" s="27"/>
      <c r="P80" s="27"/>
      <c r="Q80" s="37"/>
      <c r="S80" s="60" t="s">
        <v>109</v>
      </c>
      <c r="T80" s="89" t="n">
        <f aca="false">T78*(1+T79)</f>
        <v>0</v>
      </c>
      <c r="U80" s="36"/>
      <c r="V80" s="36"/>
      <c r="W80" s="27"/>
      <c r="X80" s="27"/>
      <c r="Y80" s="27"/>
      <c r="Z80" s="37"/>
      <c r="AB80" s="60" t="s">
        <v>109</v>
      </c>
      <c r="AC80" s="89" t="n">
        <f aca="false">AC78*(1+AC79)</f>
        <v>0</v>
      </c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82" t="s">
        <v>110</v>
      </c>
      <c r="B81" s="90" t="n">
        <v>0</v>
      </c>
      <c r="C81" s="36"/>
      <c r="D81" s="36"/>
      <c r="E81" s="27"/>
      <c r="F81" s="27"/>
      <c r="G81" s="27"/>
      <c r="H81" s="37"/>
      <c r="J81" s="82" t="s">
        <v>110</v>
      </c>
      <c r="K81" s="90" t="n">
        <v>0</v>
      </c>
      <c r="L81" s="36"/>
      <c r="M81" s="36"/>
      <c r="N81" s="27"/>
      <c r="O81" s="27"/>
      <c r="P81" s="27"/>
      <c r="Q81" s="37"/>
      <c r="S81" s="82" t="s">
        <v>110</v>
      </c>
      <c r="T81" s="90" t="n">
        <v>0</v>
      </c>
      <c r="U81" s="36"/>
      <c r="V81" s="36"/>
      <c r="W81" s="27"/>
      <c r="X81" s="27"/>
      <c r="Y81" s="27"/>
      <c r="Z81" s="37"/>
      <c r="AB81" s="82" t="s">
        <v>110</v>
      </c>
      <c r="AC81" s="90" t="n">
        <v>0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84" t="s">
        <v>111</v>
      </c>
      <c r="B82" s="81" t="n">
        <v>0</v>
      </c>
      <c r="C82" s="36"/>
      <c r="D82" s="36"/>
      <c r="E82" s="27"/>
      <c r="F82" s="27"/>
      <c r="G82" s="27"/>
      <c r="H82" s="37"/>
      <c r="J82" s="84" t="s">
        <v>111</v>
      </c>
      <c r="K82" s="81" t="n">
        <v>0</v>
      </c>
      <c r="L82" s="36"/>
      <c r="M82" s="36"/>
      <c r="N82" s="27"/>
      <c r="O82" s="27"/>
      <c r="P82" s="27"/>
      <c r="Q82" s="37"/>
      <c r="S82" s="84" t="s">
        <v>111</v>
      </c>
      <c r="T82" s="81" t="n">
        <v>0</v>
      </c>
      <c r="U82" s="36"/>
      <c r="V82" s="36"/>
      <c r="W82" s="27"/>
      <c r="X82" s="27"/>
      <c r="Y82" s="27"/>
      <c r="Z82" s="37"/>
      <c r="AB82" s="84" t="s">
        <v>111</v>
      </c>
      <c r="AC82" s="81" t="n"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60" t="s">
        <v>112</v>
      </c>
      <c r="B83" s="69" t="n">
        <f aca="false">B82*K29</f>
        <v>0</v>
      </c>
      <c r="C83" s="36"/>
      <c r="D83" s="36" t="n">
        <f aca="false">B83+B81</f>
        <v>0</v>
      </c>
      <c r="E83" s="27"/>
      <c r="F83" s="27"/>
      <c r="G83" s="27"/>
      <c r="H83" s="37"/>
      <c r="J83" s="60" t="s">
        <v>112</v>
      </c>
      <c r="K83" s="69" t="n">
        <f aca="false">K82*K29</f>
        <v>0</v>
      </c>
      <c r="L83" s="36"/>
      <c r="M83" s="36" t="n">
        <f aca="false">K83+K81</f>
        <v>0</v>
      </c>
      <c r="N83" s="27"/>
      <c r="O83" s="27"/>
      <c r="P83" s="27"/>
      <c r="Q83" s="37"/>
      <c r="S83" s="60" t="s">
        <v>112</v>
      </c>
      <c r="T83" s="69" t="n">
        <f aca="false">T82*K29</f>
        <v>0</v>
      </c>
      <c r="U83" s="36"/>
      <c r="V83" s="36" t="n">
        <f aca="false">T83+T81</f>
        <v>0</v>
      </c>
      <c r="W83" s="27"/>
      <c r="X83" s="27"/>
      <c r="Y83" s="27"/>
      <c r="Z83" s="37"/>
      <c r="AB83" s="60" t="s">
        <v>112</v>
      </c>
      <c r="AC83" s="69" t="n">
        <f aca="false">AC82*K29</f>
        <v>0</v>
      </c>
      <c r="AD83" s="36"/>
      <c r="AE83" s="36" t="n">
        <f aca="false">AC83+AC81</f>
        <v>0</v>
      </c>
      <c r="AF83" s="27"/>
      <c r="AG83" s="27"/>
      <c r="AH83" s="27"/>
      <c r="AI83" s="37"/>
    </row>
    <row r="84" customFormat="false" ht="18.75" hidden="false" customHeight="false" outlineLevel="0" collapsed="false">
      <c r="A84" s="84" t="s">
        <v>113</v>
      </c>
      <c r="B84" s="81" t="n">
        <v>0</v>
      </c>
      <c r="C84" s="36"/>
      <c r="D84" s="36" t="n">
        <f aca="false">B84</f>
        <v>0</v>
      </c>
      <c r="E84" s="27"/>
      <c r="F84" s="27"/>
      <c r="G84" s="27"/>
      <c r="H84" s="37"/>
      <c r="J84" s="84" t="s">
        <v>113</v>
      </c>
      <c r="K84" s="81" t="n">
        <v>0</v>
      </c>
      <c r="L84" s="36"/>
      <c r="M84" s="36" t="n">
        <f aca="false">K84</f>
        <v>0</v>
      </c>
      <c r="N84" s="27"/>
      <c r="O84" s="27"/>
      <c r="P84" s="27"/>
      <c r="Q84" s="37"/>
      <c r="S84" s="84" t="s">
        <v>113</v>
      </c>
      <c r="T84" s="81" t="n">
        <v>0</v>
      </c>
      <c r="U84" s="36"/>
      <c r="V84" s="36" t="n">
        <f aca="false">T84</f>
        <v>0</v>
      </c>
      <c r="W84" s="27"/>
      <c r="X84" s="27"/>
      <c r="Y84" s="27"/>
      <c r="Z84" s="37"/>
      <c r="AB84" s="84" t="s">
        <v>113</v>
      </c>
      <c r="AC84" s="81" t="n">
        <v>0</v>
      </c>
      <c r="AD84" s="36"/>
      <c r="AE84" s="36" t="n">
        <f aca="false">AC84</f>
        <v>0</v>
      </c>
      <c r="AF84" s="27"/>
      <c r="AG84" s="27"/>
      <c r="AH84" s="27"/>
      <c r="AI84" s="37"/>
    </row>
    <row r="85" customFormat="false" ht="18.75" hidden="false" customHeight="false" outlineLevel="0" collapsed="false">
      <c r="A85" s="86" t="s">
        <v>114</v>
      </c>
      <c r="B85" s="91" t="n">
        <v>0</v>
      </c>
      <c r="C85" s="36"/>
      <c r="D85" s="36" t="n">
        <f aca="false">B85</f>
        <v>0</v>
      </c>
      <c r="E85" s="27"/>
      <c r="F85" s="36"/>
      <c r="G85" s="27"/>
      <c r="H85" s="37"/>
      <c r="J85" s="86" t="s">
        <v>114</v>
      </c>
      <c r="K85" s="91" t="n">
        <v>0</v>
      </c>
      <c r="L85" s="36"/>
      <c r="M85" s="36" t="n">
        <f aca="false">K85</f>
        <v>0</v>
      </c>
      <c r="N85" s="27"/>
      <c r="O85" s="27"/>
      <c r="P85" s="27"/>
      <c r="Q85" s="37"/>
      <c r="S85" s="86" t="s">
        <v>114</v>
      </c>
      <c r="T85" s="91" t="n">
        <v>0</v>
      </c>
      <c r="U85" s="36"/>
      <c r="V85" s="36" t="n">
        <f aca="false">T85</f>
        <v>0</v>
      </c>
      <c r="W85" s="27"/>
      <c r="X85" s="27"/>
      <c r="Y85" s="27"/>
      <c r="Z85" s="37"/>
      <c r="AB85" s="86" t="s">
        <v>114</v>
      </c>
      <c r="AC85" s="91" t="n">
        <v>0</v>
      </c>
      <c r="AD85" s="36"/>
      <c r="AE85" s="36" t="n">
        <f aca="false">AC85</f>
        <v>0</v>
      </c>
      <c r="AF85" s="27"/>
      <c r="AG85" s="27"/>
      <c r="AH85" s="27"/>
      <c r="AI85" s="37"/>
    </row>
    <row r="86" customFormat="false" ht="18.75" hidden="false" customHeight="false" outlineLevel="0" collapsed="false">
      <c r="A86" s="92" t="s">
        <v>115</v>
      </c>
      <c r="B86" s="93" t="n">
        <f aca="false">SUM(D74:D85)</f>
        <v>0</v>
      </c>
      <c r="C86" s="36"/>
      <c r="D86" s="36"/>
      <c r="E86" s="27"/>
      <c r="F86" s="36"/>
      <c r="G86" s="36"/>
      <c r="H86" s="37"/>
      <c r="J86" s="92" t="s">
        <v>115</v>
      </c>
      <c r="K86" s="93" t="n">
        <f aca="false">SUM(M74:M85)</f>
        <v>0</v>
      </c>
      <c r="L86" s="36"/>
      <c r="M86" s="36"/>
      <c r="N86" s="27"/>
      <c r="O86" s="27"/>
      <c r="P86" s="27"/>
      <c r="Q86" s="37"/>
      <c r="S86" s="92" t="s">
        <v>115</v>
      </c>
      <c r="T86" s="93" t="n">
        <f aca="false">SUM(V74:V85)</f>
        <v>0</v>
      </c>
      <c r="U86" s="36"/>
      <c r="V86" s="36"/>
      <c r="W86" s="27"/>
      <c r="X86" s="27"/>
      <c r="Y86" s="27"/>
      <c r="Z86" s="37"/>
      <c r="AB86" s="92" t="s">
        <v>115</v>
      </c>
      <c r="AC86" s="93" t="n">
        <f aca="false">SUM(AE74:AE85)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116</v>
      </c>
      <c r="B87" s="37" t="n">
        <f aca="false">B86/K29</f>
        <v>0</v>
      </c>
      <c r="C87" s="36"/>
      <c r="D87" s="36"/>
      <c r="E87" s="27"/>
      <c r="F87" s="27"/>
      <c r="G87" s="27"/>
      <c r="H87" s="37"/>
      <c r="J87" s="35" t="s">
        <v>116</v>
      </c>
      <c r="K87" s="37" t="n">
        <f aca="false">K86/K29</f>
        <v>0</v>
      </c>
      <c r="L87" s="36"/>
      <c r="M87" s="36"/>
      <c r="N87" s="27"/>
      <c r="O87" s="27"/>
      <c r="P87" s="27"/>
      <c r="Q87" s="37"/>
      <c r="S87" s="35" t="s">
        <v>116</v>
      </c>
      <c r="T87" s="37" t="n">
        <f aca="false">T86/K29</f>
        <v>0</v>
      </c>
      <c r="U87" s="36"/>
      <c r="V87" s="36"/>
      <c r="W87" s="27"/>
      <c r="X87" s="27"/>
      <c r="Y87" s="27"/>
      <c r="Z87" s="37"/>
      <c r="AB87" s="35" t="s">
        <v>116</v>
      </c>
      <c r="AC87" s="37" t="n">
        <f aca="false">AC86/K29</f>
        <v>0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94" t="s">
        <v>117</v>
      </c>
      <c r="B88" s="63" t="n">
        <f aca="false">K49</f>
        <v>294.333333333333</v>
      </c>
      <c r="C88" s="36"/>
      <c r="D88" s="36"/>
      <c r="E88" s="27"/>
      <c r="F88" s="27"/>
      <c r="G88" s="27"/>
      <c r="H88" s="37"/>
      <c r="J88" s="94" t="s">
        <v>117</v>
      </c>
      <c r="K88" s="63" t="n">
        <f aca="false">K47</f>
        <v>1</v>
      </c>
      <c r="L88" s="36"/>
      <c r="M88" s="36"/>
      <c r="N88" s="27"/>
      <c r="O88" s="27"/>
      <c r="P88" s="27"/>
      <c r="Q88" s="37"/>
      <c r="S88" s="94" t="s">
        <v>117</v>
      </c>
      <c r="T88" s="63" t="n">
        <f aca="false">B60</f>
        <v>294.333333333333</v>
      </c>
      <c r="U88" s="36"/>
      <c r="V88" s="36"/>
      <c r="W88" s="27"/>
      <c r="X88" s="27"/>
      <c r="Y88" s="27"/>
      <c r="Z88" s="37"/>
      <c r="AB88" s="94" t="s">
        <v>117</v>
      </c>
      <c r="AC88" s="63" t="n">
        <f aca="false">B60</f>
        <v>294.333333333333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/>
      <c r="B89" s="36"/>
      <c r="C89" s="36"/>
      <c r="D89" s="36"/>
      <c r="E89" s="27"/>
      <c r="F89" s="27"/>
      <c r="G89" s="27"/>
      <c r="H89" s="37"/>
      <c r="J89" s="35"/>
      <c r="K89" s="36"/>
      <c r="L89" s="36"/>
      <c r="M89" s="36"/>
      <c r="N89" s="27"/>
      <c r="O89" s="27"/>
      <c r="P89" s="27"/>
      <c r="Q89" s="37"/>
      <c r="S89" s="35"/>
      <c r="T89" s="36"/>
      <c r="U89" s="36"/>
      <c r="V89" s="36"/>
      <c r="W89" s="27"/>
      <c r="X89" s="27"/>
      <c r="Y89" s="27"/>
      <c r="Z89" s="37"/>
      <c r="AB89" s="35"/>
      <c r="AC89" s="36"/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29" t="s">
        <v>118</v>
      </c>
      <c r="B90" s="31" t="n">
        <f aca="false">F37</f>
        <v>20000</v>
      </c>
      <c r="C90" s="36"/>
      <c r="D90" s="36"/>
      <c r="E90" s="27"/>
      <c r="F90" s="29" t="s">
        <v>118</v>
      </c>
      <c r="G90" s="31" t="n">
        <f aca="false">F37</f>
        <v>20000</v>
      </c>
      <c r="H90" s="37"/>
      <c r="J90" s="29" t="s">
        <v>118</v>
      </c>
      <c r="K90" s="31" t="e">
        <f aca="false">P167</f>
        <v>#VALUE!</v>
      </c>
      <c r="L90" s="36"/>
      <c r="M90" s="36"/>
      <c r="N90" s="27"/>
      <c r="O90" s="27"/>
      <c r="P90" s="27"/>
      <c r="Q90" s="37"/>
      <c r="S90" s="29" t="s">
        <v>118</v>
      </c>
      <c r="T90" s="31" t="e">
        <f aca="false">Y167</f>
        <v>#VALUE!</v>
      </c>
      <c r="U90" s="36"/>
      <c r="V90" s="36"/>
      <c r="W90" s="27"/>
      <c r="X90" s="27"/>
      <c r="Y90" s="27"/>
      <c r="Z90" s="37"/>
      <c r="AB90" s="29" t="s">
        <v>118</v>
      </c>
      <c r="AC90" s="31" t="e">
        <f aca="false">AH167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119</v>
      </c>
      <c r="B91" s="37" t="n">
        <f aca="false">IF(A111="YES",A43,0)</f>
        <v>6000</v>
      </c>
      <c r="C91" s="36"/>
      <c r="D91" s="36"/>
      <c r="E91" s="27"/>
      <c r="F91" s="35" t="s">
        <v>119</v>
      </c>
      <c r="G91" s="37" t="n">
        <f aca="false">IF(A111="YES",A43,0)</f>
        <v>6000</v>
      </c>
      <c r="H91" s="37"/>
      <c r="J91" s="35" t="s">
        <v>119</v>
      </c>
      <c r="K91" s="37" t="n">
        <f aca="false">IF(J120="YES",A40,0)</f>
        <v>0</v>
      </c>
      <c r="L91" s="36"/>
      <c r="M91" s="36"/>
      <c r="N91" s="27"/>
      <c r="O91" s="27"/>
      <c r="P91" s="27"/>
      <c r="Q91" s="37"/>
      <c r="S91" s="35" t="s">
        <v>119</v>
      </c>
      <c r="T91" s="37" t="str">
        <f aca="false">A40</f>
        <v>12</v>
      </c>
      <c r="U91" s="36"/>
      <c r="V91" s="36"/>
      <c r="W91" s="27"/>
      <c r="X91" s="27"/>
      <c r="Y91" s="27"/>
      <c r="Z91" s="37"/>
      <c r="AB91" s="35" t="s">
        <v>119</v>
      </c>
      <c r="AC91" s="37" t="str">
        <f aca="false">A40</f>
        <v>12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35" t="s">
        <v>120</v>
      </c>
      <c r="B92" s="88" t="n">
        <f aca="false">B71+B72+B73</f>
        <v>0.1255</v>
      </c>
      <c r="C92" s="36"/>
      <c r="D92" s="36"/>
      <c r="E92" s="27"/>
      <c r="F92" s="35" t="s">
        <v>120</v>
      </c>
      <c r="G92" s="95" t="n">
        <f aca="false">B72</f>
        <v>0.065</v>
      </c>
      <c r="H92" s="37"/>
      <c r="J92" s="35" t="s">
        <v>120</v>
      </c>
      <c r="K92" s="88" t="n">
        <f aca="false">K71+K72+K73</f>
        <v>0.24</v>
      </c>
      <c r="L92" s="36"/>
      <c r="M92" s="36"/>
      <c r="N92" s="27"/>
      <c r="O92" s="27"/>
      <c r="P92" s="27"/>
      <c r="Q92" s="37"/>
      <c r="S92" s="35" t="s">
        <v>120</v>
      </c>
      <c r="T92" s="88" t="n">
        <f aca="false">T71+T72+T73</f>
        <v>0.1235</v>
      </c>
      <c r="U92" s="36"/>
      <c r="V92" s="36"/>
      <c r="W92" s="27"/>
      <c r="X92" s="27"/>
      <c r="Y92" s="27"/>
      <c r="Z92" s="37"/>
      <c r="AB92" s="35" t="s">
        <v>120</v>
      </c>
      <c r="AC92" s="88" t="n">
        <f aca="false">AC71+AC72+AC73</f>
        <v>0.1235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 t="s">
        <v>121</v>
      </c>
      <c r="B93" s="88" t="n">
        <f aca="false">B92/12</f>
        <v>0.0104583333333333</v>
      </c>
      <c r="C93" s="36"/>
      <c r="D93" s="36"/>
      <c r="E93" s="27"/>
      <c r="F93" s="35" t="s">
        <v>121</v>
      </c>
      <c r="G93" s="88" t="n">
        <f aca="false">G92/12</f>
        <v>0.00541666666666667</v>
      </c>
      <c r="H93" s="37"/>
      <c r="J93" s="35" t="s">
        <v>121</v>
      </c>
      <c r="K93" s="88" t="n">
        <f aca="false">K92/12</f>
        <v>0.02</v>
      </c>
      <c r="L93" s="36"/>
      <c r="M93" s="36"/>
      <c r="N93" s="27"/>
      <c r="O93" s="27"/>
      <c r="P93" s="27"/>
      <c r="Q93" s="37"/>
      <c r="S93" s="35" t="s">
        <v>121</v>
      </c>
      <c r="T93" s="88" t="n">
        <f aca="false">T92/12</f>
        <v>0.0102916666666667</v>
      </c>
      <c r="U93" s="36"/>
      <c r="V93" s="36"/>
      <c r="W93" s="27"/>
      <c r="X93" s="27"/>
      <c r="Y93" s="27"/>
      <c r="Z93" s="37"/>
      <c r="AB93" s="35" t="s">
        <v>121</v>
      </c>
      <c r="AC93" s="88" t="n">
        <f aca="false">AC92/12</f>
        <v>0.0102916666666667</v>
      </c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35" t="s">
        <v>122</v>
      </c>
      <c r="B94" s="37" t="n">
        <f aca="false">IF(B91=0,(B68+B67),(B68))</f>
        <v>11</v>
      </c>
      <c r="C94" s="36"/>
      <c r="D94" s="36"/>
      <c r="E94" s="27"/>
      <c r="F94" s="35" t="s">
        <v>122</v>
      </c>
      <c r="G94" s="37" t="n">
        <f aca="false">IF(G91=0,(B68+B67),(B68))</f>
        <v>11</v>
      </c>
      <c r="H94" s="37"/>
      <c r="J94" s="35" t="s">
        <v>122</v>
      </c>
      <c r="K94" s="37" t="n">
        <f aca="false">IF(K91=0,(K68+K67),(K68))</f>
        <v>12</v>
      </c>
      <c r="L94" s="36"/>
      <c r="M94" s="36"/>
      <c r="N94" s="27"/>
      <c r="O94" s="27"/>
      <c r="P94" s="27"/>
      <c r="Q94" s="37"/>
      <c r="S94" s="35" t="s">
        <v>122</v>
      </c>
      <c r="T94" s="37" t="n">
        <f aca="false">T68</f>
        <v>11</v>
      </c>
      <c r="U94" s="36"/>
      <c r="V94" s="36"/>
      <c r="W94" s="27"/>
      <c r="X94" s="27"/>
      <c r="Y94" s="27"/>
      <c r="Z94" s="37"/>
      <c r="AB94" s="35" t="s">
        <v>122</v>
      </c>
      <c r="AC94" s="37" t="n">
        <f aca="false">AC68</f>
        <v>11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35" t="s">
        <v>123</v>
      </c>
      <c r="B95" s="37" t="n">
        <f aca="false">(B91/((1+B93)^(B94+1)))</f>
        <v>5295.78483323301</v>
      </c>
      <c r="C95" s="36"/>
      <c r="D95" s="36"/>
      <c r="E95" s="27"/>
      <c r="F95" s="35" t="s">
        <v>123</v>
      </c>
      <c r="G95" s="37" t="n">
        <f aca="false">(G91/((1+G93)^(G94+1)))</f>
        <v>5623.39108453416</v>
      </c>
      <c r="H95" s="37"/>
      <c r="J95" s="35" t="s">
        <v>123</v>
      </c>
      <c r="K95" s="37" t="n">
        <f aca="false">(K91/((1+K93)^(K94+1)))</f>
        <v>0</v>
      </c>
      <c r="L95" s="36"/>
      <c r="M95" s="36"/>
      <c r="N95" s="27"/>
      <c r="O95" s="27"/>
      <c r="P95" s="27"/>
      <c r="Q95" s="37"/>
      <c r="S95" s="35" t="s">
        <v>123</v>
      </c>
      <c r="T95" s="37" t="n">
        <f aca="false">(T91/((1+T93)^(T94+1)))</f>
        <v>10.6125560515631</v>
      </c>
      <c r="U95" s="36"/>
      <c r="V95" s="36"/>
      <c r="W95" s="27"/>
      <c r="X95" s="27"/>
      <c r="Y95" s="27"/>
      <c r="Z95" s="37"/>
      <c r="AB95" s="35" t="s">
        <v>123</v>
      </c>
      <c r="AC95" s="37" t="n">
        <f aca="false">(AC91/((1+AC93)^(AC94+1)))</f>
        <v>10.6125560515631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35" t="s">
        <v>124</v>
      </c>
      <c r="B96" s="37" t="n">
        <f aca="false">((1-(1/((1+B93)^B94)))/B93)</f>
        <v>10.3399216528992</v>
      </c>
      <c r="C96" s="36"/>
      <c r="D96" s="36"/>
      <c r="E96" s="27"/>
      <c r="F96" s="35" t="s">
        <v>124</v>
      </c>
      <c r="G96" s="37" t="n">
        <f aca="false">((1-(1/((1+G93)^G94)))/G93)</f>
        <v>10.6507347822959</v>
      </c>
      <c r="H96" s="37"/>
      <c r="J96" s="35" t="s">
        <v>124</v>
      </c>
      <c r="K96" s="37" t="n">
        <f aca="false">((1-(1/((1+K93)^K94)))/K93)</f>
        <v>10.5753412209172</v>
      </c>
      <c r="L96" s="36"/>
      <c r="M96" s="36"/>
      <c r="N96" s="27"/>
      <c r="O96" s="27"/>
      <c r="P96" s="27"/>
      <c r="Q96" s="37"/>
      <c r="S96" s="35" t="s">
        <v>124</v>
      </c>
      <c r="T96" s="37" t="n">
        <f aca="false">((1-(1/((1+T93)^T94)))/T93)</f>
        <v>10.3499842839909</v>
      </c>
      <c r="U96" s="36"/>
      <c r="V96" s="36"/>
      <c r="W96" s="27"/>
      <c r="X96" s="27"/>
      <c r="Y96" s="27"/>
      <c r="Z96" s="37"/>
      <c r="AB96" s="35" t="s">
        <v>124</v>
      </c>
      <c r="AC96" s="37" t="n">
        <f aca="false">((1-(1/((1+AC93)^AC94)))/AC93)</f>
        <v>10.3499842839909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35" t="s">
        <v>125</v>
      </c>
      <c r="B97" s="37" t="n">
        <f aca="false">B90-B95</f>
        <v>14704.215166767</v>
      </c>
      <c r="C97" s="36"/>
      <c r="D97" s="36"/>
      <c r="E97" s="27"/>
      <c r="F97" s="35" t="s">
        <v>125</v>
      </c>
      <c r="G97" s="37" t="n">
        <f aca="false">G90-G95</f>
        <v>14376.6089154658</v>
      </c>
      <c r="H97" s="37"/>
      <c r="J97" s="35" t="s">
        <v>125</v>
      </c>
      <c r="K97" s="37" t="e">
        <f aca="false">K90-K95</f>
        <v>#VALUE!</v>
      </c>
      <c r="L97" s="36"/>
      <c r="M97" s="36"/>
      <c r="N97" s="27"/>
      <c r="O97" s="27"/>
      <c r="P97" s="27"/>
      <c r="Q97" s="37"/>
      <c r="S97" s="35" t="s">
        <v>125</v>
      </c>
      <c r="T97" s="37" t="e">
        <f aca="false">T90-T95</f>
        <v>#VALUE!</v>
      </c>
      <c r="U97" s="36"/>
      <c r="V97" s="36"/>
      <c r="W97" s="27"/>
      <c r="X97" s="27"/>
      <c r="Y97" s="27"/>
      <c r="Z97" s="37"/>
      <c r="AB97" s="35" t="s">
        <v>125</v>
      </c>
      <c r="AC97" s="37" t="e">
        <f aca="false">AC90-AC95</f>
        <v>#VALUE!</v>
      </c>
      <c r="AD97" s="36"/>
      <c r="AE97" s="36"/>
      <c r="AF97" s="27"/>
      <c r="AG97" s="27"/>
      <c r="AH97" s="27"/>
      <c r="AI97" s="37"/>
    </row>
    <row r="98" customFormat="false" ht="18.75" hidden="false" customHeight="false" outlineLevel="0" collapsed="false">
      <c r="A98" s="35" t="s">
        <v>126</v>
      </c>
      <c r="B98" s="37" t="n">
        <f aca="false">(B97/B96)</f>
        <v>1422.08187454149</v>
      </c>
      <c r="C98" s="36"/>
      <c r="D98" s="36"/>
      <c r="E98" s="27"/>
      <c r="F98" s="35" t="s">
        <v>126</v>
      </c>
      <c r="G98" s="37" t="n">
        <f aca="false">(G97/G96)</f>
        <v>1349.82320087092</v>
      </c>
      <c r="H98" s="37"/>
      <c r="J98" s="35" t="s">
        <v>126</v>
      </c>
      <c r="K98" s="37" t="e">
        <f aca="false">(K97/K96)</f>
        <v>#VALUE!</v>
      </c>
      <c r="L98" s="36"/>
      <c r="M98" s="36"/>
      <c r="N98" s="27"/>
      <c r="O98" s="27"/>
      <c r="P98" s="27"/>
      <c r="Q98" s="37"/>
      <c r="S98" s="35" t="s">
        <v>126</v>
      </c>
      <c r="T98" s="37" t="e">
        <f aca="false">(T97/T96)</f>
        <v>#VALUE!</v>
      </c>
      <c r="U98" s="36"/>
      <c r="V98" s="36"/>
      <c r="W98" s="27"/>
      <c r="X98" s="27"/>
      <c r="Y98" s="27"/>
      <c r="Z98" s="37"/>
      <c r="AB98" s="35" t="s">
        <v>126</v>
      </c>
      <c r="AC98" s="37" t="e">
        <f aca="false">(AC97/AC96)</f>
        <v>#VALUE!</v>
      </c>
      <c r="AD98" s="36"/>
      <c r="AE98" s="36"/>
      <c r="AF98" s="27"/>
      <c r="AG98" s="27"/>
      <c r="AH98" s="27"/>
      <c r="AI98" s="37"/>
    </row>
    <row r="99" customFormat="false" ht="18.75" hidden="false" customHeight="false" outlineLevel="0" collapsed="false">
      <c r="A99" s="35" t="s">
        <v>127</v>
      </c>
      <c r="B99" s="37" t="n">
        <f aca="false">((B98*(B94))+B86)</f>
        <v>15642.9006199563</v>
      </c>
      <c r="C99" s="36"/>
      <c r="D99" s="36"/>
      <c r="E99" s="27"/>
      <c r="F99" s="35" t="s">
        <v>127</v>
      </c>
      <c r="G99" s="37" t="n">
        <f aca="false">((G98*(G94))+G86)</f>
        <v>14848.0552095801</v>
      </c>
      <c r="H99" s="37"/>
      <c r="J99" s="35" t="s">
        <v>127</v>
      </c>
      <c r="K99" s="37" t="e">
        <f aca="false">((K98*(K94))+K86)</f>
        <v>#VALUE!</v>
      </c>
      <c r="L99" s="36"/>
      <c r="M99" s="36"/>
      <c r="N99" s="27"/>
      <c r="O99" s="27"/>
      <c r="P99" s="27"/>
      <c r="Q99" s="37"/>
      <c r="S99" s="35" t="s">
        <v>127</v>
      </c>
      <c r="T99" s="37" t="e">
        <f aca="false">(T98*(T94))+T86</f>
        <v>#VALUE!</v>
      </c>
      <c r="U99" s="36"/>
      <c r="V99" s="36"/>
      <c r="W99" s="27"/>
      <c r="X99" s="27"/>
      <c r="Y99" s="27"/>
      <c r="Z99" s="37"/>
      <c r="AB99" s="35" t="s">
        <v>127</v>
      </c>
      <c r="AC99" s="37" t="e">
        <f aca="false">(AC98*(AC68))+AC86</f>
        <v>#VALUE!</v>
      </c>
      <c r="AD99" s="36"/>
      <c r="AE99" s="36"/>
      <c r="AF99" s="27"/>
      <c r="AG99" s="27"/>
      <c r="AH99" s="27"/>
      <c r="AI99" s="37"/>
    </row>
    <row r="100" customFormat="false" ht="18.75" hidden="false" customHeight="false" outlineLevel="0" collapsed="false">
      <c r="A100" s="35" t="s">
        <v>128</v>
      </c>
      <c r="B100" s="37" t="n">
        <f aca="false">(((B98*(B94))+B86)/(1-B80))*B80</f>
        <v>0</v>
      </c>
      <c r="C100" s="36"/>
      <c r="D100" s="36"/>
      <c r="E100" s="27"/>
      <c r="F100" s="35" t="s">
        <v>128</v>
      </c>
      <c r="G100" s="37" t="n">
        <f aca="false">(((G98*(G94))+G86)/(1-G80))*G80</f>
        <v>0</v>
      </c>
      <c r="H100" s="37"/>
      <c r="J100" s="35" t="s">
        <v>128</v>
      </c>
      <c r="K100" s="37" t="e">
        <f aca="false">(K99/(1-K80))*K80</f>
        <v>#VALUE!</v>
      </c>
      <c r="L100" s="36"/>
      <c r="M100" s="36"/>
      <c r="N100" s="27"/>
      <c r="O100" s="27"/>
      <c r="P100" s="27"/>
      <c r="Q100" s="37"/>
      <c r="S100" s="35" t="s">
        <v>128</v>
      </c>
      <c r="T100" s="37" t="e">
        <f aca="false">(T99/(1-T80))*T80</f>
        <v>#VALUE!</v>
      </c>
      <c r="U100" s="36"/>
      <c r="V100" s="36"/>
      <c r="W100" s="27"/>
      <c r="X100" s="27"/>
      <c r="Y100" s="27"/>
      <c r="Z100" s="37"/>
      <c r="AB100" s="35" t="s">
        <v>128</v>
      </c>
      <c r="AC100" s="37" t="e">
        <f aca="false">(AC99/(1-AC80))*AC80</f>
        <v>#VALUE!</v>
      </c>
      <c r="AD100" s="36"/>
      <c r="AE100" s="36"/>
      <c r="AF100" s="27"/>
      <c r="AG100" s="27"/>
      <c r="AH100" s="27"/>
      <c r="AI100" s="37"/>
    </row>
    <row r="101" customFormat="false" ht="18.75" hidden="false" customHeight="false" outlineLevel="0" collapsed="false">
      <c r="A101" s="60" t="s">
        <v>129</v>
      </c>
      <c r="B101" s="69" t="n">
        <f aca="false">(B99+B100)</f>
        <v>15642.9006199563</v>
      </c>
      <c r="C101" s="36"/>
      <c r="D101" s="36"/>
      <c r="E101" s="27"/>
      <c r="F101" s="60" t="s">
        <v>129</v>
      </c>
      <c r="G101" s="69" t="n">
        <f aca="false">(G99+G100)</f>
        <v>14848.0552095801</v>
      </c>
      <c r="H101" s="37"/>
      <c r="J101" s="60" t="s">
        <v>129</v>
      </c>
      <c r="K101" s="69" t="e">
        <f aca="false">(K99+K100)</f>
        <v>#VALUE!</v>
      </c>
      <c r="L101" s="36"/>
      <c r="M101" s="36"/>
      <c r="N101" s="27"/>
      <c r="O101" s="27"/>
      <c r="P101" s="27"/>
      <c r="Q101" s="37"/>
      <c r="S101" s="60" t="s">
        <v>129</v>
      </c>
      <c r="T101" s="69" t="e">
        <f aca="false">(T99+T100)</f>
        <v>#VALUE!</v>
      </c>
      <c r="U101" s="36"/>
      <c r="V101" s="36"/>
      <c r="W101" s="27"/>
      <c r="X101" s="27"/>
      <c r="Y101" s="27"/>
      <c r="Z101" s="37"/>
      <c r="AB101" s="60" t="s">
        <v>129</v>
      </c>
      <c r="AC101" s="69" t="e">
        <f aca="false">(AC99+AC100)</f>
        <v>#VALUE!</v>
      </c>
      <c r="AD101" s="36"/>
      <c r="AE101" s="36"/>
      <c r="AF101" s="27"/>
      <c r="AG101" s="27"/>
      <c r="AH101" s="27"/>
      <c r="AI101" s="37"/>
    </row>
    <row r="102" customFormat="false" ht="18.75" hidden="false" customHeight="false" outlineLevel="0" collapsed="false">
      <c r="A102" s="35"/>
      <c r="B102" s="36"/>
      <c r="C102" s="36"/>
      <c r="D102" s="36"/>
      <c r="E102" s="27"/>
      <c r="F102" s="35"/>
      <c r="G102" s="36"/>
      <c r="H102" s="37"/>
      <c r="J102" s="35"/>
      <c r="K102" s="36"/>
      <c r="L102" s="36"/>
      <c r="M102" s="36"/>
      <c r="N102" s="27"/>
      <c r="O102" s="27"/>
      <c r="P102" s="27"/>
      <c r="Q102" s="37"/>
      <c r="S102" s="35"/>
      <c r="T102" s="36"/>
      <c r="U102" s="36"/>
      <c r="V102" s="36"/>
      <c r="W102" s="27"/>
      <c r="X102" s="27"/>
      <c r="Y102" s="27"/>
      <c r="Z102" s="37"/>
      <c r="AB102" s="35"/>
      <c r="AC102" s="36"/>
      <c r="AD102" s="36"/>
      <c r="AE102" s="36"/>
      <c r="AF102" s="27"/>
      <c r="AG102" s="27"/>
      <c r="AH102" s="27"/>
      <c r="AI102" s="37"/>
    </row>
    <row r="103" customFormat="false" ht="18.75" hidden="false" customHeight="false" outlineLevel="0" collapsed="false">
      <c r="A103" s="92" t="s">
        <v>130</v>
      </c>
      <c r="B103" s="93" t="n">
        <f aca="false">((A46*A34)+((A46*A34)*A117))/(B68)*1.2</f>
        <v>0</v>
      </c>
      <c r="C103" s="36"/>
      <c r="D103" s="36"/>
      <c r="E103" s="27"/>
      <c r="F103" s="92" t="s">
        <v>130</v>
      </c>
      <c r="G103" s="96" t="str">
        <f aca="false">IF(B35="YES",((E49/B94)*(1+A117)*(C54/100)),"0")</f>
        <v>0</v>
      </c>
      <c r="H103" s="37"/>
      <c r="J103" s="92" t="s">
        <v>130</v>
      </c>
      <c r="K103" s="93" t="n">
        <f aca="false">((E40/K94)*(1+J117))*1.2</f>
        <v>0</v>
      </c>
      <c r="L103" s="36"/>
      <c r="M103" s="36"/>
      <c r="N103" s="27"/>
      <c r="O103" s="27"/>
      <c r="P103" s="27"/>
      <c r="Q103" s="37"/>
      <c r="S103" s="92" t="s">
        <v>130</v>
      </c>
      <c r="T103" s="93" t="n">
        <f aca="false">((E40/T94)*(1+S117))</f>
        <v>0</v>
      </c>
      <c r="U103" s="36"/>
      <c r="V103" s="36"/>
      <c r="W103" s="27"/>
      <c r="X103" s="27"/>
      <c r="Y103" s="27"/>
      <c r="Z103" s="37"/>
      <c r="AB103" s="92" t="s">
        <v>130</v>
      </c>
      <c r="AC103" s="93" t="n">
        <f aca="false">((E40/AC94)*(1+AB117))*1.2</f>
        <v>0</v>
      </c>
      <c r="AD103" s="36"/>
      <c r="AE103" s="36"/>
      <c r="AF103" s="27"/>
      <c r="AG103" s="27"/>
      <c r="AH103" s="27"/>
      <c r="AI103" s="37"/>
    </row>
    <row r="104" customFormat="false" ht="18.75" hidden="false" customHeight="false" outlineLevel="0" collapsed="false">
      <c r="A104" s="97" t="s">
        <v>131</v>
      </c>
      <c r="B104" s="98" t="n">
        <f aca="false">B101/(B94)</f>
        <v>1422.08187454149</v>
      </c>
      <c r="C104" s="36"/>
      <c r="D104" s="36"/>
      <c r="E104" s="27"/>
      <c r="F104" s="97" t="s">
        <v>131</v>
      </c>
      <c r="G104" s="98" t="n">
        <f aca="false">G101/(G94)</f>
        <v>1349.82320087092</v>
      </c>
      <c r="H104" s="37"/>
      <c r="J104" s="97" t="s">
        <v>131</v>
      </c>
      <c r="K104" s="98" t="e">
        <f aca="false">K101/(K94)</f>
        <v>#VALUE!</v>
      </c>
      <c r="L104" s="36"/>
      <c r="M104" s="36"/>
      <c r="N104" s="27"/>
      <c r="O104" s="27"/>
      <c r="P104" s="27"/>
      <c r="Q104" s="37"/>
      <c r="S104" s="97" t="s">
        <v>131</v>
      </c>
      <c r="T104" s="98" t="e">
        <f aca="false">T101/(T94)</f>
        <v>#VALUE!</v>
      </c>
      <c r="U104" s="36"/>
      <c r="V104" s="36"/>
      <c r="W104" s="27"/>
      <c r="X104" s="27"/>
      <c r="Y104" s="27"/>
      <c r="Z104" s="37"/>
      <c r="AB104" s="97" t="s">
        <v>131</v>
      </c>
      <c r="AC104" s="98" t="e">
        <f aca="false">AC101/(AC68)</f>
        <v>#VALUE!</v>
      </c>
      <c r="AD104" s="36"/>
      <c r="AE104" s="36"/>
      <c r="AF104" s="27"/>
      <c r="AG104" s="27"/>
      <c r="AH104" s="27"/>
      <c r="AI104" s="37"/>
    </row>
    <row r="105" customFormat="false" ht="18.75" hidden="false" customHeight="false" outlineLevel="0" collapsed="false">
      <c r="A105" s="99" t="s">
        <v>132</v>
      </c>
      <c r="B105" s="100" t="n">
        <f aca="false">B103+B104</f>
        <v>1422.08187454149</v>
      </c>
      <c r="C105" s="36"/>
      <c r="D105" s="36"/>
      <c r="E105" s="27" t="s">
        <v>31</v>
      </c>
      <c r="F105" s="99" t="s">
        <v>132</v>
      </c>
      <c r="G105" s="100" t="n">
        <f aca="false">G103+G104</f>
        <v>1349.82320087092</v>
      </c>
      <c r="H105" s="37"/>
      <c r="J105" s="99" t="s">
        <v>132</v>
      </c>
      <c r="K105" s="100" t="e">
        <f aca="false">(K103+K104)</f>
        <v>#VALUE!</v>
      </c>
      <c r="L105" s="36"/>
      <c r="M105" s="36"/>
      <c r="N105" s="27"/>
      <c r="O105" s="27"/>
      <c r="P105" s="27"/>
      <c r="Q105" s="37"/>
      <c r="S105" s="99" t="s">
        <v>132</v>
      </c>
      <c r="T105" s="100" t="e">
        <f aca="false">T103+T104</f>
        <v>#VALUE!</v>
      </c>
      <c r="U105" s="36"/>
      <c r="V105" s="36"/>
      <c r="W105" s="27"/>
      <c r="X105" s="27"/>
      <c r="Y105" s="27"/>
      <c r="Z105" s="37"/>
      <c r="AB105" s="99" t="s">
        <v>132</v>
      </c>
      <c r="AC105" s="100" t="e">
        <f aca="false">AC103+AC104</f>
        <v>#VALUE!</v>
      </c>
      <c r="AD105" s="36"/>
      <c r="AE105" s="36"/>
      <c r="AF105" s="27"/>
      <c r="AG105" s="27"/>
      <c r="AH105" s="27"/>
      <c r="AI105" s="37"/>
    </row>
    <row r="106" customFormat="false" ht="18.75" hidden="false" customHeight="false" outlineLevel="0" collapsed="false">
      <c r="A106" s="60"/>
      <c r="B106" s="61"/>
      <c r="C106" s="61"/>
      <c r="D106" s="61"/>
      <c r="E106" s="101"/>
      <c r="F106" s="101"/>
      <c r="G106" s="101"/>
      <c r="H106" s="69"/>
      <c r="J106" s="60"/>
      <c r="K106" s="61"/>
      <c r="L106" s="61"/>
      <c r="M106" s="61"/>
      <c r="N106" s="101"/>
      <c r="O106" s="101"/>
      <c r="P106" s="101"/>
      <c r="Q106" s="69"/>
      <c r="S106" s="60"/>
      <c r="T106" s="61"/>
      <c r="U106" s="61"/>
      <c r="V106" s="61"/>
      <c r="W106" s="101"/>
      <c r="X106" s="101"/>
      <c r="Y106" s="101"/>
      <c r="Z106" s="69"/>
      <c r="AB106" s="60"/>
      <c r="AC106" s="61"/>
      <c r="AD106" s="61"/>
      <c r="AE106" s="61"/>
      <c r="AF106" s="101"/>
      <c r="AG106" s="101"/>
      <c r="AH106" s="101"/>
      <c r="AI106" s="69"/>
    </row>
    <row r="107" customFormat="false" ht="18.7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J107" s="27"/>
      <c r="K107" s="27"/>
      <c r="L107" s="27"/>
      <c r="M107" s="27"/>
      <c r="N107" s="27"/>
      <c r="O107" s="27"/>
      <c r="P107" s="27"/>
      <c r="Q107" s="27"/>
      <c r="S107" s="27"/>
      <c r="T107" s="27"/>
      <c r="U107" s="27"/>
      <c r="V107" s="27"/>
      <c r="W107" s="27"/>
      <c r="X107" s="27"/>
      <c r="Y107" s="27"/>
      <c r="Z107" s="27"/>
      <c r="AB107" s="27"/>
      <c r="AC107" s="27"/>
      <c r="AD107" s="27"/>
      <c r="AE107" s="27"/>
      <c r="AF107" s="27"/>
      <c r="AG107" s="27"/>
      <c r="AH107" s="27"/>
      <c r="AI107" s="27"/>
    </row>
    <row r="108" customFormat="false" ht="18.75" hidden="false" customHeight="false" outlineLevel="0" collapsed="false">
      <c r="A108" s="27" t="n">
        <v>0.2</v>
      </c>
      <c r="B108" s="27" t="n">
        <v>0</v>
      </c>
      <c r="C108" s="27"/>
      <c r="D108" s="27" t="n">
        <v>0</v>
      </c>
      <c r="E108" s="27"/>
      <c r="F108" s="27"/>
      <c r="G108" s="27"/>
      <c r="H108" s="27"/>
      <c r="J108" s="27"/>
      <c r="K108" s="27"/>
      <c r="L108" s="27"/>
      <c r="M108" s="27"/>
      <c r="N108" s="27"/>
      <c r="O108" s="27"/>
      <c r="P108" s="27"/>
      <c r="Q108" s="27"/>
      <c r="S108" s="27"/>
      <c r="T108" s="27"/>
      <c r="U108" s="27"/>
      <c r="V108" s="27"/>
      <c r="W108" s="27"/>
      <c r="X108" s="27"/>
      <c r="Y108" s="27"/>
      <c r="Z108" s="27"/>
      <c r="AB108" s="27"/>
      <c r="AC108" s="27"/>
      <c r="AD108" s="27"/>
      <c r="AE108" s="27"/>
      <c r="AF108" s="27"/>
      <c r="AG108" s="27"/>
      <c r="AH108" s="27"/>
      <c r="AI108" s="27"/>
    </row>
    <row r="109" customFormat="false" ht="47.25" hidden="false" customHeight="true" outlineLevel="0" collapsed="false">
      <c r="A109" s="102" t="s">
        <v>133</v>
      </c>
      <c r="B109" s="102"/>
      <c r="C109" s="102"/>
      <c r="D109" s="102"/>
      <c r="E109" s="102"/>
      <c r="F109" s="102"/>
      <c r="G109" s="102"/>
      <c r="H109" s="102"/>
      <c r="J109" s="28" t="s">
        <v>134</v>
      </c>
      <c r="K109" s="28"/>
      <c r="L109" s="28"/>
      <c r="M109" s="28"/>
      <c r="N109" s="28"/>
      <c r="O109" s="28"/>
      <c r="P109" s="28"/>
      <c r="Q109" s="28"/>
      <c r="S109" s="102" t="s">
        <v>135</v>
      </c>
      <c r="T109" s="102"/>
      <c r="U109" s="102"/>
      <c r="V109" s="102"/>
      <c r="W109" s="102"/>
      <c r="X109" s="102"/>
      <c r="Y109" s="102"/>
      <c r="Z109" s="102"/>
      <c r="AB109" s="102" t="s">
        <v>136</v>
      </c>
      <c r="AC109" s="102"/>
      <c r="AD109" s="102"/>
      <c r="AE109" s="102"/>
      <c r="AF109" s="102"/>
      <c r="AG109" s="102"/>
      <c r="AH109" s="102"/>
      <c r="AI109" s="102"/>
    </row>
    <row r="110" customFormat="false" ht="18.75" hidden="false" customHeight="false" outlineLevel="0" collapsed="false">
      <c r="A110" s="29"/>
      <c r="B110" s="30"/>
      <c r="C110" s="30"/>
      <c r="D110" s="30"/>
      <c r="E110" s="79"/>
      <c r="F110" s="79"/>
      <c r="G110" s="79"/>
      <c r="H110" s="103"/>
      <c r="J110" s="29"/>
      <c r="K110" s="30"/>
      <c r="L110" s="30"/>
      <c r="M110" s="30"/>
      <c r="N110" s="79"/>
      <c r="O110" s="79"/>
      <c r="P110" s="79"/>
      <c r="Q110" s="103"/>
      <c r="S110" s="29"/>
      <c r="T110" s="30"/>
      <c r="U110" s="30"/>
      <c r="V110" s="30"/>
      <c r="W110" s="79"/>
      <c r="X110" s="79"/>
      <c r="Y110" s="79"/>
      <c r="Z110" s="103"/>
      <c r="AB110" s="29"/>
      <c r="AC110" s="30"/>
      <c r="AD110" s="30"/>
      <c r="AE110" s="30"/>
      <c r="AF110" s="79"/>
      <c r="AG110" s="79"/>
      <c r="AH110" s="79"/>
      <c r="AI110" s="103"/>
    </row>
    <row r="111" customFormat="false" ht="22.05" hidden="false" customHeight="false" outlineLevel="0" collapsed="false">
      <c r="A111" s="32" t="s">
        <v>31</v>
      </c>
      <c r="B111" s="32" t="n">
        <v>0</v>
      </c>
      <c r="C111" s="32"/>
      <c r="D111" s="32"/>
      <c r="E111" s="32" t="n">
        <v>0</v>
      </c>
      <c r="F111" s="32"/>
      <c r="G111" s="32"/>
      <c r="H111" s="32"/>
      <c r="J111" s="32" t="s">
        <v>137</v>
      </c>
      <c r="K111" s="32"/>
      <c r="L111" s="32"/>
      <c r="M111" s="32"/>
      <c r="N111" s="32"/>
      <c r="O111" s="32"/>
      <c r="P111" s="32"/>
      <c r="Q111" s="32"/>
      <c r="S111" s="32" t="s">
        <v>137</v>
      </c>
      <c r="T111" s="32"/>
      <c r="U111" s="32"/>
      <c r="V111" s="32"/>
      <c r="W111" s="32"/>
      <c r="X111" s="32"/>
      <c r="Y111" s="32"/>
      <c r="Z111" s="32"/>
      <c r="AB111" s="32" t="s">
        <v>137</v>
      </c>
      <c r="AC111" s="32"/>
      <c r="AD111" s="32"/>
      <c r="AE111" s="32"/>
      <c r="AF111" s="32"/>
      <c r="AG111" s="32"/>
      <c r="AH111" s="32"/>
      <c r="AI111" s="32"/>
    </row>
    <row r="112" customFormat="false" ht="18.75" hidden="false" customHeight="false" outlineLevel="0" collapsed="false">
      <c r="A112" s="35"/>
      <c r="B112" s="36"/>
      <c r="C112" s="36"/>
      <c r="D112" s="36"/>
      <c r="E112" s="27"/>
      <c r="F112" s="27"/>
      <c r="G112" s="27"/>
      <c r="H112" s="104"/>
      <c r="J112" s="35"/>
      <c r="K112" s="36"/>
      <c r="L112" s="36"/>
      <c r="M112" s="36"/>
      <c r="N112" s="27"/>
      <c r="O112" s="27"/>
      <c r="P112" s="27"/>
      <c r="Q112" s="104"/>
      <c r="S112" s="35"/>
      <c r="T112" s="36"/>
      <c r="U112" s="36"/>
      <c r="V112" s="36"/>
      <c r="W112" s="27"/>
      <c r="X112" s="27"/>
      <c r="Y112" s="27"/>
      <c r="Z112" s="104"/>
      <c r="AB112" s="35"/>
      <c r="AC112" s="36"/>
      <c r="AD112" s="36"/>
      <c r="AE112" s="36"/>
      <c r="AF112" s="27"/>
      <c r="AG112" s="27"/>
      <c r="AH112" s="27"/>
      <c r="AI112" s="104"/>
    </row>
    <row r="113" customFormat="false" ht="18.75" hidden="false" customHeight="false" outlineLevel="0" collapsed="false">
      <c r="A113" s="35" t="s">
        <v>138</v>
      </c>
      <c r="B113" s="36" t="s">
        <v>36</v>
      </c>
      <c r="C113" s="36"/>
      <c r="D113" s="36"/>
      <c r="E113" s="36" t="s">
        <v>139</v>
      </c>
      <c r="F113" s="36"/>
      <c r="G113" s="36"/>
      <c r="H113" s="37"/>
      <c r="J113" s="35" t="s">
        <v>138</v>
      </c>
      <c r="K113" s="36" t="s">
        <v>36</v>
      </c>
      <c r="L113" s="36"/>
      <c r="M113" s="36"/>
      <c r="N113" s="36" t="s">
        <v>139</v>
      </c>
      <c r="O113" s="36"/>
      <c r="P113" s="36"/>
      <c r="Q113" s="37"/>
      <c r="S113" s="35" t="s">
        <v>138</v>
      </c>
      <c r="T113" s="36" t="s">
        <v>36</v>
      </c>
      <c r="U113" s="36"/>
      <c r="V113" s="36"/>
      <c r="W113" s="36" t="s">
        <v>139</v>
      </c>
      <c r="X113" s="36"/>
      <c r="Y113" s="36"/>
      <c r="Z113" s="37"/>
      <c r="AB113" s="35" t="s">
        <v>138</v>
      </c>
      <c r="AC113" s="36" t="s">
        <v>36</v>
      </c>
      <c r="AD113" s="36"/>
      <c r="AE113" s="36"/>
      <c r="AF113" s="36" t="s">
        <v>139</v>
      </c>
      <c r="AG113" s="36"/>
      <c r="AH113" s="36"/>
      <c r="AI113" s="37"/>
    </row>
    <row r="114" customFormat="false" ht="18.75" hidden="false" customHeight="false" outlineLevel="0" collapsed="false">
      <c r="A114" s="40" t="s">
        <v>140</v>
      </c>
      <c r="B114" s="105" t="n">
        <v>239.99</v>
      </c>
      <c r="C114" s="105"/>
      <c r="D114" s="105"/>
      <c r="E114" s="106" t="s">
        <v>32</v>
      </c>
      <c r="F114" s="106"/>
      <c r="G114" s="106"/>
      <c r="H114" s="104"/>
      <c r="J114" s="40" t="s">
        <v>140</v>
      </c>
      <c r="K114" s="107" t="s">
        <v>141</v>
      </c>
      <c r="L114" s="107"/>
      <c r="M114" s="107"/>
      <c r="N114" s="106" t="s">
        <v>31</v>
      </c>
      <c r="O114" s="106"/>
      <c r="P114" s="106"/>
      <c r="Q114" s="104"/>
      <c r="S114" s="40" t="s">
        <v>140</v>
      </c>
      <c r="T114" s="105" t="s">
        <v>141</v>
      </c>
      <c r="U114" s="105"/>
      <c r="V114" s="105"/>
      <c r="W114" s="106" t="s">
        <v>31</v>
      </c>
      <c r="X114" s="106"/>
      <c r="Y114" s="106"/>
      <c r="Z114" s="104"/>
      <c r="AB114" s="40" t="s">
        <v>140</v>
      </c>
      <c r="AC114" s="105" t="s">
        <v>141</v>
      </c>
      <c r="AD114" s="105"/>
      <c r="AE114" s="105"/>
      <c r="AF114" s="106" t="s">
        <v>31</v>
      </c>
      <c r="AG114" s="106"/>
      <c r="AH114" s="106"/>
      <c r="AI114" s="104"/>
    </row>
    <row r="115" customFormat="false" ht="18.75" hidden="false" customHeight="false" outlineLevel="0" collapsed="false">
      <c r="A115" s="35"/>
      <c r="B115" s="36"/>
      <c r="C115" s="36"/>
      <c r="D115" s="27"/>
      <c r="E115" s="36"/>
      <c r="F115" s="36"/>
      <c r="G115" s="27"/>
      <c r="H115" s="37"/>
      <c r="J115" s="35"/>
      <c r="K115" s="36"/>
      <c r="L115" s="36"/>
      <c r="M115" s="27"/>
      <c r="N115" s="36"/>
      <c r="O115" s="36"/>
      <c r="P115" s="27"/>
      <c r="Q115" s="37"/>
      <c r="S115" s="35"/>
      <c r="T115" s="36"/>
      <c r="U115" s="36"/>
      <c r="V115" s="27"/>
      <c r="W115" s="36"/>
      <c r="X115" s="36"/>
      <c r="Y115" s="27"/>
      <c r="Z115" s="37"/>
      <c r="AB115" s="35"/>
      <c r="AC115" s="36"/>
      <c r="AD115" s="36"/>
      <c r="AE115" s="27"/>
      <c r="AF115" s="36"/>
      <c r="AG115" s="36"/>
      <c r="AH115" s="27"/>
      <c r="AI115" s="37"/>
    </row>
    <row r="116" customFormat="false" ht="18.75" hidden="false" customHeight="false" outlineLevel="0" collapsed="false">
      <c r="A116" s="35" t="s">
        <v>142</v>
      </c>
      <c r="B116" s="36" t="s">
        <v>143</v>
      </c>
      <c r="C116" s="36"/>
      <c r="D116" s="27"/>
      <c r="E116" s="36" t="s">
        <v>144</v>
      </c>
      <c r="F116" s="36"/>
      <c r="G116" s="27"/>
      <c r="H116" s="104"/>
      <c r="J116" s="35" t="s">
        <v>142</v>
      </c>
      <c r="K116" s="36" t="s">
        <v>143</v>
      </c>
      <c r="L116" s="36"/>
      <c r="M116" s="27"/>
      <c r="N116" s="36" t="s">
        <v>144</v>
      </c>
      <c r="O116" s="36"/>
      <c r="P116" s="27"/>
      <c r="Q116" s="104"/>
      <c r="S116" s="35" t="s">
        <v>142</v>
      </c>
      <c r="T116" s="36" t="s">
        <v>143</v>
      </c>
      <c r="U116" s="36"/>
      <c r="V116" s="27"/>
      <c r="W116" s="36" t="s">
        <v>144</v>
      </c>
      <c r="X116" s="36"/>
      <c r="Y116" s="27"/>
      <c r="Z116" s="104"/>
      <c r="AB116" s="35" t="s">
        <v>142</v>
      </c>
      <c r="AC116" s="36" t="s">
        <v>143</v>
      </c>
      <c r="AD116" s="36"/>
      <c r="AE116" s="27"/>
      <c r="AF116" s="36" t="s">
        <v>144</v>
      </c>
      <c r="AG116" s="36"/>
      <c r="AH116" s="27"/>
      <c r="AI116" s="104"/>
    </row>
    <row r="117" customFormat="false" ht="18.75" hidden="false" customHeight="false" outlineLevel="0" collapsed="false">
      <c r="A117" s="108" t="n">
        <v>0.2</v>
      </c>
      <c r="B117" s="109" t="s">
        <v>145</v>
      </c>
      <c r="C117" s="109"/>
      <c r="D117" s="109"/>
      <c r="E117" s="110" t="n">
        <f aca="false">B92</f>
        <v>0.1255</v>
      </c>
      <c r="F117" s="110"/>
      <c r="G117" s="110"/>
      <c r="H117" s="51"/>
      <c r="J117" s="108" t="n">
        <v>0.3</v>
      </c>
      <c r="K117" s="109" t="s">
        <v>145</v>
      </c>
      <c r="L117" s="109"/>
      <c r="M117" s="109"/>
      <c r="N117" s="110" t="n">
        <f aca="false">K92</f>
        <v>0.24</v>
      </c>
      <c r="O117" s="110"/>
      <c r="P117" s="110"/>
      <c r="Q117" s="51"/>
      <c r="S117" s="108" t="n">
        <v>0.2</v>
      </c>
      <c r="T117" s="109" t="s">
        <v>146</v>
      </c>
      <c r="U117" s="109"/>
      <c r="V117" s="109"/>
      <c r="W117" s="110" t="n">
        <f aca="false">T92</f>
        <v>0.1235</v>
      </c>
      <c r="X117" s="110"/>
      <c r="Y117" s="110"/>
      <c r="Z117" s="51"/>
      <c r="AB117" s="108" t="n">
        <v>0.2</v>
      </c>
      <c r="AC117" s="109" t="s">
        <v>146</v>
      </c>
      <c r="AD117" s="109"/>
      <c r="AE117" s="109"/>
      <c r="AF117" s="111" t="n">
        <f aca="false">AC92</f>
        <v>0.1235</v>
      </c>
      <c r="AG117" s="111"/>
      <c r="AH117" s="111"/>
      <c r="AI117" s="51"/>
      <c r="AP117" s="6" t="s">
        <v>147</v>
      </c>
    </row>
    <row r="118" customFormat="false" ht="18.75" hidden="false" customHeight="false" outlineLevel="0" collapsed="false">
      <c r="A118" s="35"/>
      <c r="B118" s="36"/>
      <c r="C118" s="36"/>
      <c r="D118" s="36"/>
      <c r="E118" s="36"/>
      <c r="F118" s="36"/>
      <c r="G118" s="36"/>
      <c r="H118" s="37"/>
      <c r="J118" s="35"/>
      <c r="K118" s="36"/>
      <c r="L118" s="36"/>
      <c r="M118" s="36"/>
      <c r="N118" s="36"/>
      <c r="O118" s="36"/>
      <c r="P118" s="36"/>
      <c r="Q118" s="37"/>
      <c r="S118" s="35"/>
      <c r="T118" s="36"/>
      <c r="U118" s="36"/>
      <c r="V118" s="36"/>
      <c r="W118" s="36"/>
      <c r="X118" s="36"/>
      <c r="Y118" s="36"/>
      <c r="Z118" s="37"/>
      <c r="AB118" s="35"/>
      <c r="AC118" s="36"/>
      <c r="AD118" s="36"/>
      <c r="AE118" s="36"/>
      <c r="AF118" s="36"/>
      <c r="AG118" s="36"/>
      <c r="AH118" s="36"/>
      <c r="AI118" s="37"/>
      <c r="AP118" s="6" t="s">
        <v>145</v>
      </c>
    </row>
    <row r="119" customFormat="false" ht="18.75" hidden="false" customHeight="false" outlineLevel="0" collapsed="false">
      <c r="A119" s="35" t="s">
        <v>148</v>
      </c>
      <c r="B119" s="36" t="s">
        <v>149</v>
      </c>
      <c r="C119" s="36"/>
      <c r="D119" s="36"/>
      <c r="E119" s="36" t="s">
        <v>150</v>
      </c>
      <c r="F119" s="36"/>
      <c r="G119" s="36"/>
      <c r="H119" s="37"/>
      <c r="J119" s="35" t="s">
        <v>148</v>
      </c>
      <c r="K119" s="36" t="s">
        <v>149</v>
      </c>
      <c r="L119" s="36"/>
      <c r="M119" s="36"/>
      <c r="N119" s="36" t="s">
        <v>150</v>
      </c>
      <c r="O119" s="36"/>
      <c r="P119" s="36"/>
      <c r="Q119" s="37"/>
      <c r="S119" s="35" t="s">
        <v>148</v>
      </c>
      <c r="T119" s="36" t="s">
        <v>149</v>
      </c>
      <c r="U119" s="36"/>
      <c r="V119" s="36"/>
      <c r="W119" s="36" t="s">
        <v>150</v>
      </c>
      <c r="X119" s="36"/>
      <c r="Y119" s="36"/>
      <c r="Z119" s="37"/>
      <c r="AB119" s="35" t="s">
        <v>148</v>
      </c>
      <c r="AC119" s="36" t="s">
        <v>149</v>
      </c>
      <c r="AD119" s="36"/>
      <c r="AE119" s="36"/>
      <c r="AF119" s="36" t="s">
        <v>150</v>
      </c>
      <c r="AG119" s="36"/>
      <c r="AH119" s="36"/>
      <c r="AI119" s="37"/>
    </row>
    <row r="120" customFormat="false" ht="18.75" hidden="false" customHeight="false" outlineLevel="0" collapsed="false">
      <c r="A120" s="44" t="s">
        <v>31</v>
      </c>
      <c r="B120" s="109" t="n">
        <v>0</v>
      </c>
      <c r="C120" s="109"/>
      <c r="D120" s="109"/>
      <c r="E120" s="109" t="n">
        <v>0</v>
      </c>
      <c r="F120" s="109"/>
      <c r="G120" s="109"/>
      <c r="H120" s="104"/>
      <c r="J120" s="44" t="s">
        <v>32</v>
      </c>
      <c r="K120" s="109" t="n">
        <v>1000</v>
      </c>
      <c r="L120" s="109"/>
      <c r="M120" s="109"/>
      <c r="N120" s="109" t="n">
        <v>0</v>
      </c>
      <c r="O120" s="109"/>
      <c r="P120" s="109"/>
      <c r="Q120" s="104"/>
      <c r="S120" s="44" t="s">
        <v>31</v>
      </c>
      <c r="T120" s="109" t="n">
        <v>1000</v>
      </c>
      <c r="U120" s="109"/>
      <c r="V120" s="109"/>
      <c r="W120" s="109" t="n">
        <v>0</v>
      </c>
      <c r="X120" s="109"/>
      <c r="Y120" s="109"/>
      <c r="Z120" s="104"/>
      <c r="AB120" s="44" t="s">
        <v>31</v>
      </c>
      <c r="AC120" s="109" t="n">
        <v>1000</v>
      </c>
      <c r="AD120" s="109"/>
      <c r="AE120" s="109"/>
      <c r="AF120" s="109" t="n">
        <v>0</v>
      </c>
      <c r="AG120" s="109"/>
      <c r="AH120" s="109"/>
      <c r="AI120" s="104"/>
    </row>
    <row r="121" customFormat="false" ht="18.75" hidden="false" customHeight="false" outlineLevel="0" collapsed="false">
      <c r="A121" s="35"/>
      <c r="B121" s="36"/>
      <c r="C121" s="36"/>
      <c r="D121" s="36"/>
      <c r="E121" s="36"/>
      <c r="F121" s="36"/>
      <c r="G121" s="27"/>
      <c r="H121" s="104"/>
      <c r="J121" s="35"/>
      <c r="K121" s="36"/>
      <c r="L121" s="36"/>
      <c r="M121" s="36"/>
      <c r="N121" s="36"/>
      <c r="O121" s="36"/>
      <c r="P121" s="27"/>
      <c r="Q121" s="104"/>
      <c r="S121" s="35"/>
      <c r="T121" s="36"/>
      <c r="U121" s="36"/>
      <c r="V121" s="36"/>
      <c r="W121" s="36"/>
      <c r="X121" s="36"/>
      <c r="Y121" s="27"/>
      <c r="Z121" s="104"/>
      <c r="AB121" s="35"/>
      <c r="AC121" s="36"/>
      <c r="AD121" s="36"/>
      <c r="AE121" s="36"/>
      <c r="AF121" s="36"/>
      <c r="AG121" s="36"/>
      <c r="AH121" s="27"/>
      <c r="AI121" s="104"/>
    </row>
    <row r="122" customFormat="false" ht="18.75" hidden="false" customHeight="false" outlineLevel="0" collapsed="false">
      <c r="A122" s="112" t="s">
        <v>151</v>
      </c>
      <c r="B122" s="36" t="s">
        <v>152</v>
      </c>
      <c r="C122" s="36"/>
      <c r="D122" s="36"/>
      <c r="E122" s="36" t="s">
        <v>153</v>
      </c>
      <c r="F122" s="36"/>
      <c r="G122" s="27"/>
      <c r="H122" s="104"/>
      <c r="J122" s="112" t="s">
        <v>151</v>
      </c>
      <c r="K122" s="36" t="s">
        <v>152</v>
      </c>
      <c r="L122" s="36"/>
      <c r="M122" s="36"/>
      <c r="N122" s="36" t="s">
        <v>153</v>
      </c>
      <c r="O122" s="36"/>
      <c r="P122" s="27"/>
      <c r="Q122" s="104"/>
      <c r="S122" s="112" t="s">
        <v>151</v>
      </c>
      <c r="T122" s="36" t="s">
        <v>152</v>
      </c>
      <c r="U122" s="36"/>
      <c r="V122" s="36"/>
      <c r="W122" s="36" t="s">
        <v>153</v>
      </c>
      <c r="X122" s="36"/>
      <c r="Y122" s="27"/>
      <c r="Z122" s="104"/>
      <c r="AB122" s="112" t="s">
        <v>151</v>
      </c>
      <c r="AC122" s="36" t="s">
        <v>152</v>
      </c>
      <c r="AD122" s="36"/>
      <c r="AE122" s="36"/>
      <c r="AF122" s="36" t="s">
        <v>153</v>
      </c>
      <c r="AG122" s="36"/>
      <c r="AH122" s="27"/>
      <c r="AI122" s="104"/>
    </row>
    <row r="123" customFormat="false" ht="18.75" hidden="false" customHeight="false" outlineLevel="0" collapsed="false">
      <c r="A123" s="113" t="n">
        <f aca="false">B120+E120</f>
        <v>0</v>
      </c>
      <c r="B123" s="109" t="n">
        <v>239.99</v>
      </c>
      <c r="C123" s="109"/>
      <c r="D123" s="109"/>
      <c r="E123" s="109" t="n">
        <v>0</v>
      </c>
      <c r="F123" s="109"/>
      <c r="G123" s="109"/>
      <c r="H123" s="104"/>
      <c r="J123" s="113" t="n">
        <f aca="false">K120+N120</f>
        <v>1000</v>
      </c>
      <c r="K123" s="109" t="n">
        <v>239.99</v>
      </c>
      <c r="L123" s="109"/>
      <c r="M123" s="109"/>
      <c r="N123" s="109" t="n">
        <v>0</v>
      </c>
      <c r="O123" s="109"/>
      <c r="P123" s="109"/>
      <c r="Q123" s="104"/>
      <c r="S123" s="113" t="n">
        <f aca="false">T120+W120</f>
        <v>1000</v>
      </c>
      <c r="T123" s="109" t="n">
        <v>199.99</v>
      </c>
      <c r="U123" s="109"/>
      <c r="V123" s="109"/>
      <c r="W123" s="109" t="n">
        <v>0</v>
      </c>
      <c r="X123" s="109"/>
      <c r="Y123" s="109"/>
      <c r="Z123" s="104"/>
      <c r="AB123" s="113" t="n">
        <f aca="false">AC120+AF120</f>
        <v>1000</v>
      </c>
      <c r="AC123" s="109" t="n">
        <v>239.99</v>
      </c>
      <c r="AD123" s="109"/>
      <c r="AE123" s="109"/>
      <c r="AF123" s="109" t="n">
        <v>0</v>
      </c>
      <c r="AG123" s="109"/>
      <c r="AH123" s="109"/>
      <c r="AI123" s="104"/>
    </row>
    <row r="124" customFormat="false" ht="18.75" hidden="false" customHeight="false" outlineLevel="0" collapsed="false">
      <c r="A124" s="114"/>
      <c r="B124" s="27"/>
      <c r="C124" s="27"/>
      <c r="D124" s="27"/>
      <c r="E124" s="27"/>
      <c r="F124" s="27"/>
      <c r="G124" s="27"/>
      <c r="H124" s="104"/>
      <c r="J124" s="114"/>
      <c r="K124" s="27"/>
      <c r="L124" s="27"/>
      <c r="M124" s="27"/>
      <c r="N124" s="27"/>
      <c r="O124" s="27"/>
      <c r="P124" s="27"/>
      <c r="Q124" s="104"/>
      <c r="S124" s="114"/>
      <c r="T124" s="27"/>
      <c r="U124" s="27"/>
      <c r="V124" s="27"/>
      <c r="W124" s="27"/>
      <c r="X124" s="27"/>
      <c r="Y124" s="27"/>
      <c r="Z124" s="104"/>
      <c r="AB124" s="114"/>
      <c r="AC124" s="27"/>
      <c r="AD124" s="27"/>
      <c r="AE124" s="27"/>
      <c r="AF124" s="27"/>
      <c r="AG124" s="27"/>
      <c r="AH124" s="27"/>
      <c r="AI124" s="104"/>
    </row>
    <row r="125" customFormat="false" ht="18.75" hidden="false" customHeight="false" outlineLevel="0" collapsed="false">
      <c r="A125" s="114"/>
      <c r="B125" s="27"/>
      <c r="C125" s="27"/>
      <c r="D125" s="27"/>
      <c r="E125" s="27"/>
      <c r="F125" s="27"/>
      <c r="G125" s="27"/>
      <c r="H125" s="104"/>
      <c r="J125" s="114"/>
      <c r="K125" s="27"/>
      <c r="L125" s="27"/>
      <c r="M125" s="27"/>
      <c r="N125" s="27"/>
      <c r="O125" s="27"/>
      <c r="P125" s="27"/>
      <c r="Q125" s="104"/>
      <c r="S125" s="114"/>
      <c r="T125" s="27"/>
      <c r="U125" s="27"/>
      <c r="V125" s="27"/>
      <c r="W125" s="27"/>
      <c r="X125" s="27"/>
      <c r="Y125" s="27"/>
      <c r="Z125" s="104"/>
      <c r="AB125" s="114"/>
      <c r="AC125" s="27"/>
      <c r="AD125" s="27"/>
      <c r="AE125" s="27"/>
      <c r="AF125" s="27"/>
      <c r="AG125" s="27"/>
      <c r="AH125" s="27"/>
      <c r="AI125" s="104"/>
    </row>
    <row r="126" customFormat="false" ht="22.05" hidden="false" customHeight="false" outlineLevel="0" collapsed="false">
      <c r="A126" s="32" t="s">
        <v>154</v>
      </c>
      <c r="B126" s="32"/>
      <c r="C126" s="32"/>
      <c r="D126" s="32"/>
      <c r="E126" s="32"/>
      <c r="F126" s="32"/>
      <c r="G126" s="32"/>
      <c r="H126" s="32"/>
      <c r="J126" s="32" t="s">
        <v>154</v>
      </c>
      <c r="K126" s="32"/>
      <c r="L126" s="32"/>
      <c r="M126" s="32"/>
      <c r="N126" s="32"/>
      <c r="O126" s="32"/>
      <c r="P126" s="32"/>
      <c r="Q126" s="32"/>
      <c r="S126" s="32" t="s">
        <v>154</v>
      </c>
      <c r="T126" s="32"/>
      <c r="U126" s="32"/>
      <c r="V126" s="32"/>
      <c r="W126" s="32"/>
      <c r="X126" s="32"/>
      <c r="Y126" s="32"/>
      <c r="Z126" s="32"/>
      <c r="AB126" s="32" t="s">
        <v>154</v>
      </c>
      <c r="AC126" s="32"/>
      <c r="AD126" s="32"/>
      <c r="AE126" s="32"/>
      <c r="AF126" s="32"/>
      <c r="AG126" s="32"/>
      <c r="AH126" s="32"/>
      <c r="AI126" s="32"/>
    </row>
    <row r="127" customFormat="false" ht="18.75" hidden="false" customHeight="false" outlineLevel="0" collapsed="false">
      <c r="A127" s="114"/>
      <c r="B127" s="27"/>
      <c r="C127" s="27"/>
      <c r="D127" s="27"/>
      <c r="E127" s="27"/>
      <c r="F127" s="27"/>
      <c r="G127" s="27"/>
      <c r="H127" s="104"/>
      <c r="J127" s="114"/>
      <c r="K127" s="27"/>
      <c r="L127" s="27"/>
      <c r="M127" s="27"/>
      <c r="N127" s="27"/>
      <c r="O127" s="27"/>
      <c r="P127" s="27"/>
      <c r="Q127" s="104"/>
      <c r="S127" s="114"/>
      <c r="T127" s="27"/>
      <c r="U127" s="27"/>
      <c r="V127" s="27"/>
      <c r="W127" s="27"/>
      <c r="X127" s="27"/>
      <c r="Y127" s="27"/>
      <c r="Z127" s="104"/>
      <c r="AB127" s="114"/>
      <c r="AC127" s="27"/>
      <c r="AD127" s="27"/>
      <c r="AE127" s="27"/>
      <c r="AF127" s="27"/>
      <c r="AG127" s="27"/>
      <c r="AH127" s="27"/>
      <c r="AI127" s="104"/>
    </row>
    <row r="128" customFormat="false" ht="19.7" hidden="false" customHeight="false" outlineLevel="0" collapsed="false">
      <c r="A128" s="82"/>
      <c r="B128" s="115" t="s">
        <v>155</v>
      </c>
      <c r="C128" s="115"/>
      <c r="D128" s="115" t="s">
        <v>156</v>
      </c>
      <c r="E128" s="115"/>
      <c r="F128" s="115" t="s">
        <v>157</v>
      </c>
      <c r="G128" s="115"/>
      <c r="H128" s="116" t="s">
        <v>158</v>
      </c>
      <c r="J128" s="82"/>
      <c r="K128" s="115" t="s">
        <v>155</v>
      </c>
      <c r="L128" s="115"/>
      <c r="M128" s="115" t="s">
        <v>156</v>
      </c>
      <c r="N128" s="115"/>
      <c r="O128" s="115" t="s">
        <v>157</v>
      </c>
      <c r="P128" s="115"/>
      <c r="Q128" s="116" t="s">
        <v>158</v>
      </c>
      <c r="S128" s="82"/>
      <c r="T128" s="115" t="s">
        <v>155</v>
      </c>
      <c r="U128" s="115"/>
      <c r="V128" s="115" t="s">
        <v>156</v>
      </c>
      <c r="W128" s="115"/>
      <c r="X128" s="115" t="s">
        <v>157</v>
      </c>
      <c r="Y128" s="115"/>
      <c r="Z128" s="116" t="s">
        <v>158</v>
      </c>
      <c r="AB128" s="82"/>
      <c r="AC128" s="115" t="s">
        <v>155</v>
      </c>
      <c r="AD128" s="115"/>
      <c r="AE128" s="115" t="s">
        <v>156</v>
      </c>
      <c r="AF128" s="115"/>
      <c r="AG128" s="115" t="s">
        <v>157</v>
      </c>
      <c r="AH128" s="115"/>
      <c r="AI128" s="116" t="s">
        <v>158</v>
      </c>
    </row>
    <row r="129" customFormat="false" ht="19.7" hidden="false" customHeight="false" outlineLevel="0" collapsed="false">
      <c r="A129" s="84"/>
      <c r="B129" s="117" t="s">
        <v>159</v>
      </c>
      <c r="C129" s="118" t="s">
        <v>160</v>
      </c>
      <c r="D129" s="117" t="s">
        <v>159</v>
      </c>
      <c r="E129" s="119" t="s">
        <v>160</v>
      </c>
      <c r="F129" s="117" t="s">
        <v>159</v>
      </c>
      <c r="G129" s="119" t="s">
        <v>160</v>
      </c>
      <c r="H129" s="120"/>
      <c r="J129" s="84"/>
      <c r="K129" s="117" t="s">
        <v>159</v>
      </c>
      <c r="L129" s="118" t="s">
        <v>160</v>
      </c>
      <c r="M129" s="117" t="s">
        <v>159</v>
      </c>
      <c r="N129" s="119" t="s">
        <v>160</v>
      </c>
      <c r="O129" s="117" t="s">
        <v>159</v>
      </c>
      <c r="P129" s="119" t="s">
        <v>160</v>
      </c>
      <c r="Q129" s="120"/>
      <c r="S129" s="84"/>
      <c r="T129" s="117" t="s">
        <v>159</v>
      </c>
      <c r="U129" s="118" t="s">
        <v>160</v>
      </c>
      <c r="V129" s="117" t="s">
        <v>159</v>
      </c>
      <c r="W129" s="119" t="s">
        <v>160</v>
      </c>
      <c r="X129" s="117" t="s">
        <v>159</v>
      </c>
      <c r="Y129" s="119" t="s">
        <v>160</v>
      </c>
      <c r="Z129" s="120"/>
      <c r="AB129" s="84"/>
      <c r="AC129" s="117" t="s">
        <v>159</v>
      </c>
      <c r="AD129" s="118" t="s">
        <v>160</v>
      </c>
      <c r="AE129" s="117" t="s">
        <v>159</v>
      </c>
      <c r="AF129" s="119" t="s">
        <v>160</v>
      </c>
      <c r="AG129" s="117" t="s">
        <v>159</v>
      </c>
      <c r="AH129" s="119" t="s">
        <v>160</v>
      </c>
      <c r="AI129" s="120"/>
    </row>
    <row r="130" customFormat="false" ht="18.75" hidden="false" customHeight="false" outlineLevel="0" collapsed="false">
      <c r="A130" s="29" t="s">
        <v>161</v>
      </c>
      <c r="B130" s="29" t="n">
        <f aca="false">E19</f>
        <v>21000</v>
      </c>
      <c r="C130" s="44" t="n">
        <v>19791.67</v>
      </c>
      <c r="D130" s="29" t="n">
        <f aca="false">D12</f>
        <v>0</v>
      </c>
      <c r="E130" s="44" t="n">
        <f aca="false">D130</f>
        <v>0</v>
      </c>
      <c r="F130" s="29" t="n">
        <v>0</v>
      </c>
      <c r="G130" s="44" t="n">
        <f aca="false">F130</f>
        <v>0</v>
      </c>
      <c r="H130" s="121" t="n">
        <f aca="false">H12</f>
        <v>0</v>
      </c>
      <c r="J130" s="29" t="s">
        <v>161</v>
      </c>
      <c r="K130" s="29" t="n">
        <f aca="false">B3</f>
        <v>0</v>
      </c>
      <c r="L130" s="44" t="n">
        <v>28629.17</v>
      </c>
      <c r="M130" s="29" t="n">
        <f aca="false">D3</f>
        <v>0</v>
      </c>
      <c r="N130" s="44" t="n">
        <f aca="false">M130</f>
        <v>0</v>
      </c>
      <c r="O130" s="29" t="str">
        <f aca="false">F3</f>
        <v> </v>
      </c>
      <c r="P130" s="44" t="str">
        <f aca="false">O130</f>
        <v> </v>
      </c>
      <c r="Q130" s="121" t="n">
        <f aca="false">H3</f>
        <v>0</v>
      </c>
      <c r="S130" s="29" t="s">
        <v>161</v>
      </c>
      <c r="T130" s="29" t="n">
        <f aca="false">B3</f>
        <v>0</v>
      </c>
      <c r="U130" s="44" t="n">
        <f aca="false">T130</f>
        <v>0</v>
      </c>
      <c r="V130" s="29" t="n">
        <f aca="false">D3</f>
        <v>0</v>
      </c>
      <c r="W130" s="44" t="n">
        <f aca="false">V130</f>
        <v>0</v>
      </c>
      <c r="X130" s="29" t="str">
        <f aca="false">F3</f>
        <v> </v>
      </c>
      <c r="Y130" s="44" t="str">
        <f aca="false">X130</f>
        <v> </v>
      </c>
      <c r="Z130" s="121" t="n">
        <f aca="false">H3</f>
        <v>0</v>
      </c>
      <c r="AB130" s="29" t="s">
        <v>161</v>
      </c>
      <c r="AC130" s="29" t="n">
        <f aca="false">B3</f>
        <v>0</v>
      </c>
      <c r="AD130" s="44" t="n">
        <f aca="false">AC130</f>
        <v>0</v>
      </c>
      <c r="AE130" s="29" t="n">
        <f aca="false">D3</f>
        <v>0</v>
      </c>
      <c r="AF130" s="44" t="n">
        <f aca="false">AE130</f>
        <v>0</v>
      </c>
      <c r="AG130" s="29" t="str">
        <f aca="false">F3</f>
        <v> </v>
      </c>
      <c r="AH130" s="44" t="str">
        <f aca="false">AG130</f>
        <v> </v>
      </c>
      <c r="AI130" s="121" t="n">
        <f aca="false">H3</f>
        <v>0</v>
      </c>
    </row>
    <row r="131" customFormat="false" ht="18.75" hidden="false" customHeight="false" outlineLevel="0" collapsed="false">
      <c r="A131" s="35" t="s">
        <v>162</v>
      </c>
      <c r="B131" s="122" t="n">
        <v>0</v>
      </c>
      <c r="C131" s="123" t="n">
        <f aca="false">B131</f>
        <v>0</v>
      </c>
      <c r="D131" s="122" t="n">
        <v>0</v>
      </c>
      <c r="E131" s="123" t="n">
        <f aca="false">D131</f>
        <v>0</v>
      </c>
      <c r="F131" s="122" t="n">
        <v>0</v>
      </c>
      <c r="G131" s="124" t="n">
        <f aca="false">F131</f>
        <v>0</v>
      </c>
      <c r="H131" s="125"/>
      <c r="J131" s="35" t="s">
        <v>162</v>
      </c>
      <c r="K131" s="122" t="n">
        <f aca="false">B4</f>
        <v>21000</v>
      </c>
      <c r="L131" s="126" t="n">
        <v>0</v>
      </c>
      <c r="M131" s="122" t="n">
        <f aca="false">D4</f>
        <v>0</v>
      </c>
      <c r="N131" s="126" t="n">
        <f aca="false">M131</f>
        <v>0</v>
      </c>
      <c r="O131" s="122" t="str">
        <f aca="false">F4</f>
        <v> </v>
      </c>
      <c r="P131" s="126" t="str">
        <f aca="false">O131</f>
        <v> </v>
      </c>
      <c r="Q131" s="125"/>
      <c r="S131" s="35" t="s">
        <v>162</v>
      </c>
      <c r="T131" s="122" t="n">
        <f aca="false">B4</f>
        <v>21000</v>
      </c>
      <c r="U131" s="126" t="n">
        <v>0.25</v>
      </c>
      <c r="V131" s="122" t="n">
        <f aca="false">D4</f>
        <v>0</v>
      </c>
      <c r="W131" s="126" t="n">
        <f aca="false">V131</f>
        <v>0</v>
      </c>
      <c r="X131" s="122" t="str">
        <f aca="false">F4</f>
        <v> </v>
      </c>
      <c r="Y131" s="126" t="str">
        <f aca="false">X131</f>
        <v> </v>
      </c>
      <c r="Z131" s="125"/>
      <c r="AB131" s="35" t="s">
        <v>162</v>
      </c>
      <c r="AC131" s="122" t="n">
        <f aca="false">B4</f>
        <v>21000</v>
      </c>
      <c r="AD131" s="126" t="n">
        <v>0.25</v>
      </c>
      <c r="AE131" s="122" t="n">
        <f aca="false">D4</f>
        <v>0</v>
      </c>
      <c r="AF131" s="126" t="n">
        <f aca="false">AE131</f>
        <v>0</v>
      </c>
      <c r="AG131" s="122" t="str">
        <f aca="false">F4</f>
        <v> </v>
      </c>
      <c r="AH131" s="126" t="str">
        <f aca="false">AG131</f>
        <v> </v>
      </c>
      <c r="AI131" s="125"/>
    </row>
    <row r="132" customFormat="false" ht="18.75" hidden="false" customHeight="false" outlineLevel="0" collapsed="false">
      <c r="A132" s="35" t="s">
        <v>163</v>
      </c>
      <c r="B132" s="35" t="n">
        <v>0</v>
      </c>
      <c r="C132" s="44" t="n">
        <f aca="false">B132</f>
        <v>0</v>
      </c>
      <c r="D132" s="35" t="n">
        <v>0</v>
      </c>
      <c r="E132" s="44" t="n">
        <f aca="false">D132</f>
        <v>0</v>
      </c>
      <c r="F132" s="35" t="n">
        <v>0</v>
      </c>
      <c r="G132" s="44" t="n">
        <f aca="false">F132</f>
        <v>0</v>
      </c>
      <c r="H132" s="37"/>
      <c r="J132" s="35" t="s">
        <v>163</v>
      </c>
      <c r="K132" s="35" t="n">
        <f aca="false">B5</f>
        <v>0</v>
      </c>
      <c r="L132" s="44" t="n">
        <v>0</v>
      </c>
      <c r="M132" s="35" t="n">
        <f aca="false">D5</f>
        <v>0</v>
      </c>
      <c r="N132" s="44" t="n">
        <f aca="false">M132</f>
        <v>0</v>
      </c>
      <c r="O132" s="35" t="str">
        <f aca="false">F5</f>
        <v> </v>
      </c>
      <c r="P132" s="44" t="str">
        <f aca="false">O132</f>
        <v> </v>
      </c>
      <c r="Q132" s="37"/>
      <c r="S132" s="35" t="s">
        <v>163</v>
      </c>
      <c r="T132" s="35" t="n">
        <f aca="false">B5</f>
        <v>0</v>
      </c>
      <c r="U132" s="44" t="n">
        <v>0</v>
      </c>
      <c r="V132" s="35" t="n">
        <f aca="false">D5</f>
        <v>0</v>
      </c>
      <c r="W132" s="44" t="n">
        <f aca="false">V132</f>
        <v>0</v>
      </c>
      <c r="X132" s="35" t="str">
        <f aca="false">F5</f>
        <v> </v>
      </c>
      <c r="Y132" s="44" t="str">
        <f aca="false">X132</f>
        <v> </v>
      </c>
      <c r="Z132" s="37"/>
      <c r="AB132" s="35" t="s">
        <v>163</v>
      </c>
      <c r="AC132" s="35" t="n">
        <f aca="false">B5</f>
        <v>0</v>
      </c>
      <c r="AD132" s="44" t="n">
        <v>0</v>
      </c>
      <c r="AE132" s="35" t="n">
        <f aca="false">D5</f>
        <v>0</v>
      </c>
      <c r="AF132" s="44" t="n">
        <f aca="false">AE132</f>
        <v>0</v>
      </c>
      <c r="AG132" s="35" t="str">
        <f aca="false">F5</f>
        <v> </v>
      </c>
      <c r="AH132" s="44" t="str">
        <f aca="false">AG132</f>
        <v> </v>
      </c>
      <c r="AI132" s="37"/>
    </row>
    <row r="133" customFormat="false" ht="18.75" hidden="false" customHeight="false" outlineLevel="0" collapsed="false">
      <c r="A133" s="35" t="s">
        <v>164</v>
      </c>
      <c r="B133" s="35" t="n">
        <f aca="false">(B130*B131)+B132</f>
        <v>0</v>
      </c>
      <c r="C133" s="31" t="n">
        <f aca="false">(C130*C131/100)+C132</f>
        <v>0</v>
      </c>
      <c r="D133" s="35" t="n">
        <f aca="false">(D130*D131)+D132</f>
        <v>0</v>
      </c>
      <c r="E133" s="31" t="n">
        <f aca="false">(E130*E131/100)+E132</f>
        <v>0</v>
      </c>
      <c r="F133" s="35" t="n">
        <f aca="false">(F130*F131)+F132</f>
        <v>0</v>
      </c>
      <c r="G133" s="31" t="n">
        <f aca="false">(G130*G131/100)+G132</f>
        <v>0</v>
      </c>
      <c r="H133" s="37"/>
      <c r="J133" s="35" t="s">
        <v>164</v>
      </c>
      <c r="K133" s="35" t="n">
        <f aca="false">(K130*K131)+K132</f>
        <v>0</v>
      </c>
      <c r="L133" s="31" t="n">
        <f aca="false">(L130*L131)+L132</f>
        <v>0</v>
      </c>
      <c r="M133" s="35" t="n">
        <f aca="false">(M130*M131)+M132</f>
        <v>0</v>
      </c>
      <c r="N133" s="31" t="n">
        <f aca="false">(N130*N131)+N132</f>
        <v>0</v>
      </c>
      <c r="O133" s="35" t="e">
        <f aca="false">(O130*O131)+O132</f>
        <v>#VALUE!</v>
      </c>
      <c r="P133" s="31" t="e">
        <f aca="false">(P130*P131)+P132</f>
        <v>#VALUE!</v>
      </c>
      <c r="Q133" s="37"/>
      <c r="S133" s="35" t="s">
        <v>164</v>
      </c>
      <c r="T133" s="35" t="n">
        <f aca="false">(T130*T131)+T132</f>
        <v>0</v>
      </c>
      <c r="U133" s="31" t="n">
        <f aca="false">(U130*U131)+U132</f>
        <v>0</v>
      </c>
      <c r="V133" s="35" t="n">
        <f aca="false">(V130*V131)+V132</f>
        <v>0</v>
      </c>
      <c r="W133" s="31" t="n">
        <f aca="false">(W130*W131)+W132</f>
        <v>0</v>
      </c>
      <c r="X133" s="35" t="e">
        <f aca="false">(X130*X131)+X132</f>
        <v>#VALUE!</v>
      </c>
      <c r="Y133" s="31" t="e">
        <f aca="false">(Y130*Y131)+Y132</f>
        <v>#VALUE!</v>
      </c>
      <c r="Z133" s="37"/>
      <c r="AB133" s="35" t="s">
        <v>164</v>
      </c>
      <c r="AC133" s="35" t="n">
        <f aca="false">(AC130*AC131)+AC132</f>
        <v>0</v>
      </c>
      <c r="AD133" s="31" t="n">
        <f aca="false">(AD130*AD131)+AD132</f>
        <v>0</v>
      </c>
      <c r="AE133" s="35" t="n">
        <f aca="false">(AE130*AE131)+AE132</f>
        <v>0</v>
      </c>
      <c r="AF133" s="31" t="n">
        <f aca="false">(AF130*AF131)+AF132</f>
        <v>0</v>
      </c>
      <c r="AG133" s="35" t="e">
        <f aca="false">(AG130*AG131)+AG132</f>
        <v>#VALUE!</v>
      </c>
      <c r="AH133" s="31" t="e">
        <f aca="false">(AH130*AH131)+AH132</f>
        <v>#VALUE!</v>
      </c>
      <c r="AI133" s="37"/>
    </row>
    <row r="134" customFormat="false" ht="18.75" hidden="false" customHeight="false" outlineLevel="0" collapsed="false">
      <c r="A134" s="60" t="s">
        <v>165</v>
      </c>
      <c r="B134" s="60" t="n">
        <f aca="false">B130-B133</f>
        <v>21000</v>
      </c>
      <c r="C134" s="69" t="n">
        <f aca="false">C130-C133</f>
        <v>19583.33</v>
      </c>
      <c r="D134" s="60" t="n">
        <f aca="false">D130-D133</f>
        <v>0</v>
      </c>
      <c r="E134" s="69" t="n">
        <f aca="false">E130-E133</f>
        <v>0</v>
      </c>
      <c r="F134" s="60" t="n">
        <f aca="false">F130-F133</f>
        <v>0</v>
      </c>
      <c r="G134" s="69" t="n">
        <f aca="false">G130-G133</f>
        <v>0</v>
      </c>
      <c r="H134" s="69"/>
      <c r="J134" s="60" t="s">
        <v>165</v>
      </c>
      <c r="K134" s="60" t="n">
        <f aca="false">K130-K133</f>
        <v>0</v>
      </c>
      <c r="L134" s="69" t="n">
        <f aca="false">L130-L133</f>
        <v>28629.17</v>
      </c>
      <c r="M134" s="60" t="n">
        <f aca="false">M130-M133</f>
        <v>0</v>
      </c>
      <c r="N134" s="69" t="n">
        <f aca="false">N130-N133</f>
        <v>0</v>
      </c>
      <c r="O134" s="60" t="e">
        <f aca="false">O130-O133</f>
        <v>#VALUE!</v>
      </c>
      <c r="P134" s="69" t="e">
        <f aca="false">P130-P133</f>
        <v>#VALUE!</v>
      </c>
      <c r="Q134" s="69"/>
      <c r="S134" s="60" t="s">
        <v>165</v>
      </c>
      <c r="T134" s="60" t="n">
        <f aca="false">T130-T133</f>
        <v>0</v>
      </c>
      <c r="U134" s="69" t="n">
        <f aca="false">U130-U133</f>
        <v>0</v>
      </c>
      <c r="V134" s="60" t="n">
        <f aca="false">V130-V133</f>
        <v>0</v>
      </c>
      <c r="W134" s="69" t="n">
        <f aca="false">W130-W133</f>
        <v>0</v>
      </c>
      <c r="X134" s="60" t="e">
        <f aca="false">X130-X133</f>
        <v>#VALUE!</v>
      </c>
      <c r="Y134" s="69" t="e">
        <f aca="false">Y130-Y133</f>
        <v>#VALUE!</v>
      </c>
      <c r="Z134" s="69"/>
      <c r="AB134" s="60" t="s">
        <v>165</v>
      </c>
      <c r="AC134" s="60" t="n">
        <f aca="false">AC130-AC133</f>
        <v>0</v>
      </c>
      <c r="AD134" s="69" t="n">
        <f aca="false">AD130-AD133</f>
        <v>0</v>
      </c>
      <c r="AE134" s="60" t="n">
        <f aca="false">AE130-AE133</f>
        <v>0</v>
      </c>
      <c r="AF134" s="69" t="n">
        <f aca="false">AF130-AF133</f>
        <v>0</v>
      </c>
      <c r="AG134" s="60" t="e">
        <f aca="false">AG130-AG133</f>
        <v>#VALUE!</v>
      </c>
      <c r="AH134" s="69" t="e">
        <f aca="false">AH130-AH133</f>
        <v>#VALUE!</v>
      </c>
      <c r="AI134" s="69"/>
    </row>
    <row r="135" customFormat="false" ht="18.75" hidden="false" customHeight="false" outlineLevel="0" collapsed="false">
      <c r="A135" s="35"/>
      <c r="B135" s="36"/>
      <c r="C135" s="36"/>
      <c r="D135" s="36"/>
      <c r="E135" s="36"/>
      <c r="F135" s="36"/>
      <c r="G135" s="36"/>
      <c r="H135" s="37"/>
      <c r="J135" s="35"/>
      <c r="K135" s="36"/>
      <c r="L135" s="36"/>
      <c r="M135" s="36"/>
      <c r="N135" s="36"/>
      <c r="O135" s="36"/>
      <c r="P135" s="36"/>
      <c r="Q135" s="37"/>
      <c r="S135" s="35"/>
      <c r="T135" s="36"/>
      <c r="U135" s="36"/>
      <c r="V135" s="36"/>
      <c r="W135" s="36"/>
      <c r="X135" s="36"/>
      <c r="Y135" s="36"/>
      <c r="Z135" s="37"/>
      <c r="AB135" s="35"/>
      <c r="AC135" s="36"/>
      <c r="AD135" s="36"/>
      <c r="AE135" s="36"/>
      <c r="AF135" s="36"/>
      <c r="AG135" s="36"/>
      <c r="AH135" s="36"/>
      <c r="AI135" s="37"/>
    </row>
    <row r="136" customFormat="false" ht="19.7" hidden="false" customHeight="false" outlineLevel="0" collapsed="false">
      <c r="A136" s="127"/>
      <c r="B136" s="128"/>
      <c r="C136" s="128"/>
      <c r="D136" s="128"/>
      <c r="E136" s="128"/>
      <c r="F136" s="128"/>
      <c r="G136" s="129" t="s">
        <v>159</v>
      </c>
      <c r="H136" s="130" t="s">
        <v>160</v>
      </c>
      <c r="J136" s="127"/>
      <c r="K136" s="128"/>
      <c r="L136" s="128"/>
      <c r="M136" s="128"/>
      <c r="N136" s="128"/>
      <c r="O136" s="128"/>
      <c r="P136" s="129" t="s">
        <v>159</v>
      </c>
      <c r="Q136" s="130" t="s">
        <v>160</v>
      </c>
      <c r="S136" s="127"/>
      <c r="T136" s="128"/>
      <c r="U136" s="128"/>
      <c r="V136" s="128"/>
      <c r="W136" s="128"/>
      <c r="X136" s="128"/>
      <c r="Y136" s="129" t="s">
        <v>159</v>
      </c>
      <c r="Z136" s="130" t="s">
        <v>160</v>
      </c>
      <c r="AB136" s="127"/>
      <c r="AC136" s="128"/>
      <c r="AD136" s="128"/>
      <c r="AE136" s="128"/>
      <c r="AF136" s="128"/>
      <c r="AG136" s="128"/>
      <c r="AH136" s="129" t="s">
        <v>159</v>
      </c>
      <c r="AI136" s="130" t="s">
        <v>160</v>
      </c>
    </row>
    <row r="137" customFormat="false" ht="18.75" hidden="false" customHeight="false" outlineLevel="0" collapsed="false">
      <c r="A137" s="131" t="s">
        <v>166</v>
      </c>
      <c r="B137" s="132"/>
      <c r="C137" s="132"/>
      <c r="D137" s="132"/>
      <c r="E137" s="132"/>
      <c r="F137" s="132"/>
      <c r="G137" s="133" t="n">
        <f aca="false">H130</f>
        <v>0</v>
      </c>
      <c r="H137" s="134" t="n">
        <f aca="false">SUM(H140:H142)</f>
        <v>0</v>
      </c>
      <c r="J137" s="131" t="s">
        <v>166</v>
      </c>
      <c r="K137" s="132"/>
      <c r="L137" s="132"/>
      <c r="M137" s="132"/>
      <c r="N137" s="132"/>
      <c r="O137" s="132"/>
      <c r="P137" s="133" t="n">
        <f aca="false">Q130</f>
        <v>0</v>
      </c>
      <c r="Q137" s="134" t="n">
        <f aca="false">SUM(Q140:Q142)</f>
        <v>0</v>
      </c>
      <c r="S137" s="131" t="s">
        <v>166</v>
      </c>
      <c r="T137" s="132"/>
      <c r="U137" s="132"/>
      <c r="V137" s="132"/>
      <c r="W137" s="132"/>
      <c r="X137" s="132"/>
      <c r="Y137" s="133" t="n">
        <f aca="false">Z130</f>
        <v>0</v>
      </c>
      <c r="Z137" s="134" t="n">
        <f aca="false">SUM(Z140:Z142)</f>
        <v>0</v>
      </c>
      <c r="AB137" s="131" t="s">
        <v>166</v>
      </c>
      <c r="AC137" s="132"/>
      <c r="AD137" s="132"/>
      <c r="AE137" s="132"/>
      <c r="AF137" s="132"/>
      <c r="AG137" s="132"/>
      <c r="AH137" s="133" t="n">
        <f aca="false">AI130</f>
        <v>0</v>
      </c>
      <c r="AI137" s="134" t="n">
        <f aca="false">SUM(AI140:AI142)</f>
        <v>0</v>
      </c>
    </row>
    <row r="138" customFormat="false" ht="18.75" hidden="false" customHeight="false" outlineLevel="0" collapsed="false">
      <c r="A138" s="35"/>
      <c r="B138" s="36"/>
      <c r="C138" s="36"/>
      <c r="D138" s="36"/>
      <c r="E138" s="36"/>
      <c r="F138" s="36"/>
      <c r="G138" s="135"/>
      <c r="H138" s="136"/>
      <c r="J138" s="35"/>
      <c r="K138" s="36"/>
      <c r="L138" s="36"/>
      <c r="M138" s="36"/>
      <c r="N138" s="36"/>
      <c r="O138" s="36"/>
      <c r="P138" s="135"/>
      <c r="Q138" s="136"/>
      <c r="S138" s="35"/>
      <c r="T138" s="36"/>
      <c r="U138" s="36"/>
      <c r="V138" s="36"/>
      <c r="W138" s="36"/>
      <c r="X138" s="36"/>
      <c r="Y138" s="135"/>
      <c r="Z138" s="136"/>
      <c r="AB138" s="35"/>
      <c r="AC138" s="36"/>
      <c r="AD138" s="36"/>
      <c r="AE138" s="36"/>
      <c r="AF138" s="36"/>
      <c r="AG138" s="36"/>
      <c r="AH138" s="135"/>
      <c r="AI138" s="136"/>
    </row>
    <row r="139" customFormat="false" ht="18.75" hidden="false" customHeight="false" outlineLevel="0" collapsed="false">
      <c r="A139" s="137" t="s">
        <v>167</v>
      </c>
      <c r="B139" s="138" t="s">
        <v>168</v>
      </c>
      <c r="C139" s="138"/>
      <c r="D139" s="138" t="s">
        <v>169</v>
      </c>
      <c r="E139" s="138"/>
      <c r="F139" s="138" t="s">
        <v>163</v>
      </c>
      <c r="G139" s="138"/>
      <c r="H139" s="136" t="s">
        <v>160</v>
      </c>
      <c r="J139" s="137" t="s">
        <v>167</v>
      </c>
      <c r="K139" s="139" t="s">
        <v>168</v>
      </c>
      <c r="L139" s="139"/>
      <c r="M139" s="138" t="s">
        <v>169</v>
      </c>
      <c r="N139" s="138"/>
      <c r="O139" s="138" t="s">
        <v>163</v>
      </c>
      <c r="P139" s="138"/>
      <c r="Q139" s="136" t="s">
        <v>160</v>
      </c>
      <c r="S139" s="137" t="s">
        <v>167</v>
      </c>
      <c r="T139" s="138" t="s">
        <v>168</v>
      </c>
      <c r="U139" s="138"/>
      <c r="V139" s="138" t="s">
        <v>169</v>
      </c>
      <c r="W139" s="138"/>
      <c r="X139" s="138" t="s">
        <v>163</v>
      </c>
      <c r="Y139" s="138"/>
      <c r="Z139" s="136" t="s">
        <v>160</v>
      </c>
      <c r="AB139" s="137" t="s">
        <v>167</v>
      </c>
      <c r="AC139" s="138" t="s">
        <v>168</v>
      </c>
      <c r="AD139" s="138"/>
      <c r="AE139" s="138" t="s">
        <v>169</v>
      </c>
      <c r="AF139" s="138"/>
      <c r="AG139" s="138" t="s">
        <v>163</v>
      </c>
      <c r="AH139" s="138"/>
      <c r="AI139" s="136" t="s">
        <v>160</v>
      </c>
    </row>
    <row r="140" customFormat="false" ht="18.75" hidden="false" customHeight="false" outlineLevel="0" collapsed="false">
      <c r="A140" s="35" t="s">
        <v>170</v>
      </c>
      <c r="B140" s="140" t="n">
        <f aca="false">G137</f>
        <v>0</v>
      </c>
      <c r="C140" s="140"/>
      <c r="D140" s="141" t="n">
        <v>0</v>
      </c>
      <c r="E140" s="141"/>
      <c r="F140" s="140" t="n">
        <v>0</v>
      </c>
      <c r="G140" s="140"/>
      <c r="H140" s="142" t="n">
        <f aca="false">(B140-(B140*D140))-F140</f>
        <v>0</v>
      </c>
      <c r="J140" s="35" t="s">
        <v>170</v>
      </c>
      <c r="K140" s="140" t="n">
        <f aca="false">P137</f>
        <v>0</v>
      </c>
      <c r="L140" s="140"/>
      <c r="M140" s="141" t="n">
        <v>0</v>
      </c>
      <c r="N140" s="141"/>
      <c r="O140" s="140" t="n">
        <v>0</v>
      </c>
      <c r="P140" s="140"/>
      <c r="Q140" s="142" t="n">
        <f aca="false">(K140-(K140*M140))-O140</f>
        <v>0</v>
      </c>
      <c r="S140" s="35" t="s">
        <v>170</v>
      </c>
      <c r="T140" s="140" t="n">
        <f aca="false">Y137</f>
        <v>0</v>
      </c>
      <c r="U140" s="140"/>
      <c r="V140" s="141" t="n">
        <v>0</v>
      </c>
      <c r="W140" s="141"/>
      <c r="X140" s="140" t="n">
        <v>0</v>
      </c>
      <c r="Y140" s="140"/>
      <c r="Z140" s="142" t="n">
        <f aca="false">(T140-(T140*V140))-X140</f>
        <v>0</v>
      </c>
      <c r="AB140" s="35" t="s">
        <v>170</v>
      </c>
      <c r="AC140" s="140" t="n">
        <f aca="false">AH137</f>
        <v>0</v>
      </c>
      <c r="AD140" s="140"/>
      <c r="AE140" s="141" t="n">
        <v>0</v>
      </c>
      <c r="AF140" s="141"/>
      <c r="AG140" s="140" t="n">
        <v>0</v>
      </c>
      <c r="AH140" s="140"/>
      <c r="AI140" s="142" t="n">
        <f aca="false">(AC140-(AC140*AE140))-AG140</f>
        <v>0</v>
      </c>
    </row>
    <row r="141" customFormat="false" ht="18.75" hidden="false" customHeight="false" outlineLevel="0" collapsed="false">
      <c r="A141" s="35" t="s">
        <v>171</v>
      </c>
      <c r="B141" s="140" t="n">
        <v>0</v>
      </c>
      <c r="C141" s="140"/>
      <c r="D141" s="141" t="n">
        <v>0</v>
      </c>
      <c r="E141" s="141"/>
      <c r="F141" s="140" t="n">
        <v>0</v>
      </c>
      <c r="G141" s="140"/>
      <c r="H141" s="142" t="n">
        <f aca="false">(B141-(B141*D141))-F141</f>
        <v>0</v>
      </c>
      <c r="J141" s="35" t="s">
        <v>171</v>
      </c>
      <c r="K141" s="140" t="n">
        <v>0</v>
      </c>
      <c r="L141" s="140"/>
      <c r="M141" s="141" t="n">
        <v>0</v>
      </c>
      <c r="N141" s="141"/>
      <c r="O141" s="140" t="n">
        <v>0</v>
      </c>
      <c r="P141" s="140"/>
      <c r="Q141" s="142" t="n">
        <f aca="false">(K141-(K141*M141))-O141</f>
        <v>0</v>
      </c>
      <c r="S141" s="35" t="s">
        <v>171</v>
      </c>
      <c r="T141" s="140" t="n">
        <v>0</v>
      </c>
      <c r="U141" s="140"/>
      <c r="V141" s="141" t="n">
        <v>0</v>
      </c>
      <c r="W141" s="141"/>
      <c r="X141" s="140" t="n">
        <v>0</v>
      </c>
      <c r="Y141" s="140"/>
      <c r="Z141" s="142" t="n">
        <f aca="false">(T141-(T141*V141))-X141</f>
        <v>0</v>
      </c>
      <c r="AB141" s="35" t="s">
        <v>171</v>
      </c>
      <c r="AC141" s="140" t="n">
        <v>0</v>
      </c>
      <c r="AD141" s="140"/>
      <c r="AE141" s="141" t="n">
        <v>0</v>
      </c>
      <c r="AF141" s="141"/>
      <c r="AG141" s="140" t="n">
        <v>0</v>
      </c>
      <c r="AH141" s="140"/>
      <c r="AI141" s="142" t="n">
        <f aca="false">(AC141-(AC141*AE141))-AG141</f>
        <v>0</v>
      </c>
    </row>
    <row r="142" customFormat="false" ht="18.75" hidden="false" customHeight="false" outlineLevel="0" collapsed="false">
      <c r="A142" s="35" t="s">
        <v>172</v>
      </c>
      <c r="B142" s="140" t="n">
        <v>0</v>
      </c>
      <c r="C142" s="140"/>
      <c r="D142" s="141" t="n">
        <v>0</v>
      </c>
      <c r="E142" s="141"/>
      <c r="F142" s="140" t="n">
        <v>0</v>
      </c>
      <c r="G142" s="140"/>
      <c r="H142" s="142" t="n">
        <f aca="false">(B142-(B142*D142))-F142</f>
        <v>0</v>
      </c>
      <c r="J142" s="35" t="s">
        <v>172</v>
      </c>
      <c r="K142" s="140" t="n">
        <v>0</v>
      </c>
      <c r="L142" s="140"/>
      <c r="M142" s="141" t="n">
        <v>0</v>
      </c>
      <c r="N142" s="141"/>
      <c r="O142" s="140" t="n">
        <v>0</v>
      </c>
      <c r="P142" s="140"/>
      <c r="Q142" s="142" t="n">
        <f aca="false">(K142-(K142*M142))-O142</f>
        <v>0</v>
      </c>
      <c r="S142" s="35" t="s">
        <v>172</v>
      </c>
      <c r="T142" s="140" t="n">
        <v>0</v>
      </c>
      <c r="U142" s="140"/>
      <c r="V142" s="141" t="n">
        <v>0</v>
      </c>
      <c r="W142" s="141"/>
      <c r="X142" s="140" t="n">
        <v>0</v>
      </c>
      <c r="Y142" s="140"/>
      <c r="Z142" s="142" t="n">
        <f aca="false">(T142-(T142*V142))-X142</f>
        <v>0</v>
      </c>
      <c r="AB142" s="35" t="s">
        <v>172</v>
      </c>
      <c r="AC142" s="140" t="n">
        <v>0</v>
      </c>
      <c r="AD142" s="140"/>
      <c r="AE142" s="141" t="n">
        <v>0</v>
      </c>
      <c r="AF142" s="141"/>
      <c r="AG142" s="140" t="n">
        <v>0</v>
      </c>
      <c r="AH142" s="140"/>
      <c r="AI142" s="142" t="n">
        <f aca="false">(AC142-(AC142*AE142))-AG142</f>
        <v>0</v>
      </c>
    </row>
    <row r="143" customFormat="false" ht="18.75" hidden="false" customHeight="false" outlineLevel="0" collapsed="false">
      <c r="A143" s="35"/>
      <c r="B143" s="36"/>
      <c r="C143" s="36"/>
      <c r="D143" s="36"/>
      <c r="E143" s="36"/>
      <c r="F143" s="36"/>
      <c r="G143" s="135"/>
      <c r="H143" s="136"/>
      <c r="J143" s="35"/>
      <c r="K143" s="36"/>
      <c r="L143" s="36"/>
      <c r="M143" s="36"/>
      <c r="N143" s="36"/>
      <c r="O143" s="36"/>
      <c r="P143" s="135"/>
      <c r="Q143" s="136"/>
      <c r="S143" s="35"/>
      <c r="T143" s="36"/>
      <c r="U143" s="36"/>
      <c r="V143" s="36"/>
      <c r="W143" s="36"/>
      <c r="X143" s="36"/>
      <c r="Y143" s="135"/>
      <c r="Z143" s="136"/>
      <c r="AB143" s="35"/>
      <c r="AC143" s="36"/>
      <c r="AD143" s="36"/>
      <c r="AE143" s="36"/>
      <c r="AF143" s="36"/>
      <c r="AG143" s="36"/>
      <c r="AH143" s="135"/>
      <c r="AI143" s="136"/>
    </row>
    <row r="144" customFormat="false" ht="19.7" hidden="false" customHeight="false" outlineLevel="0" collapsed="false">
      <c r="A144" s="143" t="s">
        <v>173</v>
      </c>
      <c r="B144" s="143"/>
      <c r="C144" s="143"/>
      <c r="D144" s="143"/>
      <c r="E144" s="143"/>
      <c r="F144" s="143"/>
      <c r="G144" s="129" t="n">
        <f aca="false">E21</f>
        <v>17500</v>
      </c>
      <c r="H144" s="144" t="n">
        <f aca="false">C134+E134+G134+H137</f>
        <v>19583.33</v>
      </c>
      <c r="J144" s="143" t="s">
        <v>173</v>
      </c>
      <c r="K144" s="143"/>
      <c r="L144" s="143"/>
      <c r="M144" s="143"/>
      <c r="N144" s="143"/>
      <c r="O144" s="143"/>
      <c r="P144" s="129" t="n">
        <f aca="false">H9</f>
        <v>0</v>
      </c>
      <c r="Q144" s="144" t="e">
        <f aca="false">L134+N134+P134+Q137</f>
        <v>#VALUE!</v>
      </c>
      <c r="S144" s="143" t="s">
        <v>173</v>
      </c>
      <c r="T144" s="143"/>
      <c r="U144" s="143"/>
      <c r="V144" s="143"/>
      <c r="W144" s="143"/>
      <c r="X144" s="143"/>
      <c r="Y144" s="129" t="n">
        <f aca="false">H9</f>
        <v>0</v>
      </c>
      <c r="Z144" s="144" t="e">
        <f aca="false">U134+W134+Y134+Z137</f>
        <v>#VALUE!</v>
      </c>
      <c r="AB144" s="143" t="s">
        <v>173</v>
      </c>
      <c r="AC144" s="143"/>
      <c r="AD144" s="143"/>
      <c r="AE144" s="143"/>
      <c r="AF144" s="143"/>
      <c r="AG144" s="143"/>
      <c r="AH144" s="129" t="n">
        <f aca="false">H9</f>
        <v>0</v>
      </c>
      <c r="AI144" s="144" t="e">
        <f aca="false">AD134+AF134+AH134+AI137</f>
        <v>#VALUE!</v>
      </c>
    </row>
    <row r="145" customFormat="false" ht="18.75" hidden="false" customHeight="false" outlineLevel="0" collapsed="false">
      <c r="A145" s="145" t="s">
        <v>174</v>
      </c>
      <c r="B145" s="145"/>
      <c r="C145" s="145"/>
      <c r="D145" s="145"/>
      <c r="E145" s="145"/>
      <c r="F145" s="145"/>
      <c r="G145" s="146" t="n">
        <f aca="false">H19</f>
        <v>0</v>
      </c>
      <c r="H145" s="37" t="n">
        <f aca="false">G145</f>
        <v>0</v>
      </c>
      <c r="J145" s="145" t="s">
        <v>174</v>
      </c>
      <c r="K145" s="145"/>
      <c r="L145" s="145"/>
      <c r="M145" s="145"/>
      <c r="N145" s="145"/>
      <c r="O145" s="145"/>
      <c r="P145" s="146" t="n">
        <f aca="false">H10</f>
        <v>0</v>
      </c>
      <c r="Q145" s="37" t="n">
        <f aca="false">P145</f>
        <v>0</v>
      </c>
      <c r="S145" s="145" t="s">
        <v>174</v>
      </c>
      <c r="T145" s="145"/>
      <c r="U145" s="145"/>
      <c r="V145" s="145"/>
      <c r="W145" s="145"/>
      <c r="X145" s="145"/>
      <c r="Y145" s="146" t="n">
        <f aca="false">H10</f>
        <v>0</v>
      </c>
      <c r="Z145" s="37" t="n">
        <f aca="false">Y145</f>
        <v>0</v>
      </c>
      <c r="AB145" s="145" t="s">
        <v>174</v>
      </c>
      <c r="AC145" s="145"/>
      <c r="AD145" s="145"/>
      <c r="AE145" s="145"/>
      <c r="AF145" s="145"/>
      <c r="AG145" s="145"/>
      <c r="AH145" s="146" t="n">
        <f aca="false">H10</f>
        <v>0</v>
      </c>
      <c r="AI145" s="37" t="n">
        <f aca="false">AH145</f>
        <v>0</v>
      </c>
    </row>
    <row r="146" customFormat="false" ht="18.75" hidden="false" customHeight="false" outlineLevel="0" collapsed="false">
      <c r="A146" s="145" t="s">
        <v>175</v>
      </c>
      <c r="B146" s="145"/>
      <c r="C146" s="145"/>
      <c r="D146" s="145"/>
      <c r="E146" s="145"/>
      <c r="F146" s="145"/>
      <c r="G146" s="37" t="n">
        <f aca="false">(G144+G145)*20%</f>
        <v>3500</v>
      </c>
      <c r="H146" s="37" t="n">
        <f aca="false">(H144+H145)*20%</f>
        <v>3916.666</v>
      </c>
      <c r="J146" s="145" t="s">
        <v>175</v>
      </c>
      <c r="K146" s="145"/>
      <c r="L146" s="145"/>
      <c r="M146" s="145"/>
      <c r="N146" s="145"/>
      <c r="O146" s="145"/>
      <c r="P146" s="146" t="n">
        <f aca="false">H11</f>
        <v>0</v>
      </c>
      <c r="Q146" s="37" t="e">
        <f aca="false">(Q144+Q145)*20%</f>
        <v>#VALUE!</v>
      </c>
      <c r="S146" s="145" t="s">
        <v>175</v>
      </c>
      <c r="T146" s="145"/>
      <c r="U146" s="145"/>
      <c r="V146" s="145"/>
      <c r="W146" s="145"/>
      <c r="X146" s="145"/>
      <c r="Y146" s="146" t="n">
        <f aca="false">H11</f>
        <v>0</v>
      </c>
      <c r="Z146" s="37" t="e">
        <f aca="false">(Z144+Z145)*20%</f>
        <v>#VALUE!</v>
      </c>
      <c r="AB146" s="145" t="s">
        <v>175</v>
      </c>
      <c r="AC146" s="145"/>
      <c r="AD146" s="145"/>
      <c r="AE146" s="145"/>
      <c r="AF146" s="145"/>
      <c r="AG146" s="145"/>
      <c r="AH146" s="146" t="n">
        <f aca="false">H11</f>
        <v>0</v>
      </c>
      <c r="AI146" s="37" t="e">
        <f aca="false">(AI144+AI145)*20%</f>
        <v>#VALUE!</v>
      </c>
    </row>
    <row r="147" customFormat="false" ht="18.75" hidden="false" customHeight="false" outlineLevel="0" collapsed="false">
      <c r="A147" s="145" t="s">
        <v>176</v>
      </c>
      <c r="B147" s="145"/>
      <c r="C147" s="145"/>
      <c r="D147" s="145"/>
      <c r="E147" s="145"/>
      <c r="F147" s="145"/>
      <c r="G147" s="146" t="n">
        <f aca="false">H21</f>
        <v>0</v>
      </c>
      <c r="H147" s="37" t="n">
        <v>0</v>
      </c>
      <c r="J147" s="145" t="s">
        <v>176</v>
      </c>
      <c r="K147" s="145"/>
      <c r="L147" s="145"/>
      <c r="M147" s="145"/>
      <c r="N147" s="145"/>
      <c r="O147" s="145"/>
      <c r="P147" s="146" t="n">
        <f aca="false">H12</f>
        <v>0</v>
      </c>
      <c r="Q147" s="37" t="n">
        <f aca="false">P147</f>
        <v>0</v>
      </c>
      <c r="S147" s="145" t="s">
        <v>176</v>
      </c>
      <c r="T147" s="145"/>
      <c r="U147" s="145"/>
      <c r="V147" s="145"/>
      <c r="W147" s="145"/>
      <c r="X147" s="145"/>
      <c r="Y147" s="146" t="n">
        <f aca="false">H12</f>
        <v>0</v>
      </c>
      <c r="Z147" s="37" t="n">
        <f aca="false">Y147</f>
        <v>0</v>
      </c>
      <c r="AB147" s="145" t="s">
        <v>176</v>
      </c>
      <c r="AC147" s="145"/>
      <c r="AD147" s="145"/>
      <c r="AE147" s="145"/>
      <c r="AF147" s="145"/>
      <c r="AG147" s="145"/>
      <c r="AH147" s="146" t="n">
        <f aca="false">H12</f>
        <v>0</v>
      </c>
      <c r="AI147" s="37" t="n">
        <f aca="false">AH147</f>
        <v>0</v>
      </c>
    </row>
    <row r="148" customFormat="false" ht="18.75" hidden="false" customHeight="false" outlineLevel="0" collapsed="false">
      <c r="A148" s="145" t="s">
        <v>177</v>
      </c>
      <c r="B148" s="145"/>
      <c r="C148" s="145"/>
      <c r="D148" s="145"/>
      <c r="E148" s="145"/>
      <c r="F148" s="145"/>
      <c r="G148" s="146" t="n">
        <f aca="false">H22</f>
        <v>0</v>
      </c>
      <c r="H148" s="37" t="n">
        <f aca="false">G148</f>
        <v>0</v>
      </c>
      <c r="J148" s="145" t="s">
        <v>177</v>
      </c>
      <c r="K148" s="145"/>
      <c r="L148" s="145"/>
      <c r="M148" s="145"/>
      <c r="N148" s="145"/>
      <c r="O148" s="145"/>
      <c r="P148" s="146" t="n">
        <f aca="false">H13</f>
        <v>0</v>
      </c>
      <c r="Q148" s="37" t="n">
        <f aca="false">P148</f>
        <v>0</v>
      </c>
      <c r="S148" s="145" t="s">
        <v>177</v>
      </c>
      <c r="T148" s="145"/>
      <c r="U148" s="145"/>
      <c r="V148" s="145"/>
      <c r="W148" s="145"/>
      <c r="X148" s="145"/>
      <c r="Y148" s="146" t="n">
        <f aca="false">H13</f>
        <v>0</v>
      </c>
      <c r="Z148" s="37" t="n">
        <f aca="false">Y148</f>
        <v>0</v>
      </c>
      <c r="AB148" s="145" t="s">
        <v>177</v>
      </c>
      <c r="AC148" s="145"/>
      <c r="AD148" s="145"/>
      <c r="AE148" s="145"/>
      <c r="AF148" s="145"/>
      <c r="AG148" s="145"/>
      <c r="AH148" s="146" t="n">
        <f aca="false">H13</f>
        <v>0</v>
      </c>
      <c r="AI148" s="37" t="n">
        <f aca="false">AH148</f>
        <v>0</v>
      </c>
    </row>
    <row r="149" customFormat="false" ht="18.75" hidden="false" customHeight="false" outlineLevel="0" collapsed="false">
      <c r="A149" s="145" t="s">
        <v>178</v>
      </c>
      <c r="B149" s="145"/>
      <c r="C149" s="145"/>
      <c r="D149" s="145"/>
      <c r="E149" s="145"/>
      <c r="F149" s="145"/>
      <c r="G149" s="146" t="n">
        <f aca="false">H23</f>
        <v>0</v>
      </c>
      <c r="H149" s="37" t="n">
        <f aca="false">G149</f>
        <v>0</v>
      </c>
      <c r="J149" s="145" t="s">
        <v>178</v>
      </c>
      <c r="K149" s="145"/>
      <c r="L149" s="145"/>
      <c r="M149" s="145"/>
      <c r="N149" s="145"/>
      <c r="O149" s="145"/>
      <c r="P149" s="146" t="n">
        <f aca="false">H14</f>
        <v>0</v>
      </c>
      <c r="Q149" s="37" t="n">
        <v>55</v>
      </c>
      <c r="S149" s="145" t="s">
        <v>178</v>
      </c>
      <c r="T149" s="145"/>
      <c r="U149" s="145"/>
      <c r="V149" s="145"/>
      <c r="W149" s="145"/>
      <c r="X149" s="145"/>
      <c r="Y149" s="146" t="n">
        <f aca="false">H14</f>
        <v>0</v>
      </c>
      <c r="Z149" s="37" t="n">
        <v>55</v>
      </c>
      <c r="AB149" s="145" t="s">
        <v>178</v>
      </c>
      <c r="AC149" s="145"/>
      <c r="AD149" s="145"/>
      <c r="AE149" s="145"/>
      <c r="AF149" s="145"/>
      <c r="AG149" s="145"/>
      <c r="AH149" s="146" t="n">
        <f aca="false">H14</f>
        <v>0</v>
      </c>
      <c r="AI149" s="37" t="n">
        <v>55</v>
      </c>
    </row>
    <row r="150" customFormat="false" ht="19.7" hidden="false" customHeight="false" outlineLevel="0" collapsed="false">
      <c r="A150" s="145" t="s">
        <v>179</v>
      </c>
      <c r="B150" s="145"/>
      <c r="C150" s="145"/>
      <c r="D150" s="145"/>
      <c r="E150" s="145"/>
      <c r="F150" s="145"/>
      <c r="G150" s="147" t="n">
        <f aca="false">(G144+G145+G148+G149+G146)-G147</f>
        <v>21000</v>
      </c>
      <c r="H150" s="147" t="n">
        <f aca="false">(H144+H145+H148+H149+H146)-H147</f>
        <v>23499.996</v>
      </c>
      <c r="J150" s="145" t="s">
        <v>179</v>
      </c>
      <c r="K150" s="145"/>
      <c r="L150" s="145"/>
      <c r="M150" s="145"/>
      <c r="N150" s="145"/>
      <c r="O150" s="145"/>
      <c r="P150" s="148" t="n">
        <f aca="false">H15</f>
        <v>0</v>
      </c>
      <c r="Q150" s="147" t="e">
        <f aca="false">(Q144+Q145+Q148+Q149+Q146)-Q147</f>
        <v>#VALUE!</v>
      </c>
      <c r="S150" s="145" t="s">
        <v>179</v>
      </c>
      <c r="T150" s="145"/>
      <c r="U150" s="145"/>
      <c r="V150" s="145"/>
      <c r="W150" s="145"/>
      <c r="X150" s="145"/>
      <c r="Y150" s="148" t="n">
        <f aca="false">H15</f>
        <v>0</v>
      </c>
      <c r="Z150" s="147" t="e">
        <f aca="false">(Z144+Z145+Z148+Z149+Z146)-Z147</f>
        <v>#VALUE!</v>
      </c>
      <c r="AB150" s="145" t="s">
        <v>179</v>
      </c>
      <c r="AC150" s="145"/>
      <c r="AD150" s="145"/>
      <c r="AE150" s="145"/>
      <c r="AF150" s="145"/>
      <c r="AG150" s="145"/>
      <c r="AH150" s="148" t="n">
        <f aca="false">H15</f>
        <v>0</v>
      </c>
      <c r="AI150" s="147" t="e">
        <f aca="false">(AI144+AI145+AI148+AI149+AI146)-AI147</f>
        <v>#VALUE!</v>
      </c>
    </row>
    <row r="151" customFormat="false" ht="18.75" hidden="false" customHeight="false" outlineLevel="0" collapsed="false">
      <c r="A151" s="145" t="s">
        <v>180</v>
      </c>
      <c r="B151" s="145"/>
      <c r="C151" s="145"/>
      <c r="D151" s="145"/>
      <c r="E151" s="145"/>
      <c r="F151" s="145"/>
      <c r="G151" s="44" t="n">
        <f aca="false">F151</f>
        <v>0</v>
      </c>
      <c r="H151" s="44" t="n">
        <f aca="false">G151</f>
        <v>0</v>
      </c>
      <c r="J151" s="145" t="s">
        <v>180</v>
      </c>
      <c r="K151" s="145"/>
      <c r="L151" s="145"/>
      <c r="M151" s="145"/>
      <c r="N151" s="145"/>
      <c r="O151" s="145"/>
      <c r="P151" s="146" t="n">
        <f aca="false">H16</f>
        <v>0</v>
      </c>
      <c r="Q151" s="44" t="n">
        <f aca="false">P151</f>
        <v>0</v>
      </c>
      <c r="S151" s="145" t="s">
        <v>180</v>
      </c>
      <c r="T151" s="145"/>
      <c r="U151" s="145"/>
      <c r="V151" s="145"/>
      <c r="W151" s="145"/>
      <c r="X151" s="145"/>
      <c r="Y151" s="146" t="n">
        <f aca="false">H16</f>
        <v>0</v>
      </c>
      <c r="Z151" s="44" t="n">
        <f aca="false">Y151</f>
        <v>0</v>
      </c>
      <c r="AB151" s="145" t="s">
        <v>180</v>
      </c>
      <c r="AC151" s="145"/>
      <c r="AD151" s="145"/>
      <c r="AE151" s="145"/>
      <c r="AF151" s="145"/>
      <c r="AG151" s="145"/>
      <c r="AH151" s="146" t="n">
        <f aca="false">H16</f>
        <v>0</v>
      </c>
      <c r="AI151" s="44" t="n">
        <f aca="false">AH151</f>
        <v>0</v>
      </c>
    </row>
    <row r="152" customFormat="false" ht="18.75" hidden="false" customHeight="false" outlineLevel="0" collapsed="false">
      <c r="A152" s="113" t="s">
        <v>181</v>
      </c>
      <c r="B152" s="113"/>
      <c r="C152" s="113"/>
      <c r="D152" s="113"/>
      <c r="E152" s="113" t="n">
        <v>0</v>
      </c>
      <c r="F152" s="113"/>
      <c r="G152" s="37" t="n">
        <v>0</v>
      </c>
      <c r="H152" s="37"/>
      <c r="J152" s="149" t="s">
        <v>181</v>
      </c>
      <c r="K152" s="149"/>
      <c r="L152" s="149"/>
      <c r="M152" s="149"/>
      <c r="N152" s="149"/>
      <c r="O152" s="149"/>
      <c r="P152" s="42"/>
      <c r="Q152" s="37"/>
      <c r="S152" s="113" t="s">
        <v>181</v>
      </c>
      <c r="T152" s="113"/>
      <c r="U152" s="113"/>
      <c r="V152" s="113"/>
      <c r="W152" s="113"/>
      <c r="X152" s="113"/>
      <c r="Y152" s="42"/>
      <c r="Z152" s="37"/>
      <c r="AB152" s="113" t="s">
        <v>181</v>
      </c>
      <c r="AC152" s="113"/>
      <c r="AD152" s="113"/>
      <c r="AE152" s="113"/>
      <c r="AF152" s="113"/>
      <c r="AG152" s="113"/>
      <c r="AH152" s="42"/>
      <c r="AI152" s="37"/>
    </row>
    <row r="153" customFormat="false" ht="18.75" hidden="false" customHeight="false" outlineLevel="0" collapsed="false">
      <c r="A153" s="150" t="s">
        <v>26</v>
      </c>
      <c r="B153" s="151" t="n">
        <v>0</v>
      </c>
      <c r="C153" s="151"/>
      <c r="D153" s="151"/>
      <c r="E153" s="151"/>
      <c r="F153" s="151"/>
      <c r="G153" s="44" t="n">
        <v>0</v>
      </c>
      <c r="H153" s="44" t="n">
        <v>0</v>
      </c>
      <c r="J153" s="150" t="s">
        <v>26</v>
      </c>
      <c r="K153" s="151" t="s">
        <v>182</v>
      </c>
      <c r="L153" s="151"/>
      <c r="M153" s="151"/>
      <c r="N153" s="151"/>
      <c r="O153" s="151"/>
      <c r="P153" s="146" t="n">
        <f aca="false">H18</f>
        <v>0</v>
      </c>
      <c r="Q153" s="44" t="n">
        <f aca="false">P153</f>
        <v>0</v>
      </c>
      <c r="S153" s="150" t="s">
        <v>26</v>
      </c>
      <c r="T153" s="151" t="s">
        <v>182</v>
      </c>
      <c r="U153" s="151"/>
      <c r="V153" s="151"/>
      <c r="W153" s="151"/>
      <c r="X153" s="151"/>
      <c r="Y153" s="146" t="n">
        <f aca="false">H18</f>
        <v>0</v>
      </c>
      <c r="Z153" s="44" t="n">
        <f aca="false">Y153</f>
        <v>0</v>
      </c>
      <c r="AB153" s="150" t="s">
        <v>26</v>
      </c>
      <c r="AC153" s="151" t="s">
        <v>182</v>
      </c>
      <c r="AD153" s="151"/>
      <c r="AE153" s="151"/>
      <c r="AF153" s="151"/>
      <c r="AG153" s="151"/>
      <c r="AH153" s="146" t="n">
        <f aca="false">H18</f>
        <v>0</v>
      </c>
      <c r="AI153" s="44" t="n">
        <f aca="false">AH153</f>
        <v>0</v>
      </c>
    </row>
    <row r="154" customFormat="false" ht="18.75" hidden="false" customHeight="false" outlineLevel="0" collapsed="false">
      <c r="A154" s="150" t="s">
        <v>28</v>
      </c>
      <c r="B154" s="151" t="s">
        <v>182</v>
      </c>
      <c r="C154" s="151"/>
      <c r="D154" s="151"/>
      <c r="E154" s="151"/>
      <c r="F154" s="151"/>
      <c r="G154" s="44" t="n">
        <v>0</v>
      </c>
      <c r="H154" s="44" t="n">
        <v>0</v>
      </c>
      <c r="I154" s="6" t="n">
        <f aca="false">(G151+G154+G155+G153)</f>
        <v>0</v>
      </c>
      <c r="J154" s="150" t="s">
        <v>28</v>
      </c>
      <c r="K154" s="151" t="s">
        <v>182</v>
      </c>
      <c r="L154" s="151"/>
      <c r="M154" s="151"/>
      <c r="N154" s="151"/>
      <c r="O154" s="151"/>
      <c r="P154" s="146" t="n">
        <f aca="false">H19</f>
        <v>0</v>
      </c>
      <c r="Q154" s="44" t="n">
        <f aca="false">P154</f>
        <v>0</v>
      </c>
      <c r="S154" s="150" t="s">
        <v>28</v>
      </c>
      <c r="T154" s="151" t="s">
        <v>182</v>
      </c>
      <c r="U154" s="151"/>
      <c r="V154" s="151"/>
      <c r="W154" s="151"/>
      <c r="X154" s="151"/>
      <c r="Y154" s="146" t="n">
        <f aca="false">H19</f>
        <v>0</v>
      </c>
      <c r="Z154" s="44" t="n">
        <f aca="false">Y154</f>
        <v>0</v>
      </c>
      <c r="AB154" s="150" t="s">
        <v>28</v>
      </c>
      <c r="AC154" s="151" t="s">
        <v>182</v>
      </c>
      <c r="AD154" s="151"/>
      <c r="AE154" s="151"/>
      <c r="AF154" s="151"/>
      <c r="AG154" s="151"/>
      <c r="AH154" s="146" t="n">
        <f aca="false">H19</f>
        <v>0</v>
      </c>
      <c r="AI154" s="44" t="n">
        <f aca="false">AH154</f>
        <v>0</v>
      </c>
    </row>
    <row r="155" customFormat="false" ht="18.75" hidden="false" customHeight="false" outlineLevel="0" collapsed="false">
      <c r="A155" s="152" t="s">
        <v>29</v>
      </c>
      <c r="B155" s="153" t="s">
        <v>182</v>
      </c>
      <c r="C155" s="153"/>
      <c r="D155" s="153"/>
      <c r="E155" s="153"/>
      <c r="F155" s="153"/>
      <c r="G155" s="44" t="n">
        <v>0</v>
      </c>
      <c r="H155" s="44" t="n">
        <v>0</v>
      </c>
      <c r="I155" s="6" t="n">
        <f aca="false">(H151+H153+H154+H155)</f>
        <v>0</v>
      </c>
      <c r="J155" s="152" t="s">
        <v>29</v>
      </c>
      <c r="K155" s="153" t="s">
        <v>182</v>
      </c>
      <c r="L155" s="153"/>
      <c r="M155" s="153"/>
      <c r="N155" s="153"/>
      <c r="O155" s="153"/>
      <c r="P155" s="146" t="n">
        <f aca="false">H20</f>
        <v>0</v>
      </c>
      <c r="Q155" s="44" t="n">
        <f aca="false">P155</f>
        <v>0</v>
      </c>
      <c r="S155" s="152" t="s">
        <v>29</v>
      </c>
      <c r="T155" s="153" t="s">
        <v>182</v>
      </c>
      <c r="U155" s="153"/>
      <c r="V155" s="153"/>
      <c r="W155" s="153"/>
      <c r="X155" s="153"/>
      <c r="Y155" s="146" t="n">
        <f aca="false">H20</f>
        <v>0</v>
      </c>
      <c r="Z155" s="44" t="n">
        <f aca="false">Y155</f>
        <v>0</v>
      </c>
      <c r="AB155" s="152" t="s">
        <v>29</v>
      </c>
      <c r="AC155" s="153" t="s">
        <v>182</v>
      </c>
      <c r="AD155" s="153"/>
      <c r="AE155" s="153"/>
      <c r="AF155" s="153"/>
      <c r="AG155" s="153"/>
      <c r="AH155" s="146" t="n">
        <f aca="false">H20</f>
        <v>0</v>
      </c>
      <c r="AI155" s="44" t="n">
        <f aca="false">AH155</f>
        <v>0</v>
      </c>
    </row>
    <row r="156" customFormat="false" ht="19.7" hidden="false" customHeight="false" outlineLevel="0" collapsed="false">
      <c r="A156" s="145" t="s">
        <v>183</v>
      </c>
      <c r="B156" s="145"/>
      <c r="C156" s="145"/>
      <c r="D156" s="145"/>
      <c r="E156" s="145"/>
      <c r="F156" s="145"/>
      <c r="G156" s="154" t="n">
        <f aca="false">G150-((G153*1.2)+(G154*1.2)+(G155*1.2)+(G151*1.2))</f>
        <v>21000</v>
      </c>
      <c r="H156" s="154" t="n">
        <f aca="false">H150-((H153*1.2)+(H154*1.2)+(H155*1.2)+(H151*1.2))</f>
        <v>23499.996</v>
      </c>
      <c r="J156" s="155" t="s">
        <v>183</v>
      </c>
      <c r="K156" s="155"/>
      <c r="L156" s="155"/>
      <c r="M156" s="155"/>
      <c r="N156" s="155"/>
      <c r="O156" s="155"/>
      <c r="P156" s="148" t="n">
        <f aca="false">P150-((P153*1.2)+(P154*1.2)+(P155*1.2)+(P151*1.2))</f>
        <v>0</v>
      </c>
      <c r="Q156" s="154" t="e">
        <f aca="false">Q150-((Q153*1.2)+(Q154*1.2)+(Q155*1.2)+(Q151*1.2))</f>
        <v>#VALUE!</v>
      </c>
      <c r="S156" s="145" t="s">
        <v>183</v>
      </c>
      <c r="T156" s="145"/>
      <c r="U156" s="145"/>
      <c r="V156" s="145"/>
      <c r="W156" s="145"/>
      <c r="X156" s="145"/>
      <c r="Y156" s="148" t="n">
        <f aca="false">Y150-((Y153*1.2)+(Y154*1.2)+(Y155*1.2)+(Y151*1.2))</f>
        <v>0</v>
      </c>
      <c r="Z156" s="154" t="e">
        <f aca="false">Z150-((Z153*1.2)+(Z154*1.2)+(Z155*1.2)+(Z151*1.2))</f>
        <v>#VALUE!</v>
      </c>
      <c r="AB156" s="145" t="s">
        <v>183</v>
      </c>
      <c r="AC156" s="145"/>
      <c r="AD156" s="145"/>
      <c r="AE156" s="145"/>
      <c r="AF156" s="145"/>
      <c r="AG156" s="145"/>
      <c r="AH156" s="148" t="n">
        <f aca="false">AH150-((AH153*1.2)+(AH154*1.2)+(AH155*1.2)+(AH151*1.2))</f>
        <v>0</v>
      </c>
      <c r="AI156" s="154" t="e">
        <f aca="false">AI150-((AI153*1.2)+(AI154*1.2)+(AI155*1.2)+(AI151*1.2))</f>
        <v>#VALUE!</v>
      </c>
    </row>
    <row r="157" customFormat="false" ht="18.75" hidden="false" customHeight="false" outlineLevel="0" collapsed="false">
      <c r="A157" s="145" t="s">
        <v>184</v>
      </c>
      <c r="B157" s="145"/>
      <c r="C157" s="145"/>
      <c r="D157" s="145"/>
      <c r="E157" s="145"/>
      <c r="F157" s="145"/>
      <c r="G157" s="146"/>
      <c r="H157" s="44" t="n">
        <f aca="false">((H156-G156)-(H146-G146))+((I155-I154)*0.2)</f>
        <v>2083.33</v>
      </c>
      <c r="I157" s="6" t="n">
        <f aca="false">(H157-G90)/1.2</f>
        <v>-14930.5583333333</v>
      </c>
      <c r="J157" s="145" t="s">
        <v>184</v>
      </c>
      <c r="K157" s="145"/>
      <c r="L157" s="145"/>
      <c r="M157" s="145"/>
      <c r="N157" s="145"/>
      <c r="O157" s="145"/>
      <c r="P157" s="146"/>
      <c r="Q157" s="44" t="e">
        <f aca="false">Q156-P156</f>
        <v>#VALUE!</v>
      </c>
      <c r="S157" s="145" t="s">
        <v>184</v>
      </c>
      <c r="T157" s="145"/>
      <c r="U157" s="145"/>
      <c r="V157" s="145"/>
      <c r="W157" s="145"/>
      <c r="X157" s="145"/>
      <c r="Y157" s="146"/>
      <c r="Z157" s="44" t="e">
        <f aca="false">Z156-Y156</f>
        <v>#VALUE!</v>
      </c>
      <c r="AB157" s="145" t="s">
        <v>184</v>
      </c>
      <c r="AC157" s="145"/>
      <c r="AD157" s="145"/>
      <c r="AE157" s="145"/>
      <c r="AF157" s="145"/>
      <c r="AG157" s="145"/>
      <c r="AH157" s="146"/>
      <c r="AI157" s="44" t="e">
        <f aca="false">AI156-AH156</f>
        <v>#VALUE!</v>
      </c>
    </row>
    <row r="158" customFormat="false" ht="18.75" hidden="false" customHeight="false" outlineLevel="0" collapsed="false">
      <c r="A158" s="35"/>
      <c r="B158" s="36"/>
      <c r="C158" s="36"/>
      <c r="D158" s="36"/>
      <c r="E158" s="27"/>
      <c r="F158" s="27"/>
      <c r="G158" s="27"/>
      <c r="H158" s="37"/>
      <c r="J158" s="35"/>
      <c r="K158" s="36"/>
      <c r="L158" s="36"/>
      <c r="M158" s="36"/>
      <c r="N158" s="27"/>
      <c r="O158" s="27"/>
      <c r="P158" s="27"/>
      <c r="Q158" s="37"/>
      <c r="S158" s="35"/>
      <c r="T158" s="36"/>
      <c r="U158" s="36"/>
      <c r="V158" s="36"/>
      <c r="W158" s="27"/>
      <c r="X158" s="27"/>
      <c r="Y158" s="27"/>
      <c r="Z158" s="37"/>
      <c r="AB158" s="35"/>
      <c r="AC158" s="36"/>
      <c r="AD158" s="36"/>
      <c r="AE158" s="36"/>
      <c r="AF158" s="27"/>
      <c r="AG158" s="27"/>
      <c r="AH158" s="27"/>
      <c r="AI158" s="37"/>
    </row>
    <row r="159" customFormat="false" ht="22.05" hidden="false" customHeight="false" outlineLevel="0" collapsed="false">
      <c r="A159" s="32" t="s">
        <v>185</v>
      </c>
      <c r="B159" s="32"/>
      <c r="C159" s="32"/>
      <c r="D159" s="32"/>
      <c r="E159" s="32"/>
      <c r="F159" s="32"/>
      <c r="G159" s="32"/>
      <c r="H159" s="32"/>
      <c r="J159" s="32" t="s">
        <v>185</v>
      </c>
      <c r="K159" s="32"/>
      <c r="L159" s="32"/>
      <c r="M159" s="32"/>
      <c r="N159" s="32"/>
      <c r="O159" s="32"/>
      <c r="P159" s="32"/>
      <c r="Q159" s="32"/>
      <c r="S159" s="32" t="s">
        <v>185</v>
      </c>
      <c r="T159" s="32"/>
      <c r="U159" s="32"/>
      <c r="V159" s="32"/>
      <c r="W159" s="32"/>
      <c r="X159" s="32"/>
      <c r="Y159" s="32"/>
      <c r="Z159" s="32"/>
      <c r="AB159" s="32" t="s">
        <v>185</v>
      </c>
      <c r="AC159" s="32"/>
      <c r="AD159" s="32"/>
      <c r="AE159" s="32"/>
      <c r="AF159" s="32"/>
      <c r="AG159" s="32"/>
      <c r="AH159" s="32"/>
      <c r="AI159" s="32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 t="s">
        <v>186</v>
      </c>
      <c r="B161" s="36"/>
      <c r="C161" s="36"/>
      <c r="D161" s="27"/>
      <c r="E161" s="109" t="n">
        <v>0</v>
      </c>
      <c r="F161" s="109"/>
      <c r="G161" s="109" t="n">
        <v>0</v>
      </c>
      <c r="H161" s="109"/>
      <c r="J161" s="35" t="s">
        <v>186</v>
      </c>
      <c r="K161" s="36"/>
      <c r="L161" s="36"/>
      <c r="M161" s="27"/>
      <c r="N161" s="109" t="n">
        <v>10000</v>
      </c>
      <c r="O161" s="109"/>
      <c r="P161" s="109" t="n">
        <v>5000</v>
      </c>
      <c r="Q161" s="109"/>
      <c r="S161" s="35" t="s">
        <v>186</v>
      </c>
      <c r="T161" s="36"/>
      <c r="U161" s="36"/>
      <c r="V161" s="27"/>
      <c r="W161" s="109" t="n">
        <v>10000</v>
      </c>
      <c r="X161" s="109"/>
      <c r="Y161" s="109" t="n">
        <v>5000</v>
      </c>
      <c r="Z161" s="109"/>
      <c r="AB161" s="35" t="s">
        <v>186</v>
      </c>
      <c r="AC161" s="36"/>
      <c r="AD161" s="36"/>
      <c r="AE161" s="27"/>
      <c r="AF161" s="109" t="n">
        <v>10000</v>
      </c>
      <c r="AG161" s="109"/>
      <c r="AH161" s="109" t="n">
        <v>5000</v>
      </c>
      <c r="AI161" s="109"/>
    </row>
    <row r="162" customFormat="false" ht="18.75" hidden="false" customHeight="false" outlineLevel="0" collapsed="false">
      <c r="A162" s="35" t="s">
        <v>187</v>
      </c>
      <c r="B162" s="36"/>
      <c r="C162" s="36"/>
      <c r="D162" s="27"/>
      <c r="E162" s="156" t="n">
        <f aca="false">G162</f>
        <v>0</v>
      </c>
      <c r="F162" s="156"/>
      <c r="G162" s="109" t="n">
        <v>0</v>
      </c>
      <c r="H162" s="109"/>
      <c r="J162" s="35" t="s">
        <v>187</v>
      </c>
      <c r="K162" s="36"/>
      <c r="L162" s="36"/>
      <c r="M162" s="27"/>
      <c r="N162" s="156" t="n">
        <f aca="false">P162</f>
        <v>7000</v>
      </c>
      <c r="O162" s="156"/>
      <c r="P162" s="109" t="n">
        <v>7000</v>
      </c>
      <c r="Q162" s="109"/>
      <c r="S162" s="35" t="s">
        <v>187</v>
      </c>
      <c r="T162" s="36"/>
      <c r="U162" s="36"/>
      <c r="V162" s="27"/>
      <c r="W162" s="156" t="n">
        <f aca="false">Y162</f>
        <v>7000</v>
      </c>
      <c r="X162" s="156"/>
      <c r="Y162" s="109" t="n">
        <v>7000</v>
      </c>
      <c r="Z162" s="109"/>
      <c r="AB162" s="35" t="s">
        <v>187</v>
      </c>
      <c r="AC162" s="36"/>
      <c r="AD162" s="36"/>
      <c r="AE162" s="27"/>
      <c r="AF162" s="156" t="n">
        <f aca="false">AH162</f>
        <v>7000</v>
      </c>
      <c r="AG162" s="156"/>
      <c r="AH162" s="109" t="n">
        <v>7000</v>
      </c>
      <c r="AI162" s="109"/>
    </row>
    <row r="163" customFormat="false" ht="18.75" hidden="false" customHeight="false" outlineLevel="0" collapsed="false">
      <c r="A163" s="35" t="s">
        <v>188</v>
      </c>
      <c r="B163" s="36"/>
      <c r="C163" s="36"/>
      <c r="D163" s="27"/>
      <c r="E163" s="156" t="n">
        <f aca="false">E161-E162</f>
        <v>0</v>
      </c>
      <c r="F163" s="156"/>
      <c r="G163" s="157" t="n">
        <f aca="false">G161-G162</f>
        <v>0</v>
      </c>
      <c r="H163" s="157"/>
      <c r="J163" s="35" t="s">
        <v>188</v>
      </c>
      <c r="K163" s="36"/>
      <c r="L163" s="36"/>
      <c r="M163" s="27"/>
      <c r="N163" s="156" t="n">
        <f aca="false">N161-N162</f>
        <v>3000</v>
      </c>
      <c r="O163" s="156"/>
      <c r="P163" s="157" t="n">
        <f aca="false">P161-P162</f>
        <v>-2000</v>
      </c>
      <c r="Q163" s="157"/>
      <c r="S163" s="35" t="s">
        <v>188</v>
      </c>
      <c r="T163" s="36"/>
      <c r="U163" s="36"/>
      <c r="V163" s="27"/>
      <c r="W163" s="156" t="n">
        <f aca="false">W161-W162</f>
        <v>3000</v>
      </c>
      <c r="X163" s="156"/>
      <c r="Y163" s="157" t="n">
        <f aca="false">Y161-Y162</f>
        <v>-2000</v>
      </c>
      <c r="Z163" s="157"/>
      <c r="AB163" s="35" t="s">
        <v>188</v>
      </c>
      <c r="AC163" s="36"/>
      <c r="AD163" s="36"/>
      <c r="AE163" s="27"/>
      <c r="AF163" s="156" t="n">
        <f aca="false">AF161-AF162</f>
        <v>3000</v>
      </c>
      <c r="AG163" s="156"/>
      <c r="AH163" s="157" t="n">
        <f aca="false">AH161-AH162</f>
        <v>-2000</v>
      </c>
      <c r="AI163" s="157"/>
    </row>
    <row r="164" customFormat="false" ht="18.75" hidden="false" customHeight="false" outlineLevel="0" collapsed="false">
      <c r="A164" s="35" t="s">
        <v>189</v>
      </c>
      <c r="B164" s="36"/>
      <c r="C164" s="36"/>
      <c r="D164" s="27"/>
      <c r="E164" s="156" t="n">
        <f aca="false">E163-G163</f>
        <v>0</v>
      </c>
      <c r="F164" s="156"/>
      <c r="G164" s="27"/>
      <c r="H164" s="37"/>
      <c r="J164" s="35" t="s">
        <v>189</v>
      </c>
      <c r="K164" s="36"/>
      <c r="L164" s="36"/>
      <c r="M164" s="27"/>
      <c r="N164" s="156" t="n">
        <f aca="false">N163-P163</f>
        <v>5000</v>
      </c>
      <c r="O164" s="156"/>
      <c r="P164" s="27"/>
      <c r="Q164" s="37"/>
      <c r="S164" s="35" t="s">
        <v>189</v>
      </c>
      <c r="T164" s="36"/>
      <c r="U164" s="36"/>
      <c r="V164" s="27"/>
      <c r="W164" s="156" t="n">
        <f aca="false">W163-Y163</f>
        <v>5000</v>
      </c>
      <c r="X164" s="156"/>
      <c r="Y164" s="27"/>
      <c r="Z164" s="37"/>
      <c r="AB164" s="35" t="s">
        <v>189</v>
      </c>
      <c r="AC164" s="36"/>
      <c r="AD164" s="36"/>
      <c r="AE164" s="27"/>
      <c r="AF164" s="156" t="n">
        <f aca="false">AF163-AH163</f>
        <v>5000</v>
      </c>
      <c r="AG164" s="156"/>
      <c r="AH164" s="27"/>
      <c r="AI164" s="37"/>
    </row>
    <row r="165" customFormat="false" ht="18.75" hidden="false" customHeight="false" outlineLevel="0" collapsed="false">
      <c r="A165" s="29" t="s">
        <v>190</v>
      </c>
      <c r="B165" s="30"/>
      <c r="C165" s="30"/>
      <c r="D165" s="79"/>
      <c r="E165" s="30"/>
      <c r="F165" s="79"/>
      <c r="G165" s="158" t="s">
        <v>10</v>
      </c>
      <c r="H165" s="44" t="n">
        <v>1400</v>
      </c>
      <c r="J165" s="35"/>
      <c r="K165" s="36"/>
      <c r="L165" s="36"/>
      <c r="M165" s="27"/>
      <c r="N165" s="36"/>
      <c r="O165" s="27"/>
      <c r="P165" s="27"/>
      <c r="Q165" s="37"/>
      <c r="S165" s="35"/>
      <c r="T165" s="36"/>
      <c r="U165" s="36"/>
      <c r="V165" s="27"/>
      <c r="W165" s="36"/>
      <c r="X165" s="27"/>
      <c r="Y165" s="27"/>
      <c r="Z165" s="37"/>
      <c r="AB165" s="35"/>
      <c r="AC165" s="36"/>
      <c r="AD165" s="36"/>
      <c r="AE165" s="27"/>
      <c r="AF165" s="36"/>
      <c r="AG165" s="27"/>
      <c r="AH165" s="27"/>
      <c r="AI165" s="37"/>
    </row>
    <row r="166" customFormat="false" ht="18.75" hidden="false" customHeight="false" outlineLevel="0" collapsed="false">
      <c r="A166" s="29" t="s">
        <v>191</v>
      </c>
      <c r="B166" s="30"/>
      <c r="C166" s="30"/>
      <c r="D166" s="79"/>
      <c r="E166" s="30"/>
      <c r="F166" s="79"/>
      <c r="G166" s="158" t="n">
        <f aca="false">B120</f>
        <v>0</v>
      </c>
      <c r="H166" s="158"/>
      <c r="J166" s="29" t="s">
        <v>191</v>
      </c>
      <c r="K166" s="30"/>
      <c r="L166" s="30"/>
      <c r="M166" s="79"/>
      <c r="N166" s="30"/>
      <c r="O166" s="79"/>
      <c r="P166" s="158" t="n">
        <f aca="false">K120</f>
        <v>1000</v>
      </c>
      <c r="Q166" s="158"/>
      <c r="S166" s="29" t="s">
        <v>191</v>
      </c>
      <c r="T166" s="30"/>
      <c r="U166" s="30"/>
      <c r="V166" s="79"/>
      <c r="W166" s="30"/>
      <c r="X166" s="79"/>
      <c r="Y166" s="158" t="n">
        <f aca="false">T120</f>
        <v>1000</v>
      </c>
      <c r="Z166" s="158"/>
      <c r="AB166" s="29" t="s">
        <v>191</v>
      </c>
      <c r="AC166" s="30"/>
      <c r="AD166" s="30"/>
      <c r="AE166" s="79"/>
      <c r="AF166" s="30"/>
      <c r="AG166" s="79"/>
      <c r="AH166" s="158" t="n">
        <f aca="false">AC120</f>
        <v>1000</v>
      </c>
      <c r="AI166" s="158"/>
    </row>
    <row r="167" customFormat="false" ht="19.7" hidden="false" customHeight="false" outlineLevel="0" collapsed="false">
      <c r="A167" s="159" t="s">
        <v>192</v>
      </c>
      <c r="B167" s="36"/>
      <c r="C167" s="36"/>
      <c r="D167" s="27"/>
      <c r="E167" s="36"/>
      <c r="F167" s="27"/>
      <c r="G167" s="160" t="n">
        <f aca="false">H156-G163-G166+H165</f>
        <v>24899.996</v>
      </c>
      <c r="H167" s="160"/>
      <c r="J167" s="159" t="s">
        <v>192</v>
      </c>
      <c r="K167" s="36"/>
      <c r="L167" s="36"/>
      <c r="M167" s="27"/>
      <c r="N167" s="36"/>
      <c r="O167" s="27"/>
      <c r="P167" s="160" t="e">
        <f aca="false">Q156-P163-P166</f>
        <v>#VALUE!</v>
      </c>
      <c r="Q167" s="160"/>
      <c r="S167" s="159" t="s">
        <v>192</v>
      </c>
      <c r="T167" s="36"/>
      <c r="U167" s="36"/>
      <c r="V167" s="27"/>
      <c r="W167" s="36"/>
      <c r="X167" s="27"/>
      <c r="Y167" s="160" t="e">
        <f aca="false">Z156-Y163-Y166</f>
        <v>#VALUE!</v>
      </c>
      <c r="Z167" s="160"/>
      <c r="AB167" s="159" t="s">
        <v>192</v>
      </c>
      <c r="AC167" s="36"/>
      <c r="AD167" s="36"/>
      <c r="AE167" s="27"/>
      <c r="AF167" s="36"/>
      <c r="AG167" s="27"/>
      <c r="AH167" s="160" t="e">
        <f aca="false">AI156-AH163-AH166</f>
        <v>#VALUE!</v>
      </c>
      <c r="AI167" s="160"/>
    </row>
    <row r="168" customFormat="false" ht="18.75" hidden="false" customHeight="false" outlineLevel="0" collapsed="false">
      <c r="A168" s="60" t="s">
        <v>66</v>
      </c>
      <c r="B168" s="61"/>
      <c r="C168" s="61"/>
      <c r="D168" s="101"/>
      <c r="E168" s="61"/>
      <c r="F168" s="101"/>
      <c r="G168" s="161" t="n">
        <f aca="false">B123</f>
        <v>239.99</v>
      </c>
      <c r="H168" s="161"/>
      <c r="J168" s="60" t="s">
        <v>66</v>
      </c>
      <c r="K168" s="61"/>
      <c r="L168" s="61"/>
      <c r="M168" s="101"/>
      <c r="N168" s="61"/>
      <c r="O168" s="101"/>
      <c r="P168" s="161" t="n">
        <f aca="false">K123</f>
        <v>239.99</v>
      </c>
      <c r="Q168" s="161"/>
      <c r="S168" s="60" t="s">
        <v>66</v>
      </c>
      <c r="T168" s="61"/>
      <c r="U168" s="61"/>
      <c r="V168" s="101"/>
      <c r="W168" s="61"/>
      <c r="X168" s="101"/>
      <c r="Y168" s="161" t="n">
        <f aca="false">T123</f>
        <v>199.99</v>
      </c>
      <c r="Z168" s="161"/>
      <c r="AB168" s="60" t="s">
        <v>66</v>
      </c>
      <c r="AC168" s="61"/>
      <c r="AD168" s="61"/>
      <c r="AE168" s="101"/>
      <c r="AF168" s="61"/>
      <c r="AG168" s="101"/>
      <c r="AH168" s="161" t="n">
        <f aca="false">AC123</f>
        <v>239.99</v>
      </c>
      <c r="AI168" s="161"/>
    </row>
    <row r="169" customFormat="false" ht="18.75" hidden="false" customHeight="false" outlineLevel="0" collapsed="false">
      <c r="A169" s="35"/>
      <c r="B169" s="36"/>
      <c r="C169" s="36"/>
      <c r="D169" s="36"/>
      <c r="E169" s="27"/>
      <c r="F169" s="27"/>
      <c r="G169" s="27"/>
      <c r="H169" s="37"/>
      <c r="J169" s="35"/>
      <c r="K169" s="36"/>
      <c r="L169" s="36"/>
      <c r="M169" s="36"/>
      <c r="N169" s="27"/>
      <c r="O169" s="27"/>
      <c r="P169" s="27"/>
      <c r="Q169" s="37"/>
      <c r="S169" s="35"/>
      <c r="T169" s="36"/>
      <c r="U169" s="36"/>
      <c r="V169" s="36"/>
      <c r="W169" s="27"/>
      <c r="X169" s="27"/>
      <c r="Y169" s="27"/>
      <c r="Z169" s="37"/>
      <c r="AB169" s="35"/>
      <c r="AC169" s="36"/>
      <c r="AD169" s="36"/>
      <c r="AE169" s="36"/>
      <c r="AF169" s="27"/>
      <c r="AG169" s="27"/>
      <c r="AH169" s="27"/>
      <c r="AI169" s="37"/>
    </row>
    <row r="170" customFormat="false" ht="18.75" hidden="false" customHeight="false" outlineLevel="0" collapsed="false">
      <c r="A170" s="35"/>
      <c r="B170" s="36"/>
      <c r="C170" s="36"/>
      <c r="D170" s="36"/>
      <c r="E170" s="27" t="n">
        <v>6000</v>
      </c>
      <c r="F170" s="27"/>
      <c r="G170" s="27"/>
      <c r="H170" s="37"/>
      <c r="J170" s="35"/>
      <c r="K170" s="36"/>
      <c r="L170" s="36"/>
      <c r="M170" s="36"/>
      <c r="N170" s="27"/>
      <c r="O170" s="27"/>
      <c r="P170" s="27"/>
      <c r="Q170" s="37"/>
      <c r="S170" s="35"/>
      <c r="T170" s="36"/>
      <c r="U170" s="36"/>
      <c r="V170" s="36"/>
      <c r="W170" s="27"/>
      <c r="X170" s="27"/>
      <c r="Y170" s="27"/>
      <c r="Z170" s="37"/>
      <c r="AB170" s="35"/>
      <c r="AC170" s="36"/>
      <c r="AD170" s="36"/>
      <c r="AE170" s="36"/>
      <c r="AF170" s="27"/>
      <c r="AG170" s="27"/>
      <c r="AH170" s="27"/>
      <c r="AI170" s="37"/>
    </row>
    <row r="171" customFormat="false" ht="22.05" hidden="false" customHeight="false" outlineLevel="0" collapsed="false">
      <c r="A171" s="32" t="s">
        <v>193</v>
      </c>
      <c r="B171" s="32"/>
      <c r="C171" s="32"/>
      <c r="D171" s="32"/>
      <c r="E171" s="32"/>
      <c r="F171" s="32"/>
      <c r="G171" s="32"/>
      <c r="H171" s="32"/>
      <c r="J171" s="32" t="s">
        <v>193</v>
      </c>
      <c r="K171" s="32"/>
      <c r="L171" s="32"/>
      <c r="M171" s="32"/>
      <c r="N171" s="32"/>
      <c r="O171" s="32"/>
      <c r="P171" s="32"/>
      <c r="Q171" s="32"/>
      <c r="S171" s="32" t="s">
        <v>193</v>
      </c>
      <c r="T171" s="32"/>
      <c r="U171" s="32"/>
      <c r="V171" s="32"/>
      <c r="W171" s="32"/>
      <c r="X171" s="32"/>
      <c r="Y171" s="32"/>
      <c r="Z171" s="32"/>
      <c r="AB171" s="32" t="s">
        <v>193</v>
      </c>
      <c r="AC171" s="32"/>
      <c r="AD171" s="32"/>
      <c r="AE171" s="32"/>
      <c r="AF171" s="32"/>
      <c r="AG171" s="32"/>
      <c r="AH171" s="32"/>
      <c r="AI171" s="32"/>
    </row>
    <row r="172" customFormat="false" ht="18.75" hidden="false" customHeight="false" outlineLevel="0" collapsed="false">
      <c r="A172" s="35"/>
      <c r="B172" s="36"/>
      <c r="C172" s="36"/>
      <c r="D172" s="36"/>
      <c r="E172" s="27"/>
      <c r="F172" s="27"/>
      <c r="G172" s="27"/>
      <c r="H172" s="37"/>
      <c r="J172" s="35"/>
      <c r="K172" s="36"/>
      <c r="L172" s="36"/>
      <c r="M172" s="36"/>
      <c r="N172" s="27"/>
      <c r="O172" s="27"/>
      <c r="P172" s="27"/>
      <c r="Q172" s="37"/>
      <c r="S172" s="35"/>
      <c r="T172" s="36"/>
      <c r="U172" s="36"/>
      <c r="V172" s="36"/>
      <c r="W172" s="27"/>
      <c r="X172" s="27"/>
      <c r="Y172" s="27"/>
      <c r="Z172" s="37"/>
      <c r="AB172" s="35"/>
      <c r="AC172" s="36"/>
      <c r="AD172" s="36"/>
      <c r="AE172" s="36"/>
      <c r="AF172" s="27"/>
      <c r="AG172" s="27"/>
      <c r="AH172" s="27"/>
      <c r="AI172" s="37"/>
    </row>
    <row r="173" customFormat="false" ht="18.75" hidden="false" customHeight="false" outlineLevel="0" collapsed="false">
      <c r="A173" s="35" t="s">
        <v>194</v>
      </c>
      <c r="B173" s="162" t="n">
        <v>0</v>
      </c>
      <c r="C173" s="162"/>
      <c r="D173" s="36"/>
      <c r="E173" s="27"/>
      <c r="F173" s="27"/>
      <c r="G173" s="27"/>
      <c r="H173" s="37"/>
      <c r="J173" s="35" t="s">
        <v>194</v>
      </c>
      <c r="K173" s="162" t="n">
        <v>0</v>
      </c>
      <c r="L173" s="162"/>
      <c r="M173" s="36"/>
      <c r="N173" s="27"/>
      <c r="O173" s="27"/>
      <c r="P173" s="27"/>
      <c r="Q173" s="37"/>
      <c r="S173" s="35" t="s">
        <v>194</v>
      </c>
      <c r="T173" s="162" t="n">
        <v>0</v>
      </c>
      <c r="U173" s="162"/>
      <c r="V173" s="36"/>
      <c r="W173" s="27"/>
      <c r="X173" s="27"/>
      <c r="Y173" s="27"/>
      <c r="Z173" s="37"/>
      <c r="AB173" s="35" t="s">
        <v>194</v>
      </c>
      <c r="AC173" s="162" t="n">
        <v>0</v>
      </c>
      <c r="AD173" s="162"/>
      <c r="AE173" s="36"/>
      <c r="AF173" s="27"/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36"/>
      <c r="E174" s="27"/>
      <c r="F174" s="27"/>
      <c r="G174" s="27"/>
      <c r="H174" s="37"/>
      <c r="J174" s="35"/>
      <c r="K174" s="36"/>
      <c r="L174" s="36"/>
      <c r="M174" s="36"/>
      <c r="N174" s="27"/>
      <c r="O174" s="27"/>
      <c r="P174" s="27"/>
      <c r="Q174" s="37"/>
      <c r="S174" s="35"/>
      <c r="T174" s="36"/>
      <c r="U174" s="36"/>
      <c r="V174" s="36"/>
      <c r="W174" s="27"/>
      <c r="X174" s="27"/>
      <c r="Y174" s="27"/>
      <c r="Z174" s="37"/>
      <c r="AB174" s="35"/>
      <c r="AC174" s="36"/>
      <c r="AD174" s="36"/>
      <c r="AE174" s="36"/>
      <c r="AF174" s="27"/>
      <c r="AG174" s="27"/>
      <c r="AH174" s="27"/>
      <c r="AI174" s="37"/>
    </row>
    <row r="175" customFormat="false" ht="18.75" hidden="false" customHeight="false" outlineLevel="0" collapsed="false">
      <c r="A175" s="163" t="s">
        <v>195</v>
      </c>
      <c r="B175" s="164" t="s">
        <v>196</v>
      </c>
      <c r="C175" s="164"/>
      <c r="D175" s="164"/>
      <c r="E175" s="164" t="s">
        <v>197</v>
      </c>
      <c r="F175" s="27"/>
      <c r="G175" s="27" t="s">
        <v>198</v>
      </c>
      <c r="H175" s="37"/>
      <c r="J175" s="163" t="s">
        <v>195</v>
      </c>
      <c r="K175" s="164" t="s">
        <v>196</v>
      </c>
      <c r="L175" s="164"/>
      <c r="M175" s="164"/>
      <c r="N175" s="164" t="s">
        <v>197</v>
      </c>
      <c r="O175" s="27"/>
      <c r="P175" s="27"/>
      <c r="Q175" s="37"/>
      <c r="S175" s="163" t="s">
        <v>195</v>
      </c>
      <c r="T175" s="164" t="s">
        <v>196</v>
      </c>
      <c r="U175" s="164"/>
      <c r="V175" s="164"/>
      <c r="W175" s="164" t="s">
        <v>197</v>
      </c>
      <c r="X175" s="27"/>
      <c r="Y175" s="27"/>
      <c r="Z175" s="37"/>
      <c r="AB175" s="163" t="s">
        <v>195</v>
      </c>
      <c r="AC175" s="164" t="s">
        <v>196</v>
      </c>
      <c r="AD175" s="164"/>
      <c r="AE175" s="164"/>
      <c r="AF175" s="164" t="s">
        <v>197</v>
      </c>
      <c r="AG175" s="27"/>
      <c r="AH175" s="27"/>
      <c r="AI175" s="37"/>
    </row>
    <row r="176" customFormat="false" ht="18.75" hidden="false" customHeight="false" outlineLevel="0" collapsed="false">
      <c r="A176" s="165" t="n">
        <f aca="false">B104</f>
        <v>1422.08187454149</v>
      </c>
      <c r="B176" s="166" t="n">
        <f aca="false">B103</f>
        <v>0</v>
      </c>
      <c r="C176" s="164"/>
      <c r="D176" s="164"/>
      <c r="E176" s="166" t="n">
        <f aca="false">B105</f>
        <v>1422.08187454149</v>
      </c>
      <c r="F176" s="27"/>
      <c r="G176" s="27" t="n">
        <f aca="false">ROUND(G104,2)</f>
        <v>1349.82</v>
      </c>
      <c r="H176" s="37"/>
      <c r="J176" s="165" t="e">
        <f aca="false">K104</f>
        <v>#VALUE!</v>
      </c>
      <c r="K176" s="166" t="n">
        <f aca="false">K103</f>
        <v>0</v>
      </c>
      <c r="L176" s="164"/>
      <c r="M176" s="164"/>
      <c r="N176" s="166" t="e">
        <f aca="false">K105</f>
        <v>#VALUE!</v>
      </c>
      <c r="O176" s="27"/>
      <c r="P176" s="27"/>
      <c r="Q176" s="37"/>
      <c r="S176" s="165" t="e">
        <f aca="false">T104</f>
        <v>#VALUE!</v>
      </c>
      <c r="T176" s="166" t="n">
        <f aca="false">T103</f>
        <v>0</v>
      </c>
      <c r="U176" s="164"/>
      <c r="V176" s="164"/>
      <c r="W176" s="166" t="e">
        <f aca="false">T105</f>
        <v>#VALUE!</v>
      </c>
      <c r="X176" s="27"/>
      <c r="Y176" s="27"/>
      <c r="Z176" s="37"/>
      <c r="AB176" s="165" t="e">
        <f aca="false">AC104</f>
        <v>#VALUE!</v>
      </c>
      <c r="AC176" s="166" t="n">
        <f aca="false">AC103</f>
        <v>0</v>
      </c>
      <c r="AD176" s="164"/>
      <c r="AE176" s="164"/>
      <c r="AF176" s="166" t="e">
        <f aca="false">AC105</f>
        <v>#VALUE!</v>
      </c>
      <c r="AG176" s="27"/>
      <c r="AH176" s="27"/>
      <c r="AI176" s="37"/>
    </row>
    <row r="177" customFormat="false" ht="18.75" hidden="false" customHeight="false" outlineLevel="0" collapsed="false">
      <c r="A177" s="35"/>
      <c r="B177" s="36"/>
      <c r="C177" s="36"/>
      <c r="D177" s="36"/>
      <c r="E177" s="27"/>
      <c r="F177" s="27"/>
      <c r="G177" s="27"/>
      <c r="H177" s="37"/>
      <c r="J177" s="35"/>
      <c r="K177" s="36"/>
      <c r="L177" s="36"/>
      <c r="M177" s="36"/>
      <c r="N177" s="27"/>
      <c r="O177" s="27"/>
      <c r="P177" s="27"/>
      <c r="Q177" s="37"/>
      <c r="S177" s="35"/>
      <c r="T177" s="36"/>
      <c r="U177" s="36"/>
      <c r="V177" s="36"/>
      <c r="W177" s="27"/>
      <c r="X177" s="27"/>
      <c r="Y177" s="27"/>
      <c r="Z177" s="37"/>
      <c r="AB177" s="35"/>
      <c r="AC177" s="36"/>
      <c r="AD177" s="36"/>
      <c r="AE177" s="36"/>
      <c r="AF177" s="27"/>
      <c r="AG177" s="27"/>
      <c r="AH177" s="27"/>
      <c r="AI177" s="37"/>
    </row>
    <row r="178" customFormat="false" ht="18.75" hidden="false" customHeight="false" outlineLevel="0" collapsed="false">
      <c r="A178" s="35" t="s">
        <v>95</v>
      </c>
      <c r="B178" s="36" t="s">
        <v>96</v>
      </c>
      <c r="C178" s="36"/>
      <c r="D178" s="27"/>
      <c r="E178" s="36" t="s">
        <v>199</v>
      </c>
      <c r="F178" s="27"/>
      <c r="G178" s="27"/>
      <c r="H178" s="37"/>
      <c r="J178" s="35" t="s">
        <v>95</v>
      </c>
      <c r="K178" s="36" t="s">
        <v>96</v>
      </c>
      <c r="L178" s="36"/>
      <c r="M178" s="27"/>
      <c r="N178" s="36" t="s">
        <v>199</v>
      </c>
      <c r="O178" s="27"/>
      <c r="P178" s="27"/>
      <c r="Q178" s="37"/>
      <c r="S178" s="35" t="s">
        <v>95</v>
      </c>
      <c r="T178" s="36" t="s">
        <v>96</v>
      </c>
      <c r="U178" s="36"/>
      <c r="V178" s="27"/>
      <c r="W178" s="36" t="s">
        <v>199</v>
      </c>
      <c r="X178" s="27"/>
      <c r="Y178" s="27"/>
      <c r="Z178" s="37"/>
      <c r="AB178" s="35" t="s">
        <v>95</v>
      </c>
      <c r="AC178" s="36" t="s">
        <v>96</v>
      </c>
      <c r="AD178" s="36"/>
      <c r="AE178" s="27"/>
      <c r="AF178" s="36" t="s">
        <v>199</v>
      </c>
      <c r="AG178" s="27"/>
      <c r="AH178" s="27"/>
      <c r="AI178" s="37"/>
    </row>
    <row r="179" customFormat="false" ht="18.75" hidden="false" customHeight="false" outlineLevel="0" collapsed="false">
      <c r="A179" s="167" t="n">
        <f aca="false">B38</f>
        <v>0</v>
      </c>
      <c r="B179" s="168" t="n">
        <f aca="false">B39</f>
        <v>0</v>
      </c>
      <c r="C179" s="169"/>
      <c r="D179" s="27"/>
      <c r="E179" s="170" t="n">
        <f aca="false">B91</f>
        <v>6000</v>
      </c>
      <c r="F179" s="27"/>
      <c r="G179" s="27"/>
      <c r="H179" s="37"/>
      <c r="J179" s="167" t="str">
        <f aca="false">K29</f>
        <v>12</v>
      </c>
      <c r="K179" s="168" t="str">
        <f aca="false">K30</f>
        <v>5000</v>
      </c>
      <c r="L179" s="169"/>
      <c r="M179" s="27"/>
      <c r="N179" s="170" t="str">
        <f aca="false">IF(A120="YES",A40,0)</f>
        <v>12</v>
      </c>
      <c r="O179" s="27"/>
      <c r="P179" s="27"/>
      <c r="Q179" s="37"/>
      <c r="S179" s="167" t="str">
        <f aca="false">K29</f>
        <v>12</v>
      </c>
      <c r="T179" s="168" t="str">
        <f aca="false">K30</f>
        <v>5000</v>
      </c>
      <c r="U179" s="169"/>
      <c r="V179" s="27"/>
      <c r="W179" s="170" t="str">
        <f aca="false">IF(A120="YES",A40,0)</f>
        <v>12</v>
      </c>
      <c r="X179" s="27"/>
      <c r="Y179" s="27"/>
      <c r="Z179" s="37"/>
      <c r="AB179" s="167" t="str">
        <f aca="false">K29</f>
        <v>12</v>
      </c>
      <c r="AC179" s="168" t="str">
        <f aca="false">K30</f>
        <v>5000</v>
      </c>
      <c r="AD179" s="169"/>
      <c r="AE179" s="27"/>
      <c r="AF179" s="170" t="str">
        <f aca="false">IF(A120="YES",A40,0)</f>
        <v>12</v>
      </c>
      <c r="AG179" s="27"/>
      <c r="AH179" s="27"/>
      <c r="AI179" s="3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200</v>
      </c>
      <c r="B181" s="36" t="s">
        <v>201</v>
      </c>
      <c r="C181" s="36"/>
      <c r="D181" s="27"/>
      <c r="E181" s="36" t="s">
        <v>202</v>
      </c>
      <c r="F181" s="27"/>
      <c r="G181" s="27"/>
      <c r="H181" s="37"/>
      <c r="J181" s="35" t="s">
        <v>200</v>
      </c>
      <c r="K181" s="36" t="s">
        <v>201</v>
      </c>
      <c r="L181" s="36"/>
      <c r="M181" s="27"/>
      <c r="N181" s="36" t="s">
        <v>202</v>
      </c>
      <c r="O181" s="27"/>
      <c r="P181" s="27"/>
      <c r="Q181" s="37"/>
      <c r="S181" s="35" t="s">
        <v>200</v>
      </c>
      <c r="T181" s="36" t="s">
        <v>201</v>
      </c>
      <c r="U181" s="36"/>
      <c r="V181" s="27"/>
      <c r="W181" s="36" t="s">
        <v>202</v>
      </c>
      <c r="X181" s="27"/>
      <c r="Y181" s="27"/>
      <c r="Z181" s="37"/>
      <c r="AB181" s="35" t="s">
        <v>200</v>
      </c>
      <c r="AC181" s="36" t="s">
        <v>201</v>
      </c>
      <c r="AD181" s="36"/>
      <c r="AE181" s="27"/>
      <c r="AF181" s="36" t="s">
        <v>202</v>
      </c>
      <c r="AG181" s="27"/>
      <c r="AH181" s="27"/>
      <c r="AI181" s="37"/>
    </row>
    <row r="182" customFormat="false" ht="18.75" hidden="false" customHeight="false" outlineLevel="0" collapsed="false">
      <c r="A182" s="171" t="n">
        <f aca="false">H150-H146-H148-H149</f>
        <v>19583.33</v>
      </c>
      <c r="B182" s="42" t="n">
        <f aca="false">H146</f>
        <v>3916.666</v>
      </c>
      <c r="C182" s="47"/>
      <c r="D182" s="27"/>
      <c r="E182" s="170" t="n">
        <f aca="false">H148+H149</f>
        <v>0</v>
      </c>
      <c r="F182" s="27"/>
      <c r="G182" s="27"/>
      <c r="H182" s="37"/>
      <c r="J182" s="171" t="e">
        <f aca="false">Q150-Q146-Q148-Q149</f>
        <v>#VALUE!</v>
      </c>
      <c r="K182" s="42" t="e">
        <f aca="false">Q146</f>
        <v>#VALUE!</v>
      </c>
      <c r="L182" s="47"/>
      <c r="M182" s="27"/>
      <c r="N182" s="170" t="n">
        <f aca="false">Q148+Q149</f>
        <v>55</v>
      </c>
      <c r="O182" s="27"/>
      <c r="P182" s="27"/>
      <c r="Q182" s="37"/>
      <c r="S182" s="171" t="e">
        <f aca="false">Z150-Z146-Z148-Z149</f>
        <v>#VALUE!</v>
      </c>
      <c r="T182" s="42" t="e">
        <f aca="false">Z146</f>
        <v>#VALUE!</v>
      </c>
      <c r="U182" s="47"/>
      <c r="V182" s="27"/>
      <c r="W182" s="170" t="n">
        <f aca="false">Z148+Z149</f>
        <v>55</v>
      </c>
      <c r="X182" s="27"/>
      <c r="Y182" s="27"/>
      <c r="Z182" s="37"/>
      <c r="AB182" s="171" t="e">
        <f aca="false">AI150-AI146-AI148-AI149</f>
        <v>#VALUE!</v>
      </c>
      <c r="AC182" s="42" t="e">
        <f aca="false">AI146</f>
        <v>#VALUE!</v>
      </c>
      <c r="AD182" s="47"/>
      <c r="AE182" s="27"/>
      <c r="AF182" s="170" t="n">
        <f aca="false">AI148+AI149</f>
        <v>55</v>
      </c>
      <c r="AG182" s="27"/>
      <c r="AH182" s="27"/>
      <c r="AI182" s="3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203</v>
      </c>
      <c r="B184" s="36" t="s">
        <v>149</v>
      </c>
      <c r="C184" s="36"/>
      <c r="D184" s="27"/>
      <c r="E184" s="36" t="s">
        <v>150</v>
      </c>
      <c r="F184" s="27"/>
      <c r="G184" s="27"/>
      <c r="H184" s="37"/>
      <c r="J184" s="35" t="s">
        <v>203</v>
      </c>
      <c r="K184" s="36" t="s">
        <v>149</v>
      </c>
      <c r="L184" s="36"/>
      <c r="M184" s="27"/>
      <c r="N184" s="36" t="s">
        <v>150</v>
      </c>
      <c r="O184" s="27"/>
      <c r="P184" s="27"/>
      <c r="Q184" s="37"/>
      <c r="S184" s="35" t="s">
        <v>203</v>
      </c>
      <c r="T184" s="36" t="s">
        <v>149</v>
      </c>
      <c r="U184" s="36"/>
      <c r="V184" s="27"/>
      <c r="W184" s="36" t="s">
        <v>150</v>
      </c>
      <c r="X184" s="27"/>
      <c r="Y184" s="27"/>
      <c r="Z184" s="37"/>
      <c r="AB184" s="35" t="s">
        <v>203</v>
      </c>
      <c r="AC184" s="36" t="s">
        <v>149</v>
      </c>
      <c r="AD184" s="36"/>
      <c r="AE184" s="27"/>
      <c r="AF184" s="36" t="s">
        <v>150</v>
      </c>
      <c r="AG184" s="27"/>
      <c r="AH184" s="27"/>
      <c r="AI184" s="37"/>
    </row>
    <row r="185" customFormat="false" ht="18.75" hidden="false" customHeight="false" outlineLevel="0" collapsed="false">
      <c r="A185" s="171" t="n">
        <f aca="false">H150</f>
        <v>23499.996</v>
      </c>
      <c r="B185" s="42" t="n">
        <f aca="false">B120</f>
        <v>0</v>
      </c>
      <c r="C185" s="42"/>
      <c r="D185" s="27"/>
      <c r="E185" s="42" t="n">
        <f aca="false">E120</f>
        <v>0</v>
      </c>
      <c r="F185" s="27"/>
      <c r="G185" s="27"/>
      <c r="H185" s="107"/>
      <c r="J185" s="171" t="e">
        <f aca="false">Q150</f>
        <v>#VALUE!</v>
      </c>
      <c r="K185" s="42" t="n">
        <f aca="false">K120</f>
        <v>1000</v>
      </c>
      <c r="L185" s="42"/>
      <c r="M185" s="27"/>
      <c r="N185" s="42" t="n">
        <f aca="false">N120</f>
        <v>0</v>
      </c>
      <c r="O185" s="27"/>
      <c r="P185" s="27"/>
      <c r="Q185" s="107"/>
      <c r="S185" s="171" t="e">
        <f aca="false">Z150</f>
        <v>#VALUE!</v>
      </c>
      <c r="T185" s="42" t="n">
        <f aca="false">T120</f>
        <v>1000</v>
      </c>
      <c r="U185" s="42"/>
      <c r="V185" s="27"/>
      <c r="W185" s="42" t="n">
        <f aca="false">W120</f>
        <v>0</v>
      </c>
      <c r="X185" s="27"/>
      <c r="Y185" s="27"/>
      <c r="Z185" s="107"/>
      <c r="AB185" s="171" t="e">
        <f aca="false">AI150</f>
        <v>#VALUE!</v>
      </c>
      <c r="AC185" s="42" t="n">
        <f aca="false">AC120</f>
        <v>1000</v>
      </c>
      <c r="AD185" s="42"/>
      <c r="AE185" s="27"/>
      <c r="AF185" s="42" t="n">
        <f aca="false">AF120</f>
        <v>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27"/>
      <c r="E186" s="36"/>
      <c r="F186" s="27"/>
      <c r="G186" s="27"/>
      <c r="H186" s="37"/>
      <c r="J186" s="35"/>
      <c r="K186" s="36"/>
      <c r="L186" s="36"/>
      <c r="M186" s="27"/>
      <c r="N186" s="36"/>
      <c r="O186" s="27"/>
      <c r="P186" s="27"/>
      <c r="Q186" s="37"/>
      <c r="S186" s="35"/>
      <c r="T186" s="36"/>
      <c r="U186" s="36"/>
      <c r="V186" s="27"/>
      <c r="W186" s="36"/>
      <c r="X186" s="27"/>
      <c r="Y186" s="27"/>
      <c r="Z186" s="37"/>
      <c r="AB186" s="35"/>
      <c r="AC186" s="36"/>
      <c r="AD186" s="36"/>
      <c r="AE186" s="27"/>
      <c r="AF186" s="36"/>
      <c r="AG186" s="27"/>
      <c r="AH186" s="27"/>
      <c r="AI186" s="37"/>
    </row>
    <row r="187" customFormat="false" ht="18.75" hidden="false" customHeight="false" outlineLevel="0" collapsed="false">
      <c r="A187" s="35" t="s">
        <v>151</v>
      </c>
      <c r="B187" s="36" t="s">
        <v>186</v>
      </c>
      <c r="C187" s="36"/>
      <c r="D187" s="27"/>
      <c r="E187" s="36" t="s">
        <v>192</v>
      </c>
      <c r="F187" s="27"/>
      <c r="G187" s="27"/>
      <c r="H187" s="37"/>
      <c r="J187" s="35" t="s">
        <v>151</v>
      </c>
      <c r="K187" s="36" t="s">
        <v>186</v>
      </c>
      <c r="L187" s="36"/>
      <c r="M187" s="27"/>
      <c r="N187" s="36" t="s">
        <v>192</v>
      </c>
      <c r="O187" s="27"/>
      <c r="P187" s="27"/>
      <c r="Q187" s="37"/>
      <c r="S187" s="35" t="s">
        <v>151</v>
      </c>
      <c r="T187" s="36" t="s">
        <v>186</v>
      </c>
      <c r="U187" s="36"/>
      <c r="V187" s="27"/>
      <c r="W187" s="36" t="s">
        <v>192</v>
      </c>
      <c r="X187" s="27"/>
      <c r="Y187" s="27"/>
      <c r="Z187" s="37"/>
      <c r="AB187" s="35" t="s">
        <v>151</v>
      </c>
      <c r="AC187" s="36" t="s">
        <v>186</v>
      </c>
      <c r="AD187" s="36"/>
      <c r="AE187" s="27"/>
      <c r="AF187" s="36" t="s">
        <v>192</v>
      </c>
      <c r="AG187" s="27"/>
      <c r="AH187" s="27"/>
      <c r="AI187" s="37"/>
    </row>
    <row r="188" customFormat="false" ht="18.75" hidden="false" customHeight="false" outlineLevel="0" collapsed="false">
      <c r="A188" s="113" t="n">
        <f aca="false">B185+E185</f>
        <v>0</v>
      </c>
      <c r="B188" s="42" t="n">
        <f aca="false">G163</f>
        <v>0</v>
      </c>
      <c r="C188" s="42"/>
      <c r="D188" s="27"/>
      <c r="E188" s="42" t="n">
        <f aca="false">G167</f>
        <v>24899.996</v>
      </c>
      <c r="F188" s="27"/>
      <c r="G188" s="27"/>
      <c r="H188" s="107"/>
      <c r="J188" s="113" t="n">
        <f aca="false">K185+N185</f>
        <v>1000</v>
      </c>
      <c r="K188" s="42" t="n">
        <f aca="false">P163</f>
        <v>-2000</v>
      </c>
      <c r="L188" s="42"/>
      <c r="M188" s="27"/>
      <c r="N188" s="42" t="e">
        <f aca="false">J185-J188-K188</f>
        <v>#VALUE!</v>
      </c>
      <c r="O188" s="27"/>
      <c r="P188" s="27"/>
      <c r="Q188" s="107"/>
      <c r="S188" s="113" t="n">
        <f aca="false">T185+W185</f>
        <v>1000</v>
      </c>
      <c r="T188" s="42" t="n">
        <f aca="false">Y163</f>
        <v>-2000</v>
      </c>
      <c r="U188" s="42"/>
      <c r="V188" s="27"/>
      <c r="W188" s="42" t="e">
        <f aca="false">S185-S188-T188</f>
        <v>#VALUE!</v>
      </c>
      <c r="X188" s="27"/>
      <c r="Y188" s="27"/>
      <c r="Z188" s="107"/>
      <c r="AB188" s="113" t="n">
        <f aca="false">AC185+AF185</f>
        <v>1000</v>
      </c>
      <c r="AC188" s="42" t="n">
        <f aca="false">AH163</f>
        <v>-2000</v>
      </c>
      <c r="AD188" s="42"/>
      <c r="AE188" s="27"/>
      <c r="AF188" s="42" t="e">
        <f aca="false">AB185-AB188-AC188</f>
        <v>#VALUE!</v>
      </c>
      <c r="AG188" s="27"/>
      <c r="AH188" s="27"/>
      <c r="AI188" s="107"/>
    </row>
    <row r="189" customFormat="false" ht="18.75" hidden="false" customHeight="false" outlineLevel="0" collapsed="false">
      <c r="A189" s="35"/>
      <c r="B189" s="36"/>
      <c r="C189" s="36"/>
      <c r="D189" s="27"/>
      <c r="E189" s="36"/>
      <c r="F189" s="27"/>
      <c r="G189" s="27"/>
      <c r="H189" s="37"/>
      <c r="J189" s="35"/>
      <c r="K189" s="36"/>
      <c r="L189" s="36"/>
      <c r="M189" s="27"/>
      <c r="N189" s="36"/>
      <c r="O189" s="27"/>
      <c r="P189" s="27"/>
      <c r="Q189" s="37"/>
      <c r="S189" s="35"/>
      <c r="T189" s="36"/>
      <c r="U189" s="36"/>
      <c r="V189" s="27"/>
      <c r="W189" s="36"/>
      <c r="X189" s="27"/>
      <c r="Y189" s="27"/>
      <c r="Z189" s="37"/>
      <c r="AB189" s="35"/>
      <c r="AC189" s="36"/>
      <c r="AD189" s="36"/>
      <c r="AE189" s="27"/>
      <c r="AF189" s="36"/>
      <c r="AG189" s="27"/>
      <c r="AH189" s="27"/>
      <c r="AI189" s="37"/>
    </row>
    <row r="190" customFormat="false" ht="18.75" hidden="false" customHeight="false" outlineLevel="0" collapsed="false">
      <c r="A190" s="35" t="s">
        <v>204</v>
      </c>
      <c r="B190" s="36" t="s">
        <v>66</v>
      </c>
      <c r="C190" s="36"/>
      <c r="D190" s="27"/>
      <c r="E190" s="36" t="s">
        <v>205</v>
      </c>
      <c r="F190" s="27"/>
      <c r="G190" s="27"/>
      <c r="H190" s="37"/>
      <c r="J190" s="35" t="s">
        <v>204</v>
      </c>
      <c r="K190" s="36" t="s">
        <v>66</v>
      </c>
      <c r="L190" s="36"/>
      <c r="M190" s="27"/>
      <c r="N190" s="36" t="s">
        <v>205</v>
      </c>
      <c r="O190" s="27"/>
      <c r="P190" s="27"/>
      <c r="Q190" s="37"/>
      <c r="S190" s="35" t="s">
        <v>204</v>
      </c>
      <c r="T190" s="36" t="s">
        <v>66</v>
      </c>
      <c r="U190" s="36"/>
      <c r="V190" s="27"/>
      <c r="W190" s="36" t="s">
        <v>205</v>
      </c>
      <c r="X190" s="27"/>
      <c r="Y190" s="27"/>
      <c r="Z190" s="37"/>
      <c r="AB190" s="35" t="s">
        <v>204</v>
      </c>
      <c r="AC190" s="36" t="s">
        <v>66</v>
      </c>
      <c r="AD190" s="36"/>
      <c r="AE190" s="27"/>
      <c r="AF190" s="36" t="s">
        <v>205</v>
      </c>
      <c r="AG190" s="27"/>
      <c r="AH190" s="27"/>
      <c r="AI190" s="37"/>
    </row>
    <row r="191" customFormat="false" ht="18.75" hidden="false" customHeight="false" outlineLevel="0" collapsed="false">
      <c r="A191" s="113" t="n">
        <f aca="false">(A176*B68)+E194-E188-A194</f>
        <v>20</v>
      </c>
      <c r="B191" s="42" t="n">
        <f aca="false">B123</f>
        <v>239.99</v>
      </c>
      <c r="C191" s="42"/>
      <c r="D191" s="27"/>
      <c r="E191" s="42" t="n">
        <f aca="false">E188+A191+B191+A194</f>
        <v>21907.8906199563</v>
      </c>
      <c r="F191" s="27"/>
      <c r="G191" s="27"/>
      <c r="H191" s="107"/>
      <c r="J191" s="113" t="e">
        <f aca="false">(J176*K68)+N194-N188-J194</f>
        <v>#VALUE!</v>
      </c>
      <c r="K191" s="42" t="n">
        <f aca="false">K123</f>
        <v>239.99</v>
      </c>
      <c r="L191" s="42"/>
      <c r="M191" s="27"/>
      <c r="N191" s="42" t="e">
        <f aca="false">N188+J191+K191+J194</f>
        <v>#VALUE!</v>
      </c>
      <c r="O191" s="27"/>
      <c r="P191" s="27"/>
      <c r="Q191" s="107"/>
      <c r="S191" s="113" t="e">
        <f aca="false">(S176*T68)+W194-W188-S194</f>
        <v>#VALUE!</v>
      </c>
      <c r="T191" s="42" t="n">
        <f aca="false">T123</f>
        <v>199.99</v>
      </c>
      <c r="U191" s="42"/>
      <c r="V191" s="27"/>
      <c r="W191" s="42" t="e">
        <f aca="false">W188+S191+T191+S194</f>
        <v>#VALUE!</v>
      </c>
      <c r="X191" s="27"/>
      <c r="Y191" s="27"/>
      <c r="Z191" s="107"/>
      <c r="AB191" s="113" t="e">
        <f aca="false">(AB176*AC68)+AF194-AF188-AB194</f>
        <v>#VALUE!</v>
      </c>
      <c r="AC191" s="42" t="n">
        <f aca="false">AC123</f>
        <v>239.99</v>
      </c>
      <c r="AD191" s="42"/>
      <c r="AE191" s="27"/>
      <c r="AF191" s="42" t="e">
        <f aca="false">AF188+AB191+AC191+AB194</f>
        <v>#VALUE!</v>
      </c>
      <c r="AG191" s="27"/>
      <c r="AH191" s="27"/>
      <c r="AI191" s="107"/>
    </row>
    <row r="192" customFormat="false" ht="18.75" hidden="false" customHeight="false" outlineLevel="0" collapsed="false">
      <c r="A192" s="35"/>
      <c r="B192" s="36"/>
      <c r="C192" s="36"/>
      <c r="D192" s="27"/>
      <c r="E192" s="36"/>
      <c r="F192" s="27"/>
      <c r="G192" s="27"/>
      <c r="H192" s="37"/>
      <c r="J192" s="35"/>
      <c r="K192" s="36"/>
      <c r="L192" s="36"/>
      <c r="M192" s="27"/>
      <c r="N192" s="36"/>
      <c r="O192" s="27"/>
      <c r="P192" s="27"/>
      <c r="Q192" s="37"/>
      <c r="S192" s="35"/>
      <c r="T192" s="36"/>
      <c r="U192" s="36"/>
      <c r="V192" s="27"/>
      <c r="W192" s="36"/>
      <c r="X192" s="27"/>
      <c r="Y192" s="27"/>
      <c r="Z192" s="37"/>
      <c r="AB192" s="35"/>
      <c r="AC192" s="36"/>
      <c r="AD192" s="36"/>
      <c r="AE192" s="27"/>
      <c r="AF192" s="36"/>
      <c r="AG192" s="27"/>
      <c r="AH192" s="27"/>
      <c r="AI192" s="37"/>
    </row>
    <row r="193" customFormat="false" ht="18.75" hidden="false" customHeight="false" outlineLevel="0" collapsed="false">
      <c r="A193" s="35" t="s">
        <v>206</v>
      </c>
      <c r="B193" s="36" t="s">
        <v>207</v>
      </c>
      <c r="C193" s="36"/>
      <c r="D193" s="27"/>
      <c r="E193" s="36" t="s">
        <v>208</v>
      </c>
      <c r="F193" s="27"/>
      <c r="G193" s="27"/>
      <c r="H193" s="37"/>
      <c r="J193" s="35" t="s">
        <v>206</v>
      </c>
      <c r="K193" s="36" t="s">
        <v>207</v>
      </c>
      <c r="L193" s="36"/>
      <c r="M193" s="27"/>
      <c r="N193" s="36" t="s">
        <v>208</v>
      </c>
      <c r="O193" s="27"/>
      <c r="P193" s="27"/>
      <c r="Q193" s="37"/>
      <c r="S193" s="35" t="s">
        <v>206</v>
      </c>
      <c r="T193" s="36" t="s">
        <v>207</v>
      </c>
      <c r="U193" s="36"/>
      <c r="V193" s="27"/>
      <c r="W193" s="36" t="s">
        <v>208</v>
      </c>
      <c r="X193" s="27"/>
      <c r="Y193" s="27"/>
      <c r="Z193" s="37"/>
      <c r="AB193" s="35" t="s">
        <v>206</v>
      </c>
      <c r="AC193" s="36" t="s">
        <v>207</v>
      </c>
      <c r="AD193" s="36"/>
      <c r="AE193" s="27"/>
      <c r="AF193" s="36" t="s">
        <v>208</v>
      </c>
      <c r="AG193" s="27"/>
      <c r="AH193" s="27"/>
      <c r="AI193" s="37"/>
    </row>
    <row r="194" customFormat="false" ht="18.75" hidden="false" customHeight="false" outlineLevel="0" collapsed="false">
      <c r="A194" s="113" t="n">
        <f aca="false">B69</f>
        <v>25</v>
      </c>
      <c r="B194" s="42" t="n">
        <f aca="false">A188+B191</f>
        <v>239.99</v>
      </c>
      <c r="C194" s="42"/>
      <c r="D194" s="27"/>
      <c r="E194" s="42" t="n">
        <f aca="false">IF( E179=0, A194+E176, E179+A194)</f>
        <v>6025</v>
      </c>
      <c r="F194" s="27"/>
      <c r="G194" s="27"/>
      <c r="H194" s="107"/>
      <c r="J194" s="113" t="n">
        <f aca="false">K69</f>
        <v>20</v>
      </c>
      <c r="K194" s="42" t="n">
        <f aca="false">J188+K191</f>
        <v>1239.99</v>
      </c>
      <c r="L194" s="42"/>
      <c r="M194" s="27"/>
      <c r="N194" s="42" t="n">
        <f aca="false">N179+J194</f>
        <v>32</v>
      </c>
      <c r="O194" s="27"/>
      <c r="P194" s="27"/>
      <c r="Q194" s="107"/>
      <c r="S194" s="113" t="n">
        <f aca="false">T69</f>
        <v>10</v>
      </c>
      <c r="T194" s="42" t="n">
        <f aca="false">S188+T191</f>
        <v>1199.99</v>
      </c>
      <c r="U194" s="42"/>
      <c r="V194" s="27"/>
      <c r="W194" s="42" t="n">
        <f aca="false">W179+S194</f>
        <v>22</v>
      </c>
      <c r="X194" s="27"/>
      <c r="Y194" s="27"/>
      <c r="Z194" s="107"/>
      <c r="AB194" s="113" t="n">
        <f aca="false">AC69</f>
        <v>10</v>
      </c>
      <c r="AC194" s="42" t="n">
        <f aca="false">AB188+AC191</f>
        <v>1239.99</v>
      </c>
      <c r="AD194" s="42"/>
      <c r="AE194" s="27"/>
      <c r="AF194" s="42" t="n">
        <f aca="false">AF179+AB194</f>
        <v>22</v>
      </c>
      <c r="AG194" s="27"/>
      <c r="AH194" s="27"/>
      <c r="AI194" s="107"/>
    </row>
    <row r="195" customFormat="false" ht="18.75" hidden="false" customHeight="false" outlineLevel="0" collapsed="false">
      <c r="A195" s="35"/>
      <c r="B195" s="36"/>
      <c r="C195" s="36"/>
      <c r="D195" s="36"/>
      <c r="E195" s="27"/>
      <c r="F195" s="27"/>
      <c r="G195" s="27"/>
      <c r="H195" s="37"/>
      <c r="J195" s="35"/>
      <c r="K195" s="36"/>
      <c r="L195" s="36"/>
      <c r="M195" s="36"/>
      <c r="N195" s="27"/>
      <c r="O195" s="27"/>
      <c r="P195" s="27"/>
      <c r="Q195" s="37"/>
      <c r="S195" s="35"/>
      <c r="T195" s="36"/>
      <c r="U195" s="36"/>
      <c r="V195" s="36"/>
      <c r="W195" s="27"/>
      <c r="X195" s="36"/>
      <c r="Y195" s="36"/>
      <c r="Z195" s="37"/>
      <c r="AB195" s="35"/>
      <c r="AC195" s="36"/>
      <c r="AD195" s="36"/>
      <c r="AE195" s="36"/>
      <c r="AF195" s="27"/>
      <c r="AG195" s="27"/>
      <c r="AH195" s="27"/>
      <c r="AI195" s="37"/>
    </row>
    <row r="196" customFormat="false" ht="18.75" hidden="false" customHeight="false" outlineLevel="0" collapsed="false">
      <c r="A196" s="35" t="s">
        <v>209</v>
      </c>
      <c r="B196" s="36" t="s">
        <v>210</v>
      </c>
      <c r="C196" s="36"/>
      <c r="D196" s="36"/>
      <c r="E196" s="43" t="s">
        <v>211</v>
      </c>
      <c r="F196" s="27"/>
      <c r="G196" s="27"/>
      <c r="H196" s="37"/>
      <c r="J196" s="35" t="s">
        <v>209</v>
      </c>
      <c r="K196" s="36" t="s">
        <v>210</v>
      </c>
      <c r="L196" s="36"/>
      <c r="M196" s="36"/>
      <c r="N196" s="43" t="s">
        <v>211</v>
      </c>
      <c r="O196" s="27"/>
      <c r="P196" s="27"/>
      <c r="Q196" s="37"/>
      <c r="S196" s="35" t="s">
        <v>209</v>
      </c>
      <c r="T196" s="36" t="s">
        <v>210</v>
      </c>
      <c r="U196" s="36"/>
      <c r="V196" s="36"/>
      <c r="W196" s="43" t="s">
        <v>211</v>
      </c>
      <c r="X196" s="36"/>
      <c r="Y196" s="36"/>
      <c r="Z196" s="37"/>
      <c r="AB196" s="35" t="s">
        <v>209</v>
      </c>
      <c r="AC196" s="36" t="s">
        <v>210</v>
      </c>
      <c r="AD196" s="36"/>
      <c r="AE196" s="36"/>
      <c r="AF196" s="43" t="s">
        <v>211</v>
      </c>
      <c r="AG196" s="36"/>
      <c r="AH196" s="36"/>
      <c r="AI196" s="37"/>
    </row>
    <row r="197" customFormat="false" ht="18.75" hidden="false" customHeight="false" outlineLevel="0" collapsed="false">
      <c r="A197" s="113" t="n">
        <f aca="false">J18*0.000002*100*1.2</f>
        <v>8.97696</v>
      </c>
      <c r="B197" s="42" t="n">
        <f aca="false">(G167*B76)</f>
        <v>186.74997</v>
      </c>
      <c r="C197" s="36"/>
      <c r="D197" s="36"/>
      <c r="E197" s="42" t="n">
        <f aca="false">K55*A117*0.1</f>
        <v>0</v>
      </c>
      <c r="F197" s="27"/>
      <c r="G197" s="27"/>
      <c r="H197" s="37"/>
      <c r="J197" s="113" t="n">
        <f aca="false">IF(N114="YES",H15*0.000002,0)</f>
        <v>0</v>
      </c>
      <c r="K197" s="42" t="e">
        <f aca="false">(P167*K76)/1.2</f>
        <v>#VALUE!</v>
      </c>
      <c r="L197" s="36"/>
      <c r="M197" s="36"/>
      <c r="N197" s="42" t="n">
        <f aca="false">(E40*J117)*0.1</f>
        <v>0</v>
      </c>
      <c r="O197" s="27"/>
      <c r="P197" s="27"/>
      <c r="Q197" s="37"/>
      <c r="S197" s="113" t="n">
        <f aca="false">IF(W114="YES",Z15*0.000002,0)</f>
        <v>0</v>
      </c>
      <c r="T197" s="42" t="e">
        <f aca="false">(Y167*T76)/1.2</f>
        <v>#VALUE!</v>
      </c>
      <c r="U197" s="36"/>
      <c r="V197" s="36"/>
      <c r="W197" s="42" t="n">
        <f aca="false">(E40*S117)*0.1</f>
        <v>0</v>
      </c>
      <c r="X197" s="36"/>
      <c r="Y197" s="36"/>
      <c r="Z197" s="37"/>
      <c r="AB197" s="113" t="n">
        <f aca="false">IF(AF114="YES",AI15*0.000002,0)</f>
        <v>0</v>
      </c>
      <c r="AC197" s="42" t="e">
        <f aca="false">(AH167*AC76)/1.2</f>
        <v>#VALUE!</v>
      </c>
      <c r="AD197" s="36"/>
      <c r="AE197" s="36"/>
      <c r="AF197" s="42" t="n">
        <f aca="false">(E40*AB117)*0.1</f>
        <v>0</v>
      </c>
      <c r="AG197" s="36"/>
      <c r="AH197" s="36"/>
      <c r="AI197" s="37"/>
    </row>
    <row r="198" customFormat="false" ht="18.75" hidden="false" customHeight="false" outlineLevel="0" collapsed="false">
      <c r="A198" s="113"/>
      <c r="B198" s="42"/>
      <c r="C198" s="36"/>
      <c r="D198" s="36"/>
      <c r="E198" s="27"/>
      <c r="F198" s="27"/>
      <c r="G198" s="27"/>
      <c r="H198" s="37"/>
      <c r="J198" s="113"/>
      <c r="K198" s="42"/>
      <c r="L198" s="36"/>
      <c r="M198" s="36"/>
      <c r="N198" s="27"/>
      <c r="O198" s="27"/>
      <c r="P198" s="27"/>
      <c r="Q198" s="37"/>
      <c r="S198" s="113"/>
      <c r="T198" s="42"/>
      <c r="U198" s="36"/>
      <c r="V198" s="36"/>
      <c r="W198" s="27"/>
      <c r="X198" s="36"/>
      <c r="Y198" s="36"/>
      <c r="Z198" s="37"/>
      <c r="AB198" s="113"/>
      <c r="AC198" s="42"/>
      <c r="AD198" s="36"/>
      <c r="AE198" s="36"/>
      <c r="AF198" s="27"/>
      <c r="AG198" s="36"/>
      <c r="AH198" s="36"/>
      <c r="AI198" s="37"/>
    </row>
    <row r="199" customFormat="false" ht="18.75" hidden="false" customHeight="false" outlineLevel="0" collapsed="false">
      <c r="A199" s="64" t="s">
        <v>212</v>
      </c>
      <c r="B199" s="43" t="s">
        <v>213</v>
      </c>
      <c r="C199" s="36"/>
      <c r="D199" s="36"/>
      <c r="E199" s="43" t="s">
        <v>214</v>
      </c>
      <c r="F199" s="27"/>
      <c r="G199" s="27"/>
      <c r="H199" s="37"/>
      <c r="J199" s="64" t="s">
        <v>212</v>
      </c>
      <c r="K199" s="43" t="s">
        <v>213</v>
      </c>
      <c r="L199" s="36"/>
      <c r="M199" s="36"/>
      <c r="N199" s="43" t="s">
        <v>214</v>
      </c>
      <c r="O199" s="27"/>
      <c r="P199" s="27"/>
      <c r="Q199" s="37"/>
      <c r="S199" s="64" t="s">
        <v>212</v>
      </c>
      <c r="T199" s="43" t="s">
        <v>213</v>
      </c>
      <c r="U199" s="36"/>
      <c r="V199" s="36"/>
      <c r="W199" s="43" t="s">
        <v>214</v>
      </c>
      <c r="X199" s="36"/>
      <c r="Y199" s="36"/>
      <c r="Z199" s="37"/>
      <c r="AB199" s="64" t="s">
        <v>212</v>
      </c>
      <c r="AC199" s="43" t="s">
        <v>213</v>
      </c>
      <c r="AD199" s="36"/>
      <c r="AE199" s="36"/>
      <c r="AF199" s="43" t="s">
        <v>214</v>
      </c>
      <c r="AG199" s="36"/>
      <c r="AH199" s="36"/>
      <c r="AI199" s="37"/>
    </row>
    <row r="200" customFormat="false" ht="18.75" hidden="false" customHeight="false" outlineLevel="0" collapsed="false">
      <c r="A200" s="113" t="n">
        <v>20</v>
      </c>
      <c r="B200" s="42" t="n">
        <f aca="false">B197+E197+A200</f>
        <v>206.74997</v>
      </c>
      <c r="C200" s="36"/>
      <c r="D200" s="36"/>
      <c r="E200" s="42" t="n">
        <f aca="false">H157</f>
        <v>2083.33</v>
      </c>
      <c r="F200" s="27"/>
      <c r="G200" s="27"/>
      <c r="H200" s="37"/>
      <c r="J200" s="113" t="n">
        <f aca="false">K194-100</f>
        <v>1139.99</v>
      </c>
      <c r="K200" s="42" t="e">
        <f aca="false">K197+N197+J200</f>
        <v>#VALUE!</v>
      </c>
      <c r="L200" s="36"/>
      <c r="M200" s="36"/>
      <c r="N200" s="42" t="e">
        <f aca="false">Q157</f>
        <v>#VALUE!</v>
      </c>
      <c r="O200" s="27"/>
      <c r="P200" s="27"/>
      <c r="Q200" s="37"/>
      <c r="S200" s="113" t="n">
        <f aca="false">T194-100</f>
        <v>1099.99</v>
      </c>
      <c r="T200" s="42" t="e">
        <f aca="false">T197+W197+S200</f>
        <v>#VALUE!</v>
      </c>
      <c r="U200" s="36"/>
      <c r="V200" s="36"/>
      <c r="W200" s="42" t="e">
        <f aca="false">Z157</f>
        <v>#VALUE!</v>
      </c>
      <c r="X200" s="36"/>
      <c r="Y200" s="36"/>
      <c r="Z200" s="37"/>
      <c r="AB200" s="113" t="n">
        <f aca="false">AC194-100</f>
        <v>1139.99</v>
      </c>
      <c r="AC200" s="42" t="e">
        <f aca="false">AC197+AF197+AB200</f>
        <v>#VALUE!</v>
      </c>
      <c r="AD200" s="36"/>
      <c r="AE200" s="36"/>
      <c r="AF200" s="42" t="e">
        <f aca="false">AI157</f>
        <v>#VALUE!</v>
      </c>
      <c r="AG200" s="36"/>
      <c r="AH200" s="36"/>
      <c r="AI200" s="37"/>
    </row>
    <row r="201" customFormat="false" ht="18.75" hidden="false" customHeight="false" outlineLevel="0" collapsed="false">
      <c r="A201" s="35"/>
      <c r="B201" s="36"/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70" t="s">
        <v>215</v>
      </c>
      <c r="B202" s="36"/>
      <c r="C202" s="36"/>
      <c r="D202" s="71"/>
      <c r="E202" s="71"/>
      <c r="F202" s="71"/>
      <c r="G202" s="71"/>
      <c r="H202" s="72"/>
      <c r="J202" s="70" t="s">
        <v>215</v>
      </c>
      <c r="K202" s="36"/>
      <c r="L202" s="36"/>
      <c r="M202" s="71"/>
      <c r="N202" s="71"/>
      <c r="O202" s="71"/>
      <c r="P202" s="71"/>
      <c r="Q202" s="72"/>
      <c r="S202" s="70" t="s">
        <v>215</v>
      </c>
      <c r="T202" s="36"/>
      <c r="U202" s="36"/>
      <c r="V202" s="71"/>
      <c r="W202" s="71"/>
      <c r="X202" s="71"/>
      <c r="Y202" s="71"/>
      <c r="Z202" s="72"/>
      <c r="AB202" s="70" t="s">
        <v>215</v>
      </c>
      <c r="AC202" s="36"/>
      <c r="AD202" s="36"/>
      <c r="AE202" s="71"/>
      <c r="AF202" s="71"/>
      <c r="AG202" s="71"/>
      <c r="AH202" s="71"/>
      <c r="AI202" s="72"/>
    </row>
    <row r="203" customFormat="false" ht="18.75" hidden="false" customHeight="false" outlineLevel="0" collapsed="false">
      <c r="A203" s="35"/>
      <c r="B203" s="73"/>
      <c r="C203" s="73"/>
      <c r="D203" s="36"/>
      <c r="E203" s="27"/>
      <c r="F203" s="27"/>
      <c r="G203" s="27"/>
      <c r="H203" s="37"/>
      <c r="J203" s="35"/>
      <c r="K203" s="73"/>
      <c r="L203" s="73"/>
      <c r="M203" s="36"/>
      <c r="N203" s="27"/>
      <c r="O203" s="27"/>
      <c r="P203" s="27"/>
      <c r="Q203" s="37"/>
      <c r="S203" s="35"/>
      <c r="T203" s="73"/>
      <c r="U203" s="73"/>
      <c r="V203" s="36"/>
      <c r="W203" s="27"/>
      <c r="X203" s="27"/>
      <c r="Y203" s="27"/>
      <c r="Z203" s="37"/>
      <c r="AB203" s="35"/>
      <c r="AC203" s="73"/>
      <c r="AD203" s="73"/>
      <c r="AE203" s="36"/>
      <c r="AF203" s="27"/>
      <c r="AG203" s="27"/>
      <c r="AH203" s="27"/>
      <c r="AI203" s="37"/>
    </row>
    <row r="204" customFormat="false" ht="19.7" hidden="false" customHeight="false" outlineLevel="0" collapsed="false">
      <c r="A204" s="172" t="s">
        <v>95</v>
      </c>
      <c r="B204" s="75" t="s">
        <v>96</v>
      </c>
      <c r="C204" s="75"/>
      <c r="D204" s="75"/>
      <c r="E204" s="27"/>
      <c r="F204" s="27"/>
      <c r="G204" s="27"/>
      <c r="H204" s="37"/>
      <c r="J204" s="172" t="s">
        <v>95</v>
      </c>
      <c r="K204" s="173" t="s">
        <v>96</v>
      </c>
      <c r="L204" s="173"/>
      <c r="M204" s="173"/>
      <c r="N204" s="27"/>
      <c r="O204" s="27"/>
      <c r="P204" s="27"/>
      <c r="Q204" s="37"/>
      <c r="S204" s="172" t="s">
        <v>95</v>
      </c>
      <c r="T204" s="75" t="s">
        <v>96</v>
      </c>
      <c r="U204" s="75"/>
      <c r="V204" s="75"/>
      <c r="W204" s="27"/>
      <c r="X204" s="27"/>
      <c r="Y204" s="27"/>
      <c r="Z204" s="37"/>
      <c r="AB204" s="172" t="s">
        <v>95</v>
      </c>
      <c r="AC204" s="75" t="s">
        <v>96</v>
      </c>
      <c r="AD204" s="75"/>
      <c r="AE204" s="75"/>
      <c r="AF204" s="27"/>
      <c r="AG204" s="27"/>
      <c r="AH204" s="27"/>
      <c r="AI204" s="37"/>
    </row>
    <row r="205" customFormat="false" ht="19.5" hidden="false" customHeight="true" outlineLevel="0" collapsed="false">
      <c r="A205" s="172"/>
      <c r="B205" s="76" t="str">
        <f aca="false">K30</f>
        <v>5000</v>
      </c>
      <c r="C205" s="76"/>
      <c r="D205" s="76"/>
      <c r="E205" s="27"/>
      <c r="F205" s="27"/>
      <c r="G205" s="27"/>
      <c r="H205" s="37"/>
      <c r="J205" s="172"/>
      <c r="K205" s="174" t="str">
        <f aca="false">K30</f>
        <v>5000</v>
      </c>
      <c r="L205" s="174"/>
      <c r="M205" s="174"/>
      <c r="N205" s="27"/>
      <c r="O205" s="27"/>
      <c r="P205" s="27"/>
      <c r="Q205" s="37"/>
      <c r="S205" s="172"/>
      <c r="T205" s="76" t="str">
        <f aca="false">K30</f>
        <v>5000</v>
      </c>
      <c r="U205" s="76"/>
      <c r="V205" s="76"/>
      <c r="W205" s="27"/>
      <c r="X205" s="27"/>
      <c r="Y205" s="27"/>
      <c r="Z205" s="37"/>
      <c r="AB205" s="172"/>
      <c r="AC205" s="76" t="str">
        <f aca="false">K30</f>
        <v>5000</v>
      </c>
      <c r="AD205" s="76"/>
      <c r="AE205" s="76"/>
      <c r="AF205" s="27"/>
      <c r="AG205" s="27"/>
      <c r="AH205" s="27"/>
      <c r="AI205" s="37"/>
    </row>
    <row r="206" customFormat="false" ht="18.75" hidden="false" customHeight="false" outlineLevel="0" collapsed="false">
      <c r="A206" s="77" t="str">
        <f aca="false">K29</f>
        <v>12</v>
      </c>
      <c r="B206" s="78" t="n">
        <f aca="false">B105</f>
        <v>1422.08187454149</v>
      </c>
      <c r="C206" s="78"/>
      <c r="D206" s="78"/>
      <c r="E206" s="27"/>
      <c r="F206" s="27"/>
      <c r="G206" s="27"/>
      <c r="H206" s="37"/>
      <c r="J206" s="77" t="str">
        <f aca="false">K29</f>
        <v>12</v>
      </c>
      <c r="K206" s="78" t="e">
        <f aca="false">K105</f>
        <v>#VALUE!</v>
      </c>
      <c r="L206" s="78"/>
      <c r="M206" s="78"/>
      <c r="N206" s="27"/>
      <c r="O206" s="27"/>
      <c r="P206" s="27"/>
      <c r="Q206" s="37"/>
      <c r="S206" s="77" t="str">
        <f aca="false">K29</f>
        <v>12</v>
      </c>
      <c r="T206" s="78" t="e">
        <f aca="false">T105</f>
        <v>#VALUE!</v>
      </c>
      <c r="U206" s="78"/>
      <c r="V206" s="78"/>
      <c r="W206" s="27"/>
      <c r="X206" s="27"/>
      <c r="Y206" s="27"/>
      <c r="Z206" s="37"/>
      <c r="AB206" s="77" t="str">
        <f aca="false">K29</f>
        <v>12</v>
      </c>
      <c r="AC206" s="78" t="e">
        <f aca="false">AC105</f>
        <v>#VALUE!</v>
      </c>
      <c r="AD206" s="78"/>
      <c r="AE206" s="78"/>
      <c r="AF206" s="27"/>
      <c r="AG206" s="27"/>
      <c r="AH206" s="27"/>
      <c r="AI206" s="37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  <c r="J207" s="35"/>
      <c r="K207" s="36"/>
      <c r="L207" s="36"/>
      <c r="M207" s="36"/>
      <c r="N207" s="27"/>
      <c r="O207" s="27"/>
      <c r="P207" s="27"/>
      <c r="Q207" s="37"/>
      <c r="S207" s="35"/>
      <c r="T207" s="36"/>
      <c r="U207" s="36"/>
      <c r="V207" s="36"/>
      <c r="W207" s="27"/>
      <c r="X207" s="27"/>
      <c r="Y207" s="27"/>
      <c r="Z207" s="37"/>
      <c r="AB207" s="35"/>
      <c r="AC207" s="36"/>
      <c r="AD207" s="36"/>
      <c r="AE207" s="36"/>
      <c r="AF207" s="27"/>
      <c r="AG207" s="27"/>
      <c r="AH207" s="27"/>
      <c r="AI207" s="37"/>
    </row>
    <row r="208" customFormat="false" ht="18.75" hidden="false" customHeight="false" outlineLevel="0" collapsed="false">
      <c r="A208" s="35"/>
      <c r="B208" s="36"/>
      <c r="C208" s="36"/>
      <c r="D208" s="36"/>
      <c r="E208" s="27"/>
      <c r="F208" s="27"/>
      <c r="G208" s="27"/>
      <c r="H208" s="37"/>
      <c r="J208" s="35"/>
      <c r="K208" s="36"/>
      <c r="L208" s="36"/>
      <c r="M208" s="36"/>
      <c r="N208" s="27"/>
      <c r="O208" s="27"/>
      <c r="P208" s="27"/>
      <c r="Q208" s="37"/>
      <c r="S208" s="35"/>
      <c r="T208" s="36"/>
      <c r="U208" s="36"/>
      <c r="V208" s="36"/>
      <c r="W208" s="27"/>
      <c r="X208" s="27"/>
      <c r="Y208" s="27"/>
      <c r="Z208" s="37"/>
      <c r="AB208" s="35"/>
      <c r="AC208" s="36"/>
      <c r="AD208" s="36"/>
      <c r="AE208" s="36"/>
      <c r="AF208" s="27"/>
      <c r="AG208" s="27"/>
      <c r="AH208" s="27"/>
      <c r="AI208" s="37"/>
    </row>
    <row r="209" customFormat="false" ht="18.75" hidden="false" customHeight="false" outlineLevel="0" collapsed="false">
      <c r="A209" s="35" t="s">
        <v>216</v>
      </c>
      <c r="B209" s="36" t="s">
        <v>217</v>
      </c>
      <c r="C209" s="36"/>
      <c r="D209" s="36"/>
      <c r="E209" s="27"/>
      <c r="F209" s="27"/>
      <c r="G209" s="27"/>
      <c r="H209" s="37"/>
      <c r="J209" s="35"/>
      <c r="K209" s="36"/>
      <c r="L209" s="36"/>
      <c r="M209" s="36"/>
      <c r="N209" s="27"/>
      <c r="O209" s="27"/>
      <c r="P209" s="27"/>
      <c r="Q209" s="37"/>
      <c r="S209" s="35"/>
      <c r="T209" s="36"/>
      <c r="U209" s="36"/>
      <c r="V209" s="36"/>
      <c r="W209" s="27"/>
      <c r="X209" s="27"/>
      <c r="Y209" s="27"/>
      <c r="Z209" s="37"/>
      <c r="AB209" s="35"/>
      <c r="AC209" s="36"/>
      <c r="AD209" s="36"/>
      <c r="AE209" s="36"/>
      <c r="AF209" s="27"/>
      <c r="AG209" s="27"/>
      <c r="AH209" s="27"/>
      <c r="AI209" s="37"/>
    </row>
    <row r="210" customFormat="false" ht="18.75" hidden="false" customHeight="false" outlineLevel="0" collapsed="false">
      <c r="A210" s="40" t="n">
        <f aca="false">IF(A49=0,((G176*(B68+1))-E188),((G176*B68)+E194-E188-A194))</f>
        <v>-4051.97600000001</v>
      </c>
      <c r="B210" s="47" t="n">
        <f aca="false">E188+A210+B191+A194</f>
        <v>21113.01</v>
      </c>
      <c r="C210" s="36"/>
      <c r="D210" s="36"/>
      <c r="E210" s="27"/>
      <c r="F210" s="27"/>
      <c r="G210" s="27"/>
      <c r="H210" s="37"/>
      <c r="J210" s="35"/>
      <c r="K210" s="36"/>
      <c r="L210" s="36"/>
      <c r="M210" s="36"/>
      <c r="N210" s="27"/>
      <c r="O210" s="27"/>
      <c r="P210" s="27"/>
      <c r="Q210" s="37"/>
      <c r="S210" s="35"/>
      <c r="T210" s="36"/>
      <c r="U210" s="36"/>
      <c r="V210" s="36"/>
      <c r="W210" s="27"/>
      <c r="X210" s="27"/>
      <c r="Y210" s="27"/>
      <c r="Z210" s="37"/>
      <c r="AB210" s="35"/>
      <c r="AC210" s="36"/>
      <c r="AD210" s="36"/>
      <c r="AE210" s="36"/>
      <c r="AF210" s="27"/>
      <c r="AG210" s="27"/>
      <c r="AH210" s="27"/>
      <c r="AI210" s="37"/>
    </row>
    <row r="211" customFormat="false" ht="18.75" hidden="false" customHeight="false" outlineLevel="0" collapsed="false">
      <c r="A211" s="60"/>
      <c r="B211" s="61"/>
      <c r="C211" s="61"/>
      <c r="D211" s="61"/>
      <c r="E211" s="61"/>
      <c r="F211" s="61"/>
      <c r="G211" s="61"/>
      <c r="H211" s="69"/>
      <c r="J211" s="60"/>
      <c r="K211" s="61"/>
      <c r="L211" s="61"/>
      <c r="M211" s="61"/>
      <c r="N211" s="61"/>
      <c r="O211" s="61"/>
      <c r="P211" s="61"/>
      <c r="Q211" s="69"/>
      <c r="S211" s="60"/>
      <c r="T211" s="61"/>
      <c r="U211" s="61"/>
      <c r="V211" s="61"/>
      <c r="W211" s="61"/>
      <c r="X211" s="61"/>
      <c r="Y211" s="61"/>
      <c r="Z211" s="69"/>
      <c r="AB211" s="60"/>
      <c r="AC211" s="61"/>
      <c r="AD211" s="61"/>
      <c r="AE211" s="61"/>
      <c r="AF211" s="61"/>
      <c r="AG211" s="61"/>
      <c r="AH211" s="61"/>
      <c r="AI211" s="69"/>
    </row>
    <row r="215" customFormat="false" ht="22.05" hidden="false" customHeight="false" outlineLevel="0" collapsed="false">
      <c r="A215" s="175" t="s">
        <v>193</v>
      </c>
      <c r="B215" s="175"/>
      <c r="C215" s="175"/>
      <c r="D215" s="175"/>
      <c r="E215" s="175"/>
      <c r="F215" s="175"/>
      <c r="G215" s="175"/>
      <c r="H215" s="175"/>
    </row>
    <row r="216" customFormat="false" ht="18.75" hidden="false" customHeight="false" outlineLevel="0" collapsed="false">
      <c r="A216" s="35"/>
      <c r="B216" s="36"/>
      <c r="C216" s="36"/>
      <c r="D216" s="36"/>
      <c r="E216" s="27"/>
      <c r="F216" s="27"/>
      <c r="G216" s="27"/>
      <c r="H216" s="37"/>
    </row>
    <row r="217" customFormat="false" ht="18.75" hidden="false" customHeight="false" outlineLevel="0" collapsed="false">
      <c r="A217" s="176" t="s">
        <v>138</v>
      </c>
      <c r="B217" s="177" t="s">
        <v>52</v>
      </c>
      <c r="C217" s="177"/>
      <c r="D217" s="177"/>
      <c r="E217" s="177" t="s">
        <v>53</v>
      </c>
      <c r="F217" s="178"/>
      <c r="G217" s="27"/>
      <c r="H217" s="37"/>
    </row>
    <row r="218" customFormat="false" ht="18.75" hidden="false" customHeight="false" outlineLevel="0" collapsed="false">
      <c r="A218" s="179" t="s">
        <v>218</v>
      </c>
      <c r="B218" s="164" t="str">
        <f aca="false">A206</f>
        <v>12</v>
      </c>
      <c r="C218" s="164"/>
      <c r="D218" s="164"/>
      <c r="E218" s="164" t="str">
        <f aca="false">B205</f>
        <v>5000</v>
      </c>
      <c r="F218" s="178"/>
      <c r="G218" s="27"/>
      <c r="H218" s="37"/>
    </row>
    <row r="219" customFormat="false" ht="18.75" hidden="false" customHeight="false" outlineLevel="0" collapsed="false">
      <c r="A219" s="35"/>
      <c r="B219" s="36"/>
      <c r="C219" s="36"/>
      <c r="D219" s="36"/>
      <c r="E219" s="27"/>
      <c r="F219" s="27"/>
      <c r="G219" s="27"/>
      <c r="H219" s="37"/>
    </row>
    <row r="220" customFormat="false" ht="18.75" hidden="false" customHeight="false" outlineLevel="0" collapsed="false">
      <c r="A220" s="176" t="s">
        <v>195</v>
      </c>
      <c r="B220" s="177" t="s">
        <v>196</v>
      </c>
      <c r="C220" s="177"/>
      <c r="D220" s="177"/>
      <c r="E220" s="177" t="s">
        <v>197</v>
      </c>
      <c r="F220" s="27"/>
      <c r="G220" s="27"/>
      <c r="H220" s="37"/>
    </row>
    <row r="221" customFormat="false" ht="18.75" hidden="false" customHeight="false" outlineLevel="0" collapsed="false">
      <c r="A221" s="165" t="n">
        <f aca="false">A176</f>
        <v>1422.08187454149</v>
      </c>
      <c r="B221" s="166" t="n">
        <f aca="false">B176</f>
        <v>0</v>
      </c>
      <c r="C221" s="164"/>
      <c r="D221" s="164"/>
      <c r="E221" s="166" t="n">
        <f aca="false">E176</f>
        <v>1422.08187454149</v>
      </c>
      <c r="F221" s="27"/>
      <c r="G221" s="27"/>
      <c r="H221" s="37"/>
    </row>
    <row r="222" customFormat="false" ht="18.75" hidden="false" customHeight="false" outlineLevel="0" collapsed="false">
      <c r="A222" s="35"/>
      <c r="B222" s="36"/>
      <c r="C222" s="36"/>
      <c r="D222" s="36"/>
      <c r="E222" s="27"/>
      <c r="F222" s="27"/>
      <c r="G222" s="27"/>
      <c r="H222" s="37"/>
    </row>
    <row r="223" customFormat="false" ht="18.75" hidden="false" customHeight="false" outlineLevel="0" collapsed="false">
      <c r="A223" s="35" t="s">
        <v>200</v>
      </c>
      <c r="B223" s="36" t="s">
        <v>201</v>
      </c>
      <c r="C223" s="36"/>
      <c r="D223" s="27"/>
      <c r="E223" s="36" t="s">
        <v>202</v>
      </c>
      <c r="F223" s="27"/>
      <c r="G223" s="27"/>
      <c r="H223" s="37"/>
    </row>
    <row r="224" customFormat="false" ht="18.75" hidden="false" customHeight="false" outlineLevel="0" collapsed="false">
      <c r="A224" s="171" t="n">
        <f aca="false">A182</f>
        <v>19583.33</v>
      </c>
      <c r="B224" s="42" t="n">
        <f aca="false">B182</f>
        <v>3916.666</v>
      </c>
      <c r="C224" s="47"/>
      <c r="D224" s="27"/>
      <c r="E224" s="170" t="n">
        <f aca="false">E182</f>
        <v>0</v>
      </c>
      <c r="F224" s="27"/>
      <c r="G224" s="27"/>
      <c r="H224" s="3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203</v>
      </c>
      <c r="B226" s="36" t="s">
        <v>149</v>
      </c>
      <c r="C226" s="36"/>
      <c r="D226" s="27"/>
      <c r="E226" s="36" t="s">
        <v>150</v>
      </c>
      <c r="F226" s="27"/>
      <c r="G226" s="27"/>
      <c r="H226" s="37"/>
    </row>
    <row r="227" customFormat="false" ht="18.75" hidden="false" customHeight="false" outlineLevel="0" collapsed="false">
      <c r="A227" s="171" t="n">
        <f aca="false">A185</f>
        <v>23499.996</v>
      </c>
      <c r="B227" s="42" t="n">
        <f aca="false">B185</f>
        <v>0</v>
      </c>
      <c r="C227" s="42"/>
      <c r="D227" s="27"/>
      <c r="E227" s="42" t="n">
        <f aca="false">E185</f>
        <v>0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27"/>
      <c r="E228" s="36"/>
      <c r="F228" s="27"/>
      <c r="G228" s="27"/>
      <c r="H228" s="37"/>
    </row>
    <row r="229" customFormat="false" ht="18.75" hidden="false" customHeight="false" outlineLevel="0" collapsed="false">
      <c r="A229" s="35" t="s">
        <v>151</v>
      </c>
      <c r="B229" s="36" t="s">
        <v>186</v>
      </c>
      <c r="C229" s="36"/>
      <c r="D229" s="27"/>
      <c r="E229" s="36" t="s">
        <v>192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A188</f>
        <v>0</v>
      </c>
      <c r="B230" s="42" t="n">
        <f aca="false">B188</f>
        <v>0</v>
      </c>
      <c r="C230" s="42"/>
      <c r="D230" s="27"/>
      <c r="E230" s="42" t="n">
        <f aca="false">E188</f>
        <v>24899.996</v>
      </c>
      <c r="F230" s="27"/>
      <c r="G230" s="27"/>
      <c r="H230" s="107"/>
    </row>
    <row r="231" customFormat="false" ht="18.75" hidden="false" customHeight="false" outlineLevel="0" collapsed="false">
      <c r="A231" s="35"/>
      <c r="B231" s="36"/>
      <c r="C231" s="36"/>
      <c r="D231" s="27"/>
      <c r="E231" s="36"/>
      <c r="F231" s="27"/>
      <c r="G231" s="27"/>
      <c r="H231" s="37"/>
    </row>
    <row r="232" customFormat="false" ht="18.75" hidden="false" customHeight="false" outlineLevel="0" collapsed="false">
      <c r="A232" s="35" t="s">
        <v>204</v>
      </c>
      <c r="B232" s="36" t="s">
        <v>66</v>
      </c>
      <c r="C232" s="36"/>
      <c r="D232" s="27"/>
      <c r="E232" s="36" t="s">
        <v>205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A191</f>
        <v>-3257.09538004367</v>
      </c>
      <c r="B233" s="42" t="n">
        <f aca="false">B191</f>
        <v>239.99</v>
      </c>
      <c r="C233" s="42"/>
      <c r="D233" s="27"/>
      <c r="E233" s="42" t="n">
        <f aca="false">E191</f>
        <v>21907.8906199563</v>
      </c>
      <c r="F233" s="27"/>
      <c r="G233" s="27"/>
      <c r="H233" s="107"/>
    </row>
    <row r="234" customFormat="false" ht="18.75" hidden="false" customHeight="false" outlineLevel="0" collapsed="false">
      <c r="A234" s="35"/>
      <c r="B234" s="36"/>
      <c r="C234" s="36"/>
      <c r="D234" s="27"/>
      <c r="E234" s="36"/>
      <c r="F234" s="27"/>
      <c r="G234" s="27"/>
      <c r="H234" s="37"/>
    </row>
    <row r="235" customFormat="false" ht="18.75" hidden="false" customHeight="false" outlineLevel="0" collapsed="false">
      <c r="A235" s="35" t="s">
        <v>206</v>
      </c>
      <c r="B235" s="36" t="s">
        <v>207</v>
      </c>
      <c r="C235" s="36"/>
      <c r="D235" s="27"/>
      <c r="E235" s="36" t="s">
        <v>219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A194</f>
        <v>25</v>
      </c>
      <c r="B236" s="42" t="n">
        <f aca="false">B194</f>
        <v>239.99</v>
      </c>
      <c r="C236" s="42"/>
      <c r="D236" s="27"/>
      <c r="E236" s="42" t="n">
        <f aca="false">B68</f>
        <v>11</v>
      </c>
      <c r="F236" s="27"/>
      <c r="G236" s="27"/>
      <c r="H236" s="107"/>
    </row>
    <row r="237" customFormat="false" ht="18.75" hidden="false" customHeight="false" outlineLevel="0" collapsed="false">
      <c r="A237" s="35"/>
      <c r="B237" s="36"/>
      <c r="C237" s="36"/>
      <c r="D237" s="36"/>
      <c r="E237" s="27"/>
      <c r="F237" s="27"/>
      <c r="G237" s="27"/>
      <c r="H237" s="37"/>
    </row>
    <row r="238" customFormat="false" ht="18.75" hidden="false" customHeight="false" outlineLevel="0" collapsed="false">
      <c r="A238" s="35" t="s">
        <v>195</v>
      </c>
      <c r="B238" s="36" t="s">
        <v>196</v>
      </c>
      <c r="C238" s="36"/>
      <c r="D238" s="36"/>
      <c r="E238" s="36" t="s">
        <v>197</v>
      </c>
      <c r="F238" s="27"/>
      <c r="G238" s="27"/>
      <c r="H238" s="37"/>
    </row>
    <row r="239" customFormat="false" ht="18.75" hidden="false" customHeight="false" outlineLevel="0" collapsed="false">
      <c r="A239" s="113" t="n">
        <f aca="false">A176</f>
        <v>1422.08187454149</v>
      </c>
      <c r="B239" s="42" t="n">
        <f aca="false">B176</f>
        <v>0</v>
      </c>
      <c r="C239" s="47"/>
      <c r="D239" s="47"/>
      <c r="E239" s="42" t="n">
        <f aca="false">E176</f>
        <v>1422.08187454149</v>
      </c>
      <c r="F239" s="27"/>
      <c r="G239" s="27"/>
      <c r="H239" s="37"/>
    </row>
    <row r="240" customFormat="false" ht="18.75" hidden="false" customHeight="false" outlineLevel="0" collapsed="false">
      <c r="A240" s="35"/>
      <c r="B240" s="36"/>
      <c r="C240" s="36"/>
      <c r="D240" s="36"/>
      <c r="E240" s="27"/>
      <c r="F240" s="27"/>
      <c r="G240" s="27"/>
      <c r="H240" s="37"/>
    </row>
    <row r="241" customFormat="false" ht="18.75" hidden="false" customHeight="false" outlineLevel="0" collapsed="false">
      <c r="A241" s="35" t="s">
        <v>220</v>
      </c>
      <c r="B241" s="36" t="s">
        <v>221</v>
      </c>
      <c r="C241" s="36"/>
      <c r="D241" s="36"/>
      <c r="E241" s="36" t="s">
        <v>80</v>
      </c>
      <c r="F241" s="27"/>
      <c r="G241" s="27"/>
      <c r="H241" s="37"/>
    </row>
    <row r="242" customFormat="false" ht="18.75" hidden="false" customHeight="false" outlineLevel="0" collapsed="false">
      <c r="A242" s="113" t="n">
        <f aca="false">E179</f>
        <v>6000</v>
      </c>
      <c r="B242" s="42" t="n">
        <f aca="false">E194</f>
        <v>6025</v>
      </c>
      <c r="C242" s="36"/>
      <c r="D242" s="36"/>
      <c r="E242" s="42" t="n">
        <f aca="false">J18*0.000006*100*1.2</f>
        <v>26.93088</v>
      </c>
      <c r="F242" s="27"/>
      <c r="G242" s="27"/>
      <c r="H242" s="37"/>
    </row>
    <row r="243" customFormat="false" ht="18.75" hidden="false" customHeight="false" outlineLevel="0" collapsed="false">
      <c r="A243" s="113"/>
      <c r="B243" s="42"/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64" t="s">
        <v>222</v>
      </c>
      <c r="B244" s="43" t="s">
        <v>85</v>
      </c>
      <c r="C244" s="36"/>
      <c r="D244" s="36"/>
      <c r="E244" s="43" t="s">
        <v>143</v>
      </c>
      <c r="F244" s="27"/>
      <c r="G244" s="27"/>
      <c r="H244" s="37"/>
    </row>
    <row r="245" customFormat="false" ht="18.75" hidden="false" customHeight="false" outlineLevel="0" collapsed="false">
      <c r="A245" s="113" t="n">
        <f aca="false">A197</f>
        <v>8.97696</v>
      </c>
      <c r="B245" s="42" t="n">
        <f aca="false">E242+A245</f>
        <v>35.90784</v>
      </c>
      <c r="C245" s="36"/>
      <c r="D245" s="36"/>
      <c r="E245" s="42"/>
      <c r="F245" s="27"/>
      <c r="G245" s="27"/>
      <c r="H245" s="37"/>
    </row>
    <row r="246" customFormat="false" ht="18.75" hidden="false" customHeight="false" outlineLevel="0" collapsed="false">
      <c r="A246" s="113"/>
      <c r="B246" s="42"/>
      <c r="C246" s="36"/>
      <c r="D246" s="36"/>
      <c r="E246" s="42"/>
      <c r="F246" s="27"/>
      <c r="G246" s="27"/>
      <c r="H246" s="37"/>
    </row>
    <row r="247" customFormat="false" ht="22.05" hidden="false" customHeight="false" outlineLevel="0" collapsed="false">
      <c r="A247" s="180" t="s">
        <v>223</v>
      </c>
      <c r="B247" s="180"/>
      <c r="C247" s="180"/>
      <c r="D247" s="180"/>
      <c r="E247" s="180"/>
      <c r="F247" s="180"/>
      <c r="G247" s="180"/>
      <c r="H247" s="180"/>
    </row>
    <row r="248" customFormat="false" ht="18.75" hidden="false" customHeight="false" outlineLevel="0" collapsed="false">
      <c r="A248" s="35" t="s">
        <v>224</v>
      </c>
      <c r="B248" s="36" t="s">
        <v>210</v>
      </c>
      <c r="C248" s="36"/>
      <c r="D248" s="36"/>
      <c r="E248" s="43" t="s">
        <v>211</v>
      </c>
      <c r="F248" s="27"/>
      <c r="G248" s="27"/>
      <c r="H248" s="37"/>
    </row>
    <row r="249" customFormat="false" ht="18.75" hidden="false" customHeight="false" outlineLevel="0" collapsed="false">
      <c r="A249" s="113" t="n">
        <f aca="false">H157</f>
        <v>2083.33</v>
      </c>
      <c r="B249" s="42" t="n">
        <f aca="false">B197</f>
        <v>186.74997</v>
      </c>
      <c r="C249" s="36"/>
      <c r="D249" s="36"/>
      <c r="E249" s="42" t="n">
        <f aca="false">E197</f>
        <v>0</v>
      </c>
      <c r="F249" s="27"/>
      <c r="G249" s="27"/>
      <c r="H249" s="37"/>
    </row>
    <row r="250" customFormat="false" ht="18.75" hidden="false" customHeight="false" outlineLevel="0" collapsed="false">
      <c r="A250" s="113"/>
      <c r="B250" s="42"/>
      <c r="C250" s="36"/>
      <c r="D250" s="36"/>
      <c r="E250" s="27"/>
      <c r="F250" s="27"/>
      <c r="G250" s="27"/>
      <c r="H250" s="37"/>
    </row>
    <row r="251" customFormat="false" ht="18.75" hidden="false" customHeight="false" outlineLevel="0" collapsed="false">
      <c r="A251" s="64" t="s">
        <v>212</v>
      </c>
      <c r="B251" s="43" t="s">
        <v>213</v>
      </c>
      <c r="C251" s="36"/>
      <c r="D251" s="36"/>
      <c r="E251" s="43"/>
      <c r="F251" s="27"/>
      <c r="G251" s="27"/>
      <c r="H251" s="37"/>
    </row>
    <row r="252" customFormat="false" ht="18.75" hidden="false" customHeight="false" outlineLevel="0" collapsed="false">
      <c r="A252" s="113" t="n">
        <f aca="false">A200</f>
        <v>20</v>
      </c>
      <c r="B252" s="42" t="n">
        <f aca="false">B249+E249+A252+A249-H165</f>
        <v>890.079970000002</v>
      </c>
      <c r="C252" s="36"/>
      <c r="D252" s="36"/>
      <c r="E252" s="42"/>
      <c r="F252" s="27"/>
      <c r="G252" s="27"/>
      <c r="H252" s="37"/>
    </row>
    <row r="253" customFormat="false" ht="18.75" hidden="false" customHeight="false" outlineLevel="0" collapsed="false">
      <c r="A253" s="35"/>
      <c r="B253" s="36"/>
      <c r="C253" s="36"/>
      <c r="D253" s="36"/>
      <c r="E253" s="27"/>
      <c r="F253" s="27"/>
      <c r="G253" s="27"/>
      <c r="H253" s="37"/>
    </row>
    <row r="254" customFormat="false" ht="18.75" hidden="false" customHeight="false" outlineLevel="0" collapsed="false">
      <c r="A254" s="60"/>
      <c r="B254" s="61"/>
      <c r="C254" s="61"/>
      <c r="D254" s="61"/>
      <c r="E254" s="61"/>
      <c r="F254" s="61"/>
      <c r="G254" s="61"/>
      <c r="H254" s="69"/>
    </row>
    <row r="260" customFormat="false" ht="22.05" hidden="false" customHeight="false" outlineLevel="0" collapsed="false">
      <c r="A260" s="175" t="s">
        <v>225</v>
      </c>
      <c r="B260" s="175"/>
      <c r="C260" s="175"/>
      <c r="D260" s="175"/>
      <c r="E260" s="175"/>
      <c r="F260" s="175"/>
      <c r="G260" s="175"/>
      <c r="H260" s="175"/>
    </row>
    <row r="261" customFormat="false" ht="18.75" hidden="false" customHeight="false" outlineLevel="0" collapsed="false">
      <c r="A261" s="35"/>
      <c r="B261" s="36"/>
      <c r="C261" s="36"/>
      <c r="D261" s="36"/>
      <c r="E261" s="27"/>
      <c r="F261" s="27"/>
      <c r="G261" s="27"/>
      <c r="H261" s="37"/>
    </row>
    <row r="262" customFormat="false" ht="18.75" hidden="false" customHeight="false" outlineLevel="0" collapsed="false">
      <c r="A262" s="176" t="s">
        <v>226</v>
      </c>
      <c r="B262" s="181" t="n">
        <f aca="false">B72</f>
        <v>0.065</v>
      </c>
      <c r="C262" s="182"/>
      <c r="D262" s="183" t="s">
        <v>227</v>
      </c>
      <c r="E262" s="183"/>
      <c r="F262" s="181" t="n">
        <f aca="false">B92</f>
        <v>0.1255</v>
      </c>
      <c r="G262" s="27"/>
      <c r="H262" s="37"/>
    </row>
    <row r="263" customFormat="false" ht="18.75" hidden="false" customHeight="false" outlineLevel="0" collapsed="false">
      <c r="A263" s="176" t="s">
        <v>228</v>
      </c>
      <c r="B263" s="184" t="n">
        <f aca="false">(E191-B191)-(B210-B191-A194)</f>
        <v>819.880619956341</v>
      </c>
      <c r="C263" s="182"/>
      <c r="D263" s="183" t="s">
        <v>229</v>
      </c>
      <c r="E263" s="183"/>
      <c r="F263" s="185" t="n">
        <f aca="false">F270+F276+F278+B279+B280</f>
        <v>186.74997</v>
      </c>
      <c r="G263" s="27"/>
      <c r="H263" s="37"/>
    </row>
    <row r="264" customFormat="false" ht="18.75" hidden="false" customHeight="false" outlineLevel="0" collapsed="false">
      <c r="A264" s="176" t="s">
        <v>230</v>
      </c>
      <c r="B264" s="185" t="n">
        <f aca="false">F271+B272</f>
        <v>20</v>
      </c>
      <c r="C264" s="182"/>
      <c r="D264" s="183" t="s">
        <v>231</v>
      </c>
      <c r="E264" s="183"/>
      <c r="F264" s="185" t="n">
        <f aca="false">(B263-F263)+B264</f>
        <v>653.13064995634</v>
      </c>
      <c r="G264" s="27"/>
      <c r="H264" s="37"/>
    </row>
    <row r="265" customFormat="false" ht="18.75" hidden="false" customHeight="false" outlineLevel="0" collapsed="false">
      <c r="A265" s="186"/>
      <c r="B265" s="182"/>
      <c r="C265" s="187"/>
      <c r="D265" s="187"/>
      <c r="E265" s="187"/>
      <c r="F265" s="187"/>
      <c r="G265" s="188"/>
      <c r="H265" s="189"/>
    </row>
    <row r="266" customFormat="false" ht="18.75" hidden="false" customHeight="false" outlineLevel="0" collapsed="false">
      <c r="A266" s="35" t="s">
        <v>226</v>
      </c>
      <c r="B266" s="190" t="n">
        <f aca="false">B262</f>
        <v>0.065</v>
      </c>
      <c r="C266" s="182"/>
      <c r="D266" s="182"/>
      <c r="E266" s="182"/>
      <c r="F266" s="182"/>
      <c r="G266" s="27"/>
      <c r="H266" s="37"/>
    </row>
    <row r="267" customFormat="false" ht="18.75" hidden="false" customHeight="false" outlineLevel="0" collapsed="false">
      <c r="A267" s="191"/>
      <c r="B267" s="192"/>
      <c r="C267" s="193"/>
      <c r="D267" s="193"/>
      <c r="E267" s="188"/>
      <c r="F267" s="188"/>
      <c r="G267" s="188"/>
      <c r="H267" s="189"/>
    </row>
    <row r="268" customFormat="false" ht="18.75" hidden="false" customHeight="false" outlineLevel="0" collapsed="false">
      <c r="A268" s="35" t="s">
        <v>232</v>
      </c>
      <c r="B268" s="190" t="n">
        <f aca="false">B73</f>
        <v>0.05</v>
      </c>
      <c r="C268" s="36"/>
      <c r="D268" s="156" t="s">
        <v>233</v>
      </c>
      <c r="E268" s="156"/>
      <c r="F268" s="190" t="n">
        <v>0</v>
      </c>
      <c r="G268" s="27"/>
      <c r="H268" s="37"/>
    </row>
    <row r="269" customFormat="false" ht="18.75" hidden="false" customHeight="false" outlineLevel="0" collapsed="false">
      <c r="A269" s="112" t="s">
        <v>227</v>
      </c>
      <c r="B269" s="194" t="n">
        <f aca="false">B92</f>
        <v>0.1255</v>
      </c>
      <c r="C269" s="47"/>
      <c r="D269" s="156" t="s">
        <v>228</v>
      </c>
      <c r="E269" s="156"/>
      <c r="F269" s="135" t="n">
        <f aca="false">B263</f>
        <v>819.880619956341</v>
      </c>
      <c r="G269" s="27"/>
      <c r="H269" s="37"/>
    </row>
    <row r="270" customFormat="false" ht="18.75" hidden="false" customHeight="false" outlineLevel="0" collapsed="false">
      <c r="A270" s="35" t="s">
        <v>234</v>
      </c>
      <c r="B270" s="194" t="n">
        <f aca="false">B76</f>
        <v>0.0075</v>
      </c>
      <c r="C270" s="36"/>
      <c r="D270" s="156" t="s">
        <v>234</v>
      </c>
      <c r="E270" s="156"/>
      <c r="F270" s="142" t="n">
        <f aca="false">B77</f>
        <v>186.74997</v>
      </c>
      <c r="G270" s="27"/>
      <c r="H270" s="37"/>
    </row>
    <row r="271" customFormat="false" ht="18.75" hidden="false" customHeight="false" outlineLevel="0" collapsed="false">
      <c r="A271" s="35" t="s">
        <v>235</v>
      </c>
      <c r="B271" s="190" t="n">
        <f aca="false">A117</f>
        <v>0.2</v>
      </c>
      <c r="C271" s="36"/>
      <c r="D271" s="156" t="s">
        <v>235</v>
      </c>
      <c r="E271" s="156"/>
      <c r="F271" s="135" t="n">
        <f aca="false">E249*10</f>
        <v>0</v>
      </c>
      <c r="G271" s="27"/>
      <c r="H271" s="37"/>
    </row>
    <row r="272" customFormat="false" ht="18.75" hidden="false" customHeight="false" outlineLevel="0" collapsed="false">
      <c r="A272" s="35" t="s">
        <v>236</v>
      </c>
      <c r="B272" s="135" t="n">
        <f aca="false">A252</f>
        <v>20</v>
      </c>
      <c r="C272" s="36"/>
      <c r="D272" s="43" t="s">
        <v>231</v>
      </c>
      <c r="E272" s="43"/>
      <c r="F272" s="135" t="n">
        <f aca="false">(B263-F263)+B264</f>
        <v>653.13064995634</v>
      </c>
      <c r="G272" s="27"/>
      <c r="H272" s="37"/>
    </row>
    <row r="273" customFormat="false" ht="18.75" hidden="false" customHeight="false" outlineLevel="0" collapsed="false">
      <c r="A273" s="113"/>
      <c r="B273" s="42"/>
      <c r="C273" s="36"/>
      <c r="D273" s="36"/>
      <c r="E273" s="42"/>
      <c r="F273" s="27"/>
      <c r="G273" s="27"/>
      <c r="H273" s="37"/>
    </row>
    <row r="274" customFormat="false" ht="22.05" hidden="false" customHeight="false" outlineLevel="0" collapsed="false">
      <c r="A274" s="180" t="s">
        <v>237</v>
      </c>
      <c r="B274" s="180"/>
      <c r="C274" s="180"/>
      <c r="D274" s="180"/>
      <c r="E274" s="180"/>
      <c r="F274" s="180"/>
      <c r="G274" s="180"/>
      <c r="H274" s="180"/>
    </row>
    <row r="275" customFormat="false" ht="18.75" hidden="false" customHeight="false" outlineLevel="0" collapsed="false">
      <c r="A275" s="35" t="s">
        <v>238</v>
      </c>
      <c r="B275" s="142" t="n">
        <v>0</v>
      </c>
      <c r="C275" s="36"/>
      <c r="D275" s="195" t="s">
        <v>239</v>
      </c>
      <c r="E275" s="195"/>
      <c r="F275" s="142" t="n">
        <v>0</v>
      </c>
      <c r="G275" s="27"/>
      <c r="H275" s="37"/>
    </row>
    <row r="276" customFormat="false" ht="18.75" hidden="false" customHeight="false" outlineLevel="0" collapsed="false">
      <c r="A276" s="113"/>
      <c r="B276" s="135"/>
      <c r="C276" s="36"/>
      <c r="D276" s="156" t="s">
        <v>240</v>
      </c>
      <c r="E276" s="156"/>
      <c r="F276" s="135" t="n">
        <f aca="false">B275+F275*B218</f>
        <v>0</v>
      </c>
      <c r="G276" s="27"/>
      <c r="H276" s="37"/>
    </row>
    <row r="277" customFormat="false" ht="18.75" hidden="false" customHeight="false" outlineLevel="0" collapsed="false">
      <c r="A277" s="64" t="s">
        <v>241</v>
      </c>
      <c r="B277" s="196" t="s">
        <v>10</v>
      </c>
      <c r="C277" s="36"/>
      <c r="D277" s="156" t="s">
        <v>242</v>
      </c>
      <c r="E277" s="156"/>
      <c r="F277" s="196" t="n">
        <f aca="false">B79</f>
        <v>0</v>
      </c>
      <c r="G277" s="27"/>
      <c r="H277" s="37"/>
    </row>
    <row r="278" customFormat="false" ht="18.75" hidden="false" customHeight="false" outlineLevel="0" collapsed="false">
      <c r="A278" s="64"/>
      <c r="B278" s="146"/>
      <c r="C278" s="36"/>
      <c r="D278" s="156" t="s">
        <v>243</v>
      </c>
      <c r="E278" s="156"/>
      <c r="F278" s="135" t="n">
        <f aca="false">B100</f>
        <v>0</v>
      </c>
      <c r="G278" s="27"/>
      <c r="H278" s="37"/>
    </row>
    <row r="279" customFormat="false" ht="18.75" hidden="false" customHeight="false" outlineLevel="0" collapsed="false">
      <c r="A279" s="64" t="s">
        <v>244</v>
      </c>
      <c r="B279" s="142" t="n">
        <v>0</v>
      </c>
      <c r="C279" s="36"/>
      <c r="D279" s="36"/>
      <c r="E279" s="42"/>
      <c r="F279" s="27"/>
      <c r="G279" s="27"/>
      <c r="H279" s="37"/>
    </row>
    <row r="280" customFormat="false" ht="18.75" hidden="false" customHeight="false" outlineLevel="0" collapsed="false">
      <c r="A280" s="35" t="s">
        <v>245</v>
      </c>
      <c r="B280" s="142" t="n">
        <v>0</v>
      </c>
      <c r="C280" s="36"/>
      <c r="D280" s="36"/>
      <c r="E280" s="27"/>
      <c r="F280" s="27"/>
      <c r="G280" s="27"/>
      <c r="H280" s="37"/>
    </row>
    <row r="281" customFormat="false" ht="18.75" hidden="false" customHeight="false" outlineLevel="0" collapsed="false">
      <c r="A281" s="60"/>
      <c r="B281" s="61"/>
      <c r="C281" s="61"/>
      <c r="D281" s="61"/>
      <c r="E281" s="61"/>
      <c r="F281" s="61"/>
      <c r="G281" s="61"/>
      <c r="H281" s="69"/>
    </row>
  </sheetData>
  <mergeCells count="267">
    <mergeCell ref="A1:F1"/>
    <mergeCell ref="D7:E18"/>
    <mergeCell ref="A16:C18"/>
    <mergeCell ref="A19:D19"/>
    <mergeCell ref="A21:D21"/>
    <mergeCell ref="A24:H24"/>
    <mergeCell ref="A26:H26"/>
    <mergeCell ref="C31:D31"/>
    <mergeCell ref="F31:G31"/>
    <mergeCell ref="C34:D34"/>
    <mergeCell ref="F34:G34"/>
    <mergeCell ref="C37:D37"/>
    <mergeCell ref="J38:K38"/>
    <mergeCell ref="C40:D40"/>
    <mergeCell ref="F40:G40"/>
    <mergeCell ref="C43:D43"/>
    <mergeCell ref="F43:G43"/>
    <mergeCell ref="C46:D46"/>
    <mergeCell ref="F46:G46"/>
    <mergeCell ref="C53:E53"/>
    <mergeCell ref="A58:A59"/>
    <mergeCell ref="B58:D58"/>
    <mergeCell ref="B59:D59"/>
    <mergeCell ref="B60:D60"/>
    <mergeCell ref="A109:H109"/>
    <mergeCell ref="J109:Q109"/>
    <mergeCell ref="S109:Z109"/>
    <mergeCell ref="AB109:AI109"/>
    <mergeCell ref="A111:H111"/>
    <mergeCell ref="J111:Q111"/>
    <mergeCell ref="S111:Z111"/>
    <mergeCell ref="AB111:AI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B117:D117"/>
    <mergeCell ref="E117:G117"/>
    <mergeCell ref="K117:M117"/>
    <mergeCell ref="N117:P117"/>
    <mergeCell ref="T117:V117"/>
    <mergeCell ref="W117:Y117"/>
    <mergeCell ref="AC117:AE117"/>
    <mergeCell ref="AF117:AH117"/>
    <mergeCell ref="B120:D120"/>
    <mergeCell ref="E120:G120"/>
    <mergeCell ref="K120:M120"/>
    <mergeCell ref="N120:P120"/>
    <mergeCell ref="T120:V120"/>
    <mergeCell ref="W120:Y120"/>
    <mergeCell ref="AC120:AE120"/>
    <mergeCell ref="AF120:AH120"/>
    <mergeCell ref="B123:D123"/>
    <mergeCell ref="E123:G123"/>
    <mergeCell ref="K123:M123"/>
    <mergeCell ref="N123:P123"/>
    <mergeCell ref="T123:V123"/>
    <mergeCell ref="W123:Y123"/>
    <mergeCell ref="AC123:AE123"/>
    <mergeCell ref="AF123:AH123"/>
    <mergeCell ref="A126:H126"/>
    <mergeCell ref="J126:Q126"/>
    <mergeCell ref="S126:Z126"/>
    <mergeCell ref="AB126:AI126"/>
    <mergeCell ref="B128:C128"/>
    <mergeCell ref="D128:E128"/>
    <mergeCell ref="F128:G128"/>
    <mergeCell ref="K128:L128"/>
    <mergeCell ref="M128:N128"/>
    <mergeCell ref="O128:P128"/>
    <mergeCell ref="T128:U128"/>
    <mergeCell ref="V128:W128"/>
    <mergeCell ref="X128:Y128"/>
    <mergeCell ref="AC128:AD128"/>
    <mergeCell ref="AE128:AF128"/>
    <mergeCell ref="AG128:AH128"/>
    <mergeCell ref="B139:C139"/>
    <mergeCell ref="D139:E139"/>
    <mergeCell ref="F139:G139"/>
    <mergeCell ref="K139:L139"/>
    <mergeCell ref="M139:N139"/>
    <mergeCell ref="O139:P139"/>
    <mergeCell ref="T139:U139"/>
    <mergeCell ref="V139:W139"/>
    <mergeCell ref="X139:Y139"/>
    <mergeCell ref="AC139:AD139"/>
    <mergeCell ref="AE139:AF139"/>
    <mergeCell ref="AG139:AH139"/>
    <mergeCell ref="B140:C140"/>
    <mergeCell ref="D140:E140"/>
    <mergeCell ref="F140:G140"/>
    <mergeCell ref="K140:L140"/>
    <mergeCell ref="M140:N140"/>
    <mergeCell ref="O140:P140"/>
    <mergeCell ref="T140:U140"/>
    <mergeCell ref="V140:W140"/>
    <mergeCell ref="X140:Y140"/>
    <mergeCell ref="AC140:AD140"/>
    <mergeCell ref="AE140:AF140"/>
    <mergeCell ref="AG140:AH140"/>
    <mergeCell ref="B141:C141"/>
    <mergeCell ref="D141:E141"/>
    <mergeCell ref="F141:G141"/>
    <mergeCell ref="K141:L141"/>
    <mergeCell ref="M141:N141"/>
    <mergeCell ref="O141:P141"/>
    <mergeCell ref="T141:U141"/>
    <mergeCell ref="V141:W141"/>
    <mergeCell ref="X141:Y141"/>
    <mergeCell ref="AC141:AD141"/>
    <mergeCell ref="AE141:AF141"/>
    <mergeCell ref="AG141:AH141"/>
    <mergeCell ref="B142:C142"/>
    <mergeCell ref="D142:E142"/>
    <mergeCell ref="F142:G142"/>
    <mergeCell ref="K142:L142"/>
    <mergeCell ref="M142:N142"/>
    <mergeCell ref="O142:P142"/>
    <mergeCell ref="T142:U142"/>
    <mergeCell ref="V142:W142"/>
    <mergeCell ref="X142:Y142"/>
    <mergeCell ref="AC142:AD142"/>
    <mergeCell ref="AE142:AF142"/>
    <mergeCell ref="AG142:AH142"/>
    <mergeCell ref="A144:F144"/>
    <mergeCell ref="J144:O144"/>
    <mergeCell ref="S144:X144"/>
    <mergeCell ref="AB144:AG144"/>
    <mergeCell ref="A145:F145"/>
    <mergeCell ref="J145:O145"/>
    <mergeCell ref="S145:X145"/>
    <mergeCell ref="AB145:AG145"/>
    <mergeCell ref="A146:F146"/>
    <mergeCell ref="J146:O146"/>
    <mergeCell ref="S146:X146"/>
    <mergeCell ref="AB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49:F149"/>
    <mergeCell ref="J149:O149"/>
    <mergeCell ref="S149:X149"/>
    <mergeCell ref="AB149:AG149"/>
    <mergeCell ref="A150:F150"/>
    <mergeCell ref="J150:O150"/>
    <mergeCell ref="S150:X150"/>
    <mergeCell ref="AB150:AG150"/>
    <mergeCell ref="A151:F151"/>
    <mergeCell ref="J151:O151"/>
    <mergeCell ref="S151:X151"/>
    <mergeCell ref="AB151:AG151"/>
    <mergeCell ref="A152:F152"/>
    <mergeCell ref="J152:O152"/>
    <mergeCell ref="S152:X152"/>
    <mergeCell ref="AB152:AG152"/>
    <mergeCell ref="B153:F153"/>
    <mergeCell ref="K153:O153"/>
    <mergeCell ref="T153:X153"/>
    <mergeCell ref="AC153:AG153"/>
    <mergeCell ref="B154:F154"/>
    <mergeCell ref="K154:O154"/>
    <mergeCell ref="T154:X154"/>
    <mergeCell ref="AC154:AG154"/>
    <mergeCell ref="B155:F155"/>
    <mergeCell ref="K155:O155"/>
    <mergeCell ref="T155:X155"/>
    <mergeCell ref="AC155:AG155"/>
    <mergeCell ref="A156:F156"/>
    <mergeCell ref="J156:O156"/>
    <mergeCell ref="S156:X156"/>
    <mergeCell ref="AB156:AG156"/>
    <mergeCell ref="A157:F157"/>
    <mergeCell ref="J157:O157"/>
    <mergeCell ref="S157:X157"/>
    <mergeCell ref="AB157:AG157"/>
    <mergeCell ref="A159:H159"/>
    <mergeCell ref="J159:Q159"/>
    <mergeCell ref="S159:Z159"/>
    <mergeCell ref="AB159:AI159"/>
    <mergeCell ref="E161:F161"/>
    <mergeCell ref="G161:H161"/>
    <mergeCell ref="N161:O161"/>
    <mergeCell ref="P161:Q161"/>
    <mergeCell ref="W161:X161"/>
    <mergeCell ref="Y161:Z161"/>
    <mergeCell ref="AF161:AG161"/>
    <mergeCell ref="AH161:AI161"/>
    <mergeCell ref="E162:F162"/>
    <mergeCell ref="G162:H162"/>
    <mergeCell ref="N162:O162"/>
    <mergeCell ref="P162:Q162"/>
    <mergeCell ref="W162:X162"/>
    <mergeCell ref="Y162:Z162"/>
    <mergeCell ref="AF162:AG162"/>
    <mergeCell ref="AH162:AI162"/>
    <mergeCell ref="E163:F163"/>
    <mergeCell ref="G163:H163"/>
    <mergeCell ref="N163:O163"/>
    <mergeCell ref="P163:Q163"/>
    <mergeCell ref="W163:X163"/>
    <mergeCell ref="Y163:Z163"/>
    <mergeCell ref="AF163:AG163"/>
    <mergeCell ref="AH163:AI163"/>
    <mergeCell ref="E164:F164"/>
    <mergeCell ref="N164:O164"/>
    <mergeCell ref="W164:X164"/>
    <mergeCell ref="AF164:AG164"/>
    <mergeCell ref="G166:H166"/>
    <mergeCell ref="P166:Q166"/>
    <mergeCell ref="Y166:Z166"/>
    <mergeCell ref="AH166:AI166"/>
    <mergeCell ref="G167:H167"/>
    <mergeCell ref="P167:Q167"/>
    <mergeCell ref="Y167:Z167"/>
    <mergeCell ref="AH167:AI167"/>
    <mergeCell ref="G168:H168"/>
    <mergeCell ref="P168:Q168"/>
    <mergeCell ref="Y168:Z168"/>
    <mergeCell ref="AH168:AI168"/>
    <mergeCell ref="A171:H171"/>
    <mergeCell ref="J171:Q171"/>
    <mergeCell ref="S171:Z171"/>
    <mergeCell ref="AB171:AI171"/>
    <mergeCell ref="B173:C173"/>
    <mergeCell ref="K173:L173"/>
    <mergeCell ref="T173:U173"/>
    <mergeCell ref="AC173:AD173"/>
    <mergeCell ref="A204:A205"/>
    <mergeCell ref="B204:D204"/>
    <mergeCell ref="J204:J205"/>
    <mergeCell ref="K204:M204"/>
    <mergeCell ref="S204:S205"/>
    <mergeCell ref="T204:V204"/>
    <mergeCell ref="AB204:AB205"/>
    <mergeCell ref="AC204:AE204"/>
    <mergeCell ref="B205:D205"/>
    <mergeCell ref="K205:M205"/>
    <mergeCell ref="T205:V205"/>
    <mergeCell ref="AC205:AE205"/>
    <mergeCell ref="B206:D206"/>
    <mergeCell ref="K206:M206"/>
    <mergeCell ref="T206:V206"/>
    <mergeCell ref="AC206:AE206"/>
    <mergeCell ref="A215:H215"/>
    <mergeCell ref="A247:H247"/>
    <mergeCell ref="A260:H260"/>
    <mergeCell ref="D262:E262"/>
    <mergeCell ref="D263:E263"/>
    <mergeCell ref="D264:E264"/>
    <mergeCell ref="D268:E268"/>
    <mergeCell ref="D269:E269"/>
    <mergeCell ref="D270:E270"/>
    <mergeCell ref="D271:E271"/>
    <mergeCell ref="A274:H274"/>
    <mergeCell ref="D275:E275"/>
    <mergeCell ref="D276:E276"/>
    <mergeCell ref="D277:E277"/>
    <mergeCell ref="D278:E278"/>
  </mergeCells>
  <dataValidations count="5">
    <dataValidation allowBlank="true" errorStyle="stop" operator="between" showDropDown="false" showErrorMessage="true" showInputMessage="true" sqref="B114 K114 T114 AC114" type="list">
      <formula1>$Y$136:$Y$145</formula1>
      <formula2>0</formula2>
    </dataValidation>
    <dataValidation allowBlank="true" errorStyle="stop" operator="between" showDropDown="false" showErrorMessage="true" showInputMessage="true" sqref="E114 N114 W114 AF114 A120 J120 S120 AB120" type="list">
      <formula1>$Z$19:$Z$20</formula1>
      <formula2>0</formula2>
    </dataValidation>
    <dataValidation allowBlank="true" errorStyle="stop" operator="between" showDropDown="false" showErrorMessage="true" showInputMessage="true" sqref="B117:D117 K117:M117 T117:V117 AC117:AE117" type="list">
      <formula1>$AP$117:$AP$118</formula1>
      <formula2>0</formula2>
    </dataValidation>
    <dataValidation allowBlank="true" errorStyle="stop" operator="between" showDropDown="false" showErrorMessage="true" showInputMessage="true" sqref="A153:A155" type="list">
      <formula1>#ref!</formula1>
      <formula2>0</formula2>
    </dataValidation>
    <dataValidation allowBlank="true" errorStyle="stop" operator="between" showDropDown="false" showErrorMessage="true" showInputMessage="true" sqref="J153:J155 S153:S155 AB153:AB155" type="list">
      <formula1>$AB$16:$AB$18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81"/>
  <sheetViews>
    <sheetView showFormulas="false" showGridLines="true" showRowColHeaders="true" showZeros="true" rightToLeft="false" tabSelected="false" showOutlineSymbols="true" defaultGridColor="true" view="normal" topLeftCell="A258" colorId="64" zoomScale="100" zoomScaleNormal="100" zoomScalePageLayoutView="100" workbookViewId="0">
      <selection pane="topLeft" activeCell="F263" activeCellId="0" sqref="F263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2" customWidth="true" hidden="false" style="6" width="18.88" collapsed="false" outlineLevel="0"/>
    <col min="13" max="13" customWidth="true" hidden="false" style="6" width="24.25" collapsed="false" outlineLevel="0"/>
    <col min="14" max="14" customWidth="true" hidden="false" style="6" width="16.75" collapsed="false" outlineLevel="0"/>
    <col min="15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21000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 t="s">
        <v>10</v>
      </c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17708.33</v>
      </c>
      <c r="C9" s="14" t="n">
        <f aca="false">B9*0.2</f>
        <v>3500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37404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22.05" hidden="false" customHeight="false" outlineLevel="0" collapsed="false">
      <c r="A26" s="32" t="s">
        <v>35</v>
      </c>
      <c r="B26" s="32"/>
      <c r="C26" s="32"/>
      <c r="D26" s="32"/>
      <c r="E26" s="32"/>
      <c r="F26" s="32"/>
      <c r="G26" s="32"/>
      <c r="H26" s="32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18.75" hidden="false" customHeight="false" outlineLevel="0" collapsed="false">
      <c r="A28" s="40" t="s">
        <v>36</v>
      </c>
      <c r="B28" s="36" t="s">
        <v>39</v>
      </c>
      <c r="C28" s="36"/>
      <c r="D28" s="36"/>
      <c r="E28" s="36"/>
      <c r="F28" s="36"/>
      <c r="G28" s="36"/>
      <c r="H28" s="37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/>
      <c r="I29" s="36"/>
      <c r="J29" s="33" t="s">
        <v>41</v>
      </c>
      <c r="K29" s="41" t="str">
        <f aca="false">A34</f>
        <v>12</v>
      </c>
    </row>
    <row r="30" customFormat="false" ht="18.75" hidden="false" customHeight="false" outlineLevel="0" collapsed="false">
      <c r="A30" s="40" t="s">
        <v>42</v>
      </c>
      <c r="B30" s="36"/>
      <c r="C30" s="42" t="s">
        <v>43</v>
      </c>
      <c r="D30" s="43"/>
      <c r="E30" s="36"/>
      <c r="F30" s="42" t="s">
        <v>44</v>
      </c>
      <c r="G30" s="43"/>
      <c r="H30" s="37"/>
      <c r="I30" s="36"/>
      <c r="J30" s="33" t="s">
        <v>45</v>
      </c>
      <c r="K30" s="41" t="str">
        <f aca="false">C34</f>
        <v>5000</v>
      </c>
    </row>
    <row r="31" customFormat="false" ht="18.75" hidden="false" customHeight="false" outlineLevel="0" collapsed="false">
      <c r="A31" s="44" t="s">
        <v>46</v>
      </c>
      <c r="B31" s="36"/>
      <c r="C31" s="45" t="s">
        <v>47</v>
      </c>
      <c r="D31" s="45"/>
      <c r="E31" s="36"/>
      <c r="F31" s="45"/>
      <c r="G31" s="45"/>
      <c r="H31" s="37"/>
      <c r="I31" s="36"/>
      <c r="J31" s="33" t="s">
        <v>48</v>
      </c>
      <c r="K31" s="46" t="n">
        <f aca="false">A43</f>
        <v>6000</v>
      </c>
    </row>
    <row r="32" customFormat="false" ht="34.3" hidden="false" customHeight="false" outlineLevel="0" collapsed="false">
      <c r="A32" s="40"/>
      <c r="B32" s="47"/>
      <c r="C32" s="47"/>
      <c r="D32" s="47"/>
      <c r="E32" s="47"/>
      <c r="F32" s="47"/>
      <c r="G32" s="47"/>
      <c r="H32" s="37"/>
      <c r="I32" s="7"/>
      <c r="J32" s="33" t="s">
        <v>49</v>
      </c>
      <c r="K32" s="46" t="n">
        <f aca="false">A46</f>
        <v>0</v>
      </c>
      <c r="M32" s="48" t="s">
        <v>50</v>
      </c>
      <c r="N32" s="49" t="s">
        <v>51</v>
      </c>
    </row>
    <row r="33" customFormat="false" ht="18.75" hidden="false" customHeight="false" outlineLevel="0" collapsed="false">
      <c r="A33" s="40" t="s">
        <v>52</v>
      </c>
      <c r="B33" s="36"/>
      <c r="C33" s="50" t="s">
        <v>53</v>
      </c>
      <c r="D33" s="43"/>
      <c r="E33" s="36"/>
      <c r="F33" s="42" t="s">
        <v>54</v>
      </c>
      <c r="G33" s="43"/>
      <c r="H33" s="51"/>
      <c r="I33" s="7"/>
      <c r="J33" s="38"/>
      <c r="K33" s="52"/>
      <c r="M33" s="48"/>
      <c r="N33" s="17"/>
    </row>
    <row r="34" customFormat="false" ht="18.75" hidden="false" customHeight="false" outlineLevel="0" collapsed="false">
      <c r="A34" s="44" t="s">
        <v>55</v>
      </c>
      <c r="B34" s="36"/>
      <c r="C34" s="45" t="s">
        <v>56</v>
      </c>
      <c r="D34" s="45"/>
      <c r="E34" s="36"/>
      <c r="F34" s="45" t="n">
        <f aca="false">(A34/12)*C34</f>
        <v>5000</v>
      </c>
      <c r="G34" s="45"/>
      <c r="H34" s="51"/>
      <c r="I34" s="7"/>
      <c r="J34" s="7"/>
      <c r="K34" s="7"/>
      <c r="M34" s="48" t="s">
        <v>57</v>
      </c>
      <c r="N34" s="53" t="s">
        <v>58</v>
      </c>
    </row>
    <row r="35" customFormat="false" ht="21.6" hidden="false" customHeight="false" outlineLevel="0" collapsed="false">
      <c r="A35" s="35"/>
      <c r="B35" s="36"/>
      <c r="C35" s="36"/>
      <c r="E35" s="36"/>
      <c r="F35" s="47"/>
      <c r="G35" s="47"/>
      <c r="H35" s="51"/>
      <c r="I35" s="7"/>
      <c r="J35" s="54" t="s">
        <v>59</v>
      </c>
      <c r="K35" s="55" t="n">
        <v>0.065</v>
      </c>
      <c r="M35" s="48"/>
      <c r="N35" s="17" t="n">
        <v>0.065</v>
      </c>
    </row>
    <row r="36" customFormat="false" ht="18.75" hidden="false" customHeight="false" outlineLevel="0" collapsed="false">
      <c r="A36" s="40" t="s">
        <v>60</v>
      </c>
      <c r="B36" s="36"/>
      <c r="C36" s="42" t="s">
        <v>61</v>
      </c>
      <c r="D36" s="43"/>
      <c r="E36" s="36"/>
      <c r="F36" s="42" t="s">
        <v>62</v>
      </c>
      <c r="G36" s="43"/>
      <c r="H36" s="51"/>
      <c r="I36" s="7"/>
      <c r="J36" s="7" t="s">
        <v>63</v>
      </c>
      <c r="K36" s="7" t="n">
        <f aca="false">C40</f>
        <v>11</v>
      </c>
      <c r="M36" s="48" t="s">
        <v>64</v>
      </c>
      <c r="N36" s="56" t="n">
        <f aca="false">N32-N34</f>
        <v>22125</v>
      </c>
    </row>
    <row r="37" customFormat="false" ht="18.75" hidden="false" customHeight="false" outlineLevel="0" collapsed="false">
      <c r="A37" s="40" t="n">
        <f aca="false">E19</f>
        <v>21000</v>
      </c>
      <c r="B37" s="36"/>
      <c r="C37" s="45" t="s">
        <v>58</v>
      </c>
      <c r="D37" s="45"/>
      <c r="E37" s="36"/>
      <c r="F37" s="47" t="n">
        <f aca="false">A37-C37</f>
        <v>20000</v>
      </c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40"/>
      <c r="B38" s="47"/>
      <c r="C38" s="47"/>
      <c r="D38" s="47"/>
      <c r="E38" s="47"/>
      <c r="F38" s="47"/>
      <c r="G38" s="47"/>
      <c r="H38" s="51"/>
      <c r="J38" s="57" t="s">
        <v>65</v>
      </c>
      <c r="K38" s="57"/>
      <c r="L38" s="7"/>
    </row>
    <row r="39" customFormat="false" ht="18.75" hidden="false" customHeight="false" outlineLevel="0" collapsed="false">
      <c r="A39" s="40" t="s">
        <v>66</v>
      </c>
      <c r="B39" s="36"/>
      <c r="C39" s="43" t="s">
        <v>67</v>
      </c>
      <c r="D39" s="42"/>
      <c r="E39" s="36"/>
      <c r="F39" s="42" t="s">
        <v>68</v>
      </c>
      <c r="G39" s="43"/>
      <c r="H39" s="51"/>
      <c r="J39" s="7" t="s">
        <v>69</v>
      </c>
      <c r="K39" s="7" t="str">
        <f aca="false">F40</f>
        <v>500</v>
      </c>
      <c r="L39" s="7"/>
    </row>
    <row r="40" customFormat="false" ht="18.75" hidden="false" customHeight="false" outlineLevel="0" collapsed="false">
      <c r="A40" s="44" t="s">
        <v>55</v>
      </c>
      <c r="B40" s="36"/>
      <c r="C40" s="58" t="n">
        <f aca="false">A34-1</f>
        <v>11</v>
      </c>
      <c r="D40" s="58"/>
      <c r="E40" s="36"/>
      <c r="F40" s="45" t="s">
        <v>70</v>
      </c>
      <c r="G40" s="45"/>
      <c r="H40" s="51"/>
      <c r="J40" s="7" t="s">
        <v>71</v>
      </c>
      <c r="K40" s="7" t="n">
        <f aca="false">C15</f>
        <v>3500</v>
      </c>
      <c r="L40" s="7"/>
    </row>
    <row r="41" customFormat="false" ht="18.75" hidden="false" customHeight="false" outlineLevel="0" collapsed="false">
      <c r="A41" s="40"/>
      <c r="B41" s="47"/>
      <c r="C41" s="47"/>
      <c r="D41" s="47"/>
      <c r="E41" s="47"/>
      <c r="F41" s="47"/>
      <c r="G41" s="47"/>
      <c r="H41" s="51"/>
      <c r="J41" s="7" t="s">
        <v>72</v>
      </c>
      <c r="K41" s="7" t="n">
        <f aca="false">IF(F43="Yes",A46,0)</f>
        <v>0</v>
      </c>
      <c r="L41" s="7"/>
    </row>
    <row r="42" customFormat="false" ht="18.75" hidden="false" customHeight="false" outlineLevel="0" collapsed="false">
      <c r="A42" s="40" t="s">
        <v>73</v>
      </c>
      <c r="B42" s="36"/>
      <c r="C42" s="42" t="s">
        <v>74</v>
      </c>
      <c r="D42" s="43"/>
      <c r="E42" s="36"/>
      <c r="F42" s="42" t="s">
        <v>75</v>
      </c>
      <c r="G42" s="43"/>
      <c r="H42" s="51"/>
      <c r="J42" s="7" t="s">
        <v>76</v>
      </c>
      <c r="K42" s="7" t="n">
        <f aca="false">A43</f>
        <v>6000</v>
      </c>
      <c r="L42" s="7"/>
    </row>
    <row r="43" customFormat="false" ht="18.75" hidden="false" customHeight="false" outlineLevel="0" collapsed="false">
      <c r="A43" s="44" t="n">
        <v>6000</v>
      </c>
      <c r="B43" s="36"/>
      <c r="C43" s="45" t="n">
        <v>20</v>
      </c>
      <c r="D43" s="45"/>
      <c r="E43" s="36"/>
      <c r="F43" s="45" t="s">
        <v>31</v>
      </c>
      <c r="G43" s="45"/>
      <c r="H43" s="51"/>
      <c r="J43" s="7" t="s">
        <v>77</v>
      </c>
      <c r="K43" s="7" t="str">
        <f aca="false">A34</f>
        <v>12</v>
      </c>
      <c r="L43" s="7"/>
    </row>
    <row r="44" customFormat="false" ht="18.75" hidden="false" customHeight="false" outlineLevel="0" collapsed="false">
      <c r="A44" s="40"/>
      <c r="B44" s="47"/>
      <c r="C44" s="47"/>
      <c r="D44" s="47"/>
      <c r="E44" s="47"/>
      <c r="F44" s="47"/>
      <c r="G44" s="47"/>
      <c r="H44" s="51"/>
      <c r="J44" s="7" t="s">
        <v>78</v>
      </c>
      <c r="K44" s="7" t="n">
        <f aca="false">((K40-(((K42/(1.2))*0.2)))/(K43))</f>
        <v>208.333333333333</v>
      </c>
      <c r="L44" s="7"/>
    </row>
    <row r="45" customFormat="false" ht="18.75" hidden="false" customHeight="false" outlineLevel="0" collapsed="false">
      <c r="A45" s="40" t="s">
        <v>79</v>
      </c>
      <c r="B45" s="36"/>
      <c r="C45" s="42" t="s">
        <v>80</v>
      </c>
      <c r="D45" s="43"/>
      <c r="E45" s="36"/>
      <c r="F45" s="42" t="s">
        <v>81</v>
      </c>
      <c r="G45" s="43"/>
      <c r="H45" s="51"/>
      <c r="J45" s="7" t="s">
        <v>82</v>
      </c>
      <c r="K45" s="7" t="n">
        <f aca="false">(K39-K44)+K41</f>
        <v>291.666666666667</v>
      </c>
      <c r="L45" s="7"/>
    </row>
    <row r="46" customFormat="false" ht="18.75" hidden="false" customHeight="false" outlineLevel="0" collapsed="false">
      <c r="A46" s="44" t="n">
        <v>0</v>
      </c>
      <c r="B46" s="36"/>
      <c r="C46" s="45" t="n">
        <v>1</v>
      </c>
      <c r="D46" s="45"/>
      <c r="E46" s="36"/>
      <c r="F46" s="45" t="n">
        <v>1</v>
      </c>
      <c r="G46" s="45"/>
      <c r="H46" s="51"/>
      <c r="J46" s="7" t="s">
        <v>83</v>
      </c>
      <c r="K46" s="7" t="n">
        <v>0</v>
      </c>
      <c r="L46" s="7"/>
    </row>
    <row r="47" customFormat="false" ht="18.75" hidden="false" customHeight="false" outlineLevel="0" collapsed="false">
      <c r="A47" s="40"/>
      <c r="B47" s="47"/>
      <c r="C47" s="47"/>
      <c r="D47" s="47"/>
      <c r="E47" s="47"/>
      <c r="F47" s="47"/>
      <c r="G47" s="47"/>
      <c r="H47" s="51"/>
      <c r="J47" s="7" t="s">
        <v>84</v>
      </c>
      <c r="K47" s="7" t="n">
        <f aca="false">A40/K29</f>
        <v>1</v>
      </c>
      <c r="L47" s="7"/>
    </row>
    <row r="48" customFormat="false" ht="18.75" hidden="false" customHeight="false" outlineLevel="0" collapsed="false">
      <c r="A48" s="40" t="s">
        <v>85</v>
      </c>
      <c r="B48" s="47"/>
      <c r="C48" s="47"/>
      <c r="D48" s="47"/>
      <c r="E48" s="47"/>
      <c r="F48" s="47"/>
      <c r="G48" s="47"/>
      <c r="H48" s="51"/>
      <c r="J48" s="59" t="s">
        <v>86</v>
      </c>
      <c r="K48" s="7" t="n">
        <f aca="false">C43/A34</f>
        <v>1.66666666666667</v>
      </c>
      <c r="L48" s="7"/>
    </row>
    <row r="49" customFormat="false" ht="18.75" hidden="false" customHeight="false" outlineLevel="0" collapsed="false">
      <c r="A49" s="40" t="n">
        <f aca="false">C46+F46</f>
        <v>2</v>
      </c>
      <c r="B49" s="47"/>
      <c r="C49" s="47"/>
      <c r="D49" s="47"/>
      <c r="E49" s="36"/>
      <c r="F49" s="47"/>
      <c r="G49" s="47"/>
      <c r="H49" s="51"/>
      <c r="J49" s="59" t="s">
        <v>87</v>
      </c>
      <c r="K49" s="7" t="n">
        <f aca="false">K45+K48+K47</f>
        <v>294.333333333333</v>
      </c>
      <c r="L49" s="7"/>
    </row>
    <row r="50" customFormat="false" ht="18.75" hidden="false" customHeight="false" outlineLevel="0" collapsed="false">
      <c r="A50" s="60"/>
      <c r="B50" s="61"/>
      <c r="C50" s="61"/>
      <c r="D50" s="61"/>
      <c r="E50" s="61"/>
      <c r="F50" s="61"/>
      <c r="G50" s="62"/>
      <c r="H50" s="63"/>
      <c r="I50" s="7"/>
      <c r="J50" s="59" t="s">
        <v>88</v>
      </c>
      <c r="K50" s="7" t="n">
        <f aca="false">K49-A46</f>
        <v>294.333333333333</v>
      </c>
    </row>
    <row r="51" customFormat="false" ht="19.5" hidden="false" customHeight="true" outlineLevel="0" collapsed="false">
      <c r="A51" s="29"/>
      <c r="B51" s="30"/>
      <c r="C51" s="30"/>
      <c r="D51" s="30"/>
      <c r="E51" s="30"/>
      <c r="F51" s="30"/>
      <c r="G51" s="30"/>
      <c r="H51" s="31"/>
      <c r="I51" s="7"/>
      <c r="J51" s="7"/>
      <c r="K51" s="7"/>
    </row>
    <row r="52" customFormat="false" ht="18.75" hidden="false" customHeight="false" outlineLevel="0" collapsed="false">
      <c r="A52" s="64" t="s">
        <v>89</v>
      </c>
      <c r="B52" s="36"/>
      <c r="C52" s="36" t="s">
        <v>90</v>
      </c>
      <c r="D52" s="36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65" t="n">
        <v>1</v>
      </c>
      <c r="B53" s="36"/>
      <c r="C53" s="66" t="n">
        <v>1</v>
      </c>
      <c r="D53" s="66"/>
      <c r="E53" s="66"/>
      <c r="F53" s="36"/>
      <c r="G53" s="36"/>
      <c r="H53" s="37"/>
      <c r="I53" s="7"/>
      <c r="J53" s="67" t="s">
        <v>91</v>
      </c>
      <c r="K53" s="68" t="s">
        <v>92</v>
      </c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9"/>
      <c r="B55" s="30"/>
      <c r="C55" s="30"/>
      <c r="D55" s="30"/>
      <c r="E55" s="30"/>
      <c r="F55" s="30"/>
      <c r="G55" s="30"/>
      <c r="H55" s="31"/>
      <c r="I55" s="7"/>
      <c r="J55" s="7" t="s">
        <v>93</v>
      </c>
      <c r="K55" s="7" t="n">
        <f aca="false">A46*A34</f>
        <v>0</v>
      </c>
    </row>
    <row r="56" customFormat="false" ht="18.75" hidden="false" customHeight="false" outlineLevel="0" collapsed="false">
      <c r="A56" s="70" t="s">
        <v>94</v>
      </c>
      <c r="B56" s="36"/>
      <c r="C56" s="36"/>
      <c r="D56" s="71"/>
      <c r="E56" s="71"/>
      <c r="F56" s="71"/>
      <c r="G56" s="71"/>
      <c r="H56" s="72"/>
      <c r="I56" s="7"/>
      <c r="J56" s="7"/>
      <c r="K56" s="7"/>
    </row>
    <row r="57" customFormat="false" ht="19.5" hidden="false" customHeight="true" outlineLevel="0" collapsed="false">
      <c r="A57" s="35"/>
      <c r="B57" s="73"/>
      <c r="C57" s="73"/>
      <c r="D57" s="36"/>
      <c r="E57" s="36"/>
      <c r="F57" s="36"/>
      <c r="G57" s="36"/>
      <c r="H57" s="37"/>
      <c r="I57" s="7"/>
      <c r="J57" s="7"/>
      <c r="K57" s="7"/>
    </row>
    <row r="58" customFormat="false" ht="19.7" hidden="false" customHeight="false" outlineLevel="0" collapsed="false">
      <c r="A58" s="74" t="s">
        <v>95</v>
      </c>
      <c r="B58" s="75" t="s">
        <v>96</v>
      </c>
      <c r="C58" s="75"/>
      <c r="D58" s="75"/>
      <c r="E58" s="36"/>
      <c r="F58" s="36"/>
      <c r="G58" s="36"/>
      <c r="H58" s="37"/>
      <c r="I58" s="7"/>
      <c r="J58" s="7"/>
      <c r="K58" s="7"/>
    </row>
    <row r="59" customFormat="false" ht="18.75" hidden="false" customHeight="false" outlineLevel="0" collapsed="false">
      <c r="A59" s="74"/>
      <c r="B59" s="76" t="str">
        <f aca="false">K30</f>
        <v>5000</v>
      </c>
      <c r="C59" s="76"/>
      <c r="D59" s="76"/>
      <c r="E59" s="36"/>
      <c r="F59" s="36"/>
      <c r="G59" s="36"/>
      <c r="H59" s="37"/>
      <c r="I59" s="7"/>
      <c r="J59" s="7"/>
      <c r="K59" s="7"/>
    </row>
    <row r="60" customFormat="false" ht="18.75" hidden="false" customHeight="false" outlineLevel="0" collapsed="false">
      <c r="A60" s="77" t="str">
        <f aca="false">K29</f>
        <v>12</v>
      </c>
      <c r="B60" s="78" t="n">
        <f aca="false">K49</f>
        <v>294.333333333333</v>
      </c>
      <c r="C60" s="78"/>
      <c r="D60" s="78"/>
      <c r="E60" s="36"/>
      <c r="F60" s="36"/>
      <c r="G60" s="36"/>
      <c r="H60" s="37"/>
      <c r="I60" s="7"/>
      <c r="J60" s="7"/>
      <c r="K60" s="7"/>
    </row>
    <row r="61" customFormat="false" ht="18.75" hidden="false" customHeight="false" outlineLevel="0" collapsed="false">
      <c r="A61" s="35"/>
      <c r="B61" s="36"/>
      <c r="C61" s="36"/>
      <c r="D61" s="36"/>
      <c r="E61" s="36"/>
      <c r="F61" s="36"/>
      <c r="G61" s="36"/>
      <c r="H61" s="37"/>
      <c r="I61" s="7"/>
      <c r="J61" s="7"/>
      <c r="K61" s="7"/>
    </row>
    <row r="62" customFormat="false" ht="18.75" hidden="false" customHeight="false" outlineLevel="0" collapsed="false">
      <c r="A62" s="60"/>
      <c r="B62" s="61" t="s">
        <v>10</v>
      </c>
      <c r="C62" s="61"/>
      <c r="D62" s="61"/>
      <c r="E62" s="61"/>
      <c r="F62" s="61"/>
      <c r="G62" s="61"/>
      <c r="H62" s="69"/>
      <c r="I62" s="7"/>
      <c r="J62" s="7"/>
      <c r="K62" s="7"/>
    </row>
    <row r="63" customFormat="false" ht="18.75" hidden="false" customHeight="false" outlineLevel="0" collapsed="false">
      <c r="A63" s="36"/>
      <c r="B63" s="36" t="s">
        <v>10</v>
      </c>
      <c r="C63" s="36"/>
      <c r="D63" s="36"/>
      <c r="E63" s="36"/>
      <c r="F63" s="36"/>
      <c r="G63" s="36"/>
      <c r="H63" s="36"/>
      <c r="I63" s="7"/>
      <c r="J63" s="7"/>
      <c r="K63" s="7"/>
    </row>
    <row r="64" customFormat="false" ht="18.75" hidden="false" customHeight="false" outlineLevel="0" collapsed="false">
      <c r="A64" s="36"/>
      <c r="B64" s="36" t="s">
        <v>10</v>
      </c>
      <c r="C64" s="36"/>
      <c r="D64" s="36"/>
      <c r="E64" s="36"/>
      <c r="F64" s="36"/>
      <c r="G64" s="36"/>
      <c r="H64" s="36"/>
      <c r="I64" s="7"/>
      <c r="J64" s="7"/>
      <c r="K64" s="7"/>
    </row>
    <row r="65" customFormat="false" ht="18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J65" s="7"/>
      <c r="K65" s="7"/>
    </row>
    <row r="66" customFormat="false" ht="18.75" hidden="false" customHeight="false" outlineLevel="0" collapsed="false">
      <c r="A66" s="29"/>
      <c r="B66" s="30" t="s">
        <v>10</v>
      </c>
      <c r="C66" s="30"/>
      <c r="D66" s="30"/>
      <c r="E66" s="79"/>
      <c r="F66" s="79"/>
      <c r="G66" s="79"/>
      <c r="H66" s="31"/>
      <c r="J66" s="29"/>
      <c r="K66" s="30"/>
      <c r="L66" s="30"/>
      <c r="M66" s="30"/>
      <c r="N66" s="79"/>
      <c r="O66" s="79"/>
      <c r="P66" s="79"/>
      <c r="Q66" s="31"/>
      <c r="S66" s="29"/>
      <c r="T66" s="30"/>
      <c r="U66" s="30"/>
      <c r="V66" s="30"/>
      <c r="W66" s="79"/>
      <c r="X66" s="79"/>
      <c r="Y66" s="79"/>
      <c r="Z66" s="31"/>
      <c r="AB66" s="29"/>
      <c r="AC66" s="30"/>
      <c r="AD66" s="30"/>
      <c r="AE66" s="30"/>
      <c r="AF66" s="79"/>
      <c r="AG66" s="79"/>
      <c r="AH66" s="79"/>
      <c r="AI66" s="31"/>
    </row>
    <row r="67" customFormat="false" ht="18.75" hidden="false" customHeight="false" outlineLevel="0" collapsed="false">
      <c r="A67" s="35" t="s">
        <v>97</v>
      </c>
      <c r="B67" s="36" t="n">
        <v>1</v>
      </c>
      <c r="C67" s="36"/>
      <c r="D67" s="36"/>
      <c r="E67" s="27"/>
      <c r="F67" s="27"/>
      <c r="G67" s="27"/>
      <c r="H67" s="37"/>
      <c r="J67" s="35" t="s">
        <v>97</v>
      </c>
      <c r="K67" s="36" t="n">
        <v>1</v>
      </c>
      <c r="L67" s="36"/>
      <c r="M67" s="36"/>
      <c r="N67" s="27"/>
      <c r="O67" s="27"/>
      <c r="P67" s="27"/>
      <c r="Q67" s="37"/>
      <c r="S67" s="35" t="s">
        <v>97</v>
      </c>
      <c r="T67" s="36" t="n">
        <v>1</v>
      </c>
      <c r="U67" s="36"/>
      <c r="V67" s="36"/>
      <c r="W67" s="27"/>
      <c r="X67" s="27"/>
      <c r="Y67" s="27"/>
      <c r="Z67" s="37"/>
      <c r="AB67" s="35" t="s">
        <v>97</v>
      </c>
      <c r="AC67" s="36" t="n">
        <v>1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35" t="s">
        <v>98</v>
      </c>
      <c r="B68" s="36" t="n">
        <f aca="false">K29-B67</f>
        <v>11</v>
      </c>
      <c r="C68" s="36"/>
      <c r="D68" s="36"/>
      <c r="E68" s="27"/>
      <c r="F68" s="27"/>
      <c r="G68" s="27"/>
      <c r="H68" s="37"/>
      <c r="J68" s="35" t="s">
        <v>98</v>
      </c>
      <c r="K68" s="36" t="n">
        <f aca="false">K29-K67</f>
        <v>11</v>
      </c>
      <c r="L68" s="36"/>
      <c r="M68" s="36"/>
      <c r="N68" s="27"/>
      <c r="O68" s="27"/>
      <c r="P68" s="27"/>
      <c r="Q68" s="37"/>
      <c r="S68" s="35" t="s">
        <v>98</v>
      </c>
      <c r="T68" s="36" t="n">
        <f aca="false">K29-T67</f>
        <v>11</v>
      </c>
      <c r="U68" s="36"/>
      <c r="V68" s="36"/>
      <c r="W68" s="27"/>
      <c r="X68" s="27"/>
      <c r="Y68" s="27"/>
      <c r="Z68" s="37"/>
      <c r="AB68" s="35" t="s">
        <v>98</v>
      </c>
      <c r="AC68" s="36" t="n">
        <f aca="false">K29-AC67</f>
        <v>11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0" t="s">
        <v>99</v>
      </c>
      <c r="B69" s="81" t="n">
        <v>25</v>
      </c>
      <c r="C69" s="36"/>
      <c r="D69" s="36"/>
      <c r="E69" s="27"/>
      <c r="F69" s="27"/>
      <c r="G69" s="27"/>
      <c r="H69" s="37"/>
      <c r="J69" s="80" t="s">
        <v>99</v>
      </c>
      <c r="K69" s="81" t="n">
        <v>20</v>
      </c>
      <c r="L69" s="36"/>
      <c r="M69" s="36"/>
      <c r="N69" s="27"/>
      <c r="O69" s="27"/>
      <c r="P69" s="27"/>
      <c r="Q69" s="37"/>
      <c r="S69" s="80" t="s">
        <v>99</v>
      </c>
      <c r="T69" s="81" t="n">
        <v>10</v>
      </c>
      <c r="U69" s="36"/>
      <c r="V69" s="36"/>
      <c r="W69" s="27"/>
      <c r="X69" s="27"/>
      <c r="Y69" s="27"/>
      <c r="Z69" s="37"/>
      <c r="AB69" s="80" t="s">
        <v>99</v>
      </c>
      <c r="AC69" s="81" t="n">
        <v>10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35" t="s">
        <v>27</v>
      </c>
      <c r="B70" s="36" t="n">
        <f aca="false">J18</f>
        <v>37404</v>
      </c>
      <c r="C70" s="36"/>
      <c r="D70" s="36"/>
      <c r="E70" s="27"/>
      <c r="F70" s="27"/>
      <c r="G70" s="27"/>
      <c r="H70" s="37"/>
      <c r="J70" s="35" t="s">
        <v>27</v>
      </c>
      <c r="K70" s="36" t="n">
        <f aca="false">J18</f>
        <v>37404</v>
      </c>
      <c r="L70" s="36"/>
      <c r="M70" s="36"/>
      <c r="N70" s="27"/>
      <c r="O70" s="27"/>
      <c r="P70" s="27"/>
      <c r="Q70" s="37"/>
      <c r="S70" s="35" t="s">
        <v>27</v>
      </c>
      <c r="T70" s="36" t="n">
        <f aca="false">J18</f>
        <v>37404</v>
      </c>
      <c r="U70" s="36"/>
      <c r="V70" s="36"/>
      <c r="W70" s="27"/>
      <c r="X70" s="27"/>
      <c r="Y70" s="27"/>
      <c r="Z70" s="37"/>
      <c r="AB70" s="35" t="s">
        <v>27</v>
      </c>
      <c r="AC70" s="36" t="n">
        <f aca="false">J18</f>
        <v>37404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82" t="s">
        <v>100</v>
      </c>
      <c r="B71" s="83" t="n">
        <v>0.0105</v>
      </c>
      <c r="C71" s="36"/>
      <c r="D71" s="36"/>
      <c r="E71" s="27"/>
      <c r="F71" s="27"/>
      <c r="G71" s="27"/>
      <c r="H71" s="37"/>
      <c r="J71" s="82" t="s">
        <v>100</v>
      </c>
      <c r="K71" s="83" t="n">
        <v>0.06</v>
      </c>
      <c r="L71" s="36"/>
      <c r="M71" s="36"/>
      <c r="N71" s="27"/>
      <c r="O71" s="27"/>
      <c r="P71" s="27"/>
      <c r="Q71" s="37"/>
      <c r="S71" s="82" t="s">
        <v>100</v>
      </c>
      <c r="T71" s="83" t="n">
        <f aca="false">IF(AND(K29&gt;=12,K29&lt;=24),0.0105,IF(AND(K29&gt;=48),-0.0075,0))</f>
        <v>-0.0075</v>
      </c>
      <c r="U71" s="36"/>
      <c r="V71" s="36"/>
      <c r="W71" s="27"/>
      <c r="X71" s="27"/>
      <c r="Y71" s="27"/>
      <c r="Z71" s="37"/>
      <c r="AB71" s="82" t="s">
        <v>100</v>
      </c>
      <c r="AC71" s="83" t="n">
        <f aca="false">IF(AND(K29&gt;=12,K29&lt;=24),0.0105,IF(AND(K29&gt;=48),-0.0075,0))</f>
        <v>-0.0075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4" t="s">
        <v>101</v>
      </c>
      <c r="B72" s="85" t="n">
        <v>0.065</v>
      </c>
      <c r="C72" s="36"/>
      <c r="D72" s="36"/>
      <c r="E72" s="27"/>
      <c r="F72" s="27"/>
      <c r="G72" s="27"/>
      <c r="H72" s="37"/>
      <c r="J72" s="84" t="s">
        <v>101</v>
      </c>
      <c r="K72" s="85" t="n">
        <v>0.08</v>
      </c>
      <c r="L72" s="36"/>
      <c r="M72" s="36"/>
      <c r="N72" s="27"/>
      <c r="O72" s="27"/>
      <c r="P72" s="27"/>
      <c r="Q72" s="37"/>
      <c r="S72" s="84" t="s">
        <v>101</v>
      </c>
      <c r="T72" s="85" t="n">
        <v>0.059</v>
      </c>
      <c r="U72" s="36"/>
      <c r="V72" s="36"/>
      <c r="W72" s="27"/>
      <c r="X72" s="27"/>
      <c r="Y72" s="27"/>
      <c r="Z72" s="37"/>
      <c r="AB72" s="84" t="s">
        <v>101</v>
      </c>
      <c r="AC72" s="85" t="n">
        <v>0.059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6" t="s">
        <v>102</v>
      </c>
      <c r="B73" s="87" t="n">
        <v>0.05</v>
      </c>
      <c r="C73" s="36"/>
      <c r="D73" s="36"/>
      <c r="E73" s="27"/>
      <c r="F73" s="27"/>
      <c r="G73" s="27"/>
      <c r="H73" s="37"/>
      <c r="J73" s="86" t="s">
        <v>102</v>
      </c>
      <c r="K73" s="87" t="n">
        <v>0.1</v>
      </c>
      <c r="L73" s="36"/>
      <c r="M73" s="36"/>
      <c r="N73" s="27"/>
      <c r="O73" s="27"/>
      <c r="P73" s="27"/>
      <c r="Q73" s="37"/>
      <c r="S73" s="86" t="s">
        <v>102</v>
      </c>
      <c r="T73" s="87" t="n">
        <f aca="false">IF(T117=AP117,2.4%,7.2%)</f>
        <v>0.072</v>
      </c>
      <c r="U73" s="36"/>
      <c r="V73" s="36"/>
      <c r="W73" s="27"/>
      <c r="X73" s="27"/>
      <c r="Y73" s="27"/>
      <c r="Z73" s="37"/>
      <c r="AB73" s="86" t="s">
        <v>102</v>
      </c>
      <c r="AC73" s="87" t="n">
        <f aca="false">IF(AC117=AP117,2.4%,7.2%)</f>
        <v>0.072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103</v>
      </c>
      <c r="B74" s="69" t="n">
        <f aca="false">(B98*B68)-(K47*K29)</f>
        <v>15630.9006199563</v>
      </c>
      <c r="C74" s="36"/>
      <c r="D74" s="36"/>
      <c r="E74" s="27"/>
      <c r="F74" s="27"/>
      <c r="G74" s="27"/>
      <c r="H74" s="37"/>
      <c r="J74" s="60" t="s">
        <v>103</v>
      </c>
      <c r="K74" s="69" t="e">
        <f aca="false">(K98*K68)-(K47*K29)</f>
        <v>#VALUE!</v>
      </c>
      <c r="L74" s="36"/>
      <c r="M74" s="36"/>
      <c r="N74" s="27"/>
      <c r="O74" s="27"/>
      <c r="P74" s="27"/>
      <c r="Q74" s="37"/>
      <c r="S74" s="60" t="s">
        <v>103</v>
      </c>
      <c r="T74" s="69" t="e">
        <f aca="false">(T98*T68)-(K47*K29)</f>
        <v>#VALUE!</v>
      </c>
      <c r="U74" s="36"/>
      <c r="V74" s="36"/>
      <c r="W74" s="27"/>
      <c r="X74" s="27"/>
      <c r="Y74" s="27"/>
      <c r="Z74" s="37"/>
      <c r="AB74" s="60" t="s">
        <v>103</v>
      </c>
      <c r="AC74" s="69" t="e">
        <f aca="false">(AC98*AC68)-(K47*K29)</f>
        <v>#VALUE!</v>
      </c>
      <c r="AD74" s="36"/>
      <c r="AE74" s="36"/>
      <c r="AF74" s="27"/>
      <c r="AG74" s="27"/>
      <c r="AH74" s="27"/>
      <c r="AI74" s="37"/>
    </row>
    <row r="75" customFormat="false" ht="18.75" hidden="false" customHeight="false" outlineLevel="0" collapsed="false">
      <c r="A75" s="82" t="s">
        <v>104</v>
      </c>
      <c r="B75" s="83" t="n">
        <v>0.0075</v>
      </c>
      <c r="C75" s="36"/>
      <c r="D75" s="36"/>
      <c r="E75" s="27"/>
      <c r="F75" s="27"/>
      <c r="G75" s="27"/>
      <c r="H75" s="37"/>
      <c r="J75" s="82" t="s">
        <v>104</v>
      </c>
      <c r="K75" s="83" t="n">
        <v>0.05</v>
      </c>
      <c r="L75" s="36"/>
      <c r="M75" s="36"/>
      <c r="N75" s="27"/>
      <c r="O75" s="27"/>
      <c r="P75" s="27"/>
      <c r="Q75" s="37"/>
      <c r="S75" s="82" t="s">
        <v>104</v>
      </c>
      <c r="T75" s="83" t="n">
        <v>0.005</v>
      </c>
      <c r="U75" s="36"/>
      <c r="V75" s="36"/>
      <c r="W75" s="27"/>
      <c r="X75" s="27"/>
      <c r="Y75" s="27"/>
      <c r="Z75" s="37"/>
      <c r="AB75" s="82" t="s">
        <v>104</v>
      </c>
      <c r="AC75" s="83" t="n">
        <v>0.005</v>
      </c>
      <c r="AD75" s="36"/>
      <c r="AE75" s="36"/>
      <c r="AF75" s="27"/>
      <c r="AG75" s="27"/>
      <c r="AH75" s="27"/>
      <c r="AI75" s="37"/>
    </row>
    <row r="76" customFormat="false" ht="18.75" hidden="false" customHeight="false" outlineLevel="0" collapsed="false">
      <c r="A76" s="35"/>
      <c r="B76" s="88" t="n">
        <f aca="false">B75</f>
        <v>0.0075</v>
      </c>
      <c r="C76" s="36"/>
      <c r="D76" s="36"/>
      <c r="E76" s="27"/>
      <c r="F76" s="27"/>
      <c r="G76" s="27"/>
      <c r="H76" s="37"/>
      <c r="J76" s="35" t="s">
        <v>105</v>
      </c>
      <c r="K76" s="88" t="n">
        <f aca="false">K75+(K75*0.25*(K29/12-1))</f>
        <v>0.05</v>
      </c>
      <c r="L76" s="36"/>
      <c r="M76" s="36"/>
      <c r="N76" s="27"/>
      <c r="O76" s="27"/>
      <c r="P76" s="27"/>
      <c r="Q76" s="37"/>
      <c r="S76" s="35" t="s">
        <v>105</v>
      </c>
      <c r="T76" s="88" t="n">
        <f aca="false">T75+(T75*0.5*(K29/12-1))</f>
        <v>0.005</v>
      </c>
      <c r="U76" s="36"/>
      <c r="V76" s="36"/>
      <c r="W76" s="27"/>
      <c r="X76" s="27"/>
      <c r="Y76" s="27"/>
      <c r="Z76" s="37"/>
      <c r="AB76" s="35" t="s">
        <v>105</v>
      </c>
      <c r="AC76" s="88" t="n">
        <f aca="false">AC75+(AC75*0.5*(K29/12-1))</f>
        <v>0.005</v>
      </c>
      <c r="AD76" s="36"/>
      <c r="AE76" s="36"/>
      <c r="AF76" s="27"/>
      <c r="AG76" s="27"/>
      <c r="AH76" s="27"/>
      <c r="AI76" s="37"/>
    </row>
    <row r="77" customFormat="false" ht="18.75" hidden="false" customHeight="false" outlineLevel="0" collapsed="false">
      <c r="A77" s="60" t="s">
        <v>106</v>
      </c>
      <c r="B77" s="69" t="n">
        <f aca="false">(G167*B76)</f>
        <v>186.74997</v>
      </c>
      <c r="C77" s="36"/>
      <c r="D77" s="36"/>
      <c r="E77" s="27"/>
      <c r="F77" s="27"/>
      <c r="G77" s="27"/>
      <c r="H77" s="37"/>
      <c r="J77" s="60" t="s">
        <v>106</v>
      </c>
      <c r="K77" s="69" t="n">
        <f aca="false">K70*K76</f>
        <v>1870.2</v>
      </c>
      <c r="L77" s="36"/>
      <c r="M77" s="36"/>
      <c r="N77" s="27"/>
      <c r="O77" s="27"/>
      <c r="P77" s="27"/>
      <c r="Q77" s="37"/>
      <c r="S77" s="60" t="s">
        <v>106</v>
      </c>
      <c r="T77" s="69" t="n">
        <f aca="false">T70*T76</f>
        <v>187.02</v>
      </c>
      <c r="U77" s="36"/>
      <c r="V77" s="36"/>
      <c r="W77" s="27"/>
      <c r="X77" s="27"/>
      <c r="Y77" s="27"/>
      <c r="Z77" s="37"/>
      <c r="AB77" s="60" t="s">
        <v>106</v>
      </c>
      <c r="AC77" s="69" t="e">
        <f aca="false">AH167*AC76</f>
        <v>#VALUE!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82" t="s">
        <v>107</v>
      </c>
      <c r="B78" s="83" t="n">
        <v>0</v>
      </c>
      <c r="C78" s="36"/>
      <c r="D78" s="36"/>
      <c r="E78" s="27"/>
      <c r="F78" s="27"/>
      <c r="G78" s="27"/>
      <c r="H78" s="37"/>
      <c r="J78" s="82" t="s">
        <v>107</v>
      </c>
      <c r="K78" s="83" t="n">
        <v>0</v>
      </c>
      <c r="L78" s="36"/>
      <c r="M78" s="36"/>
      <c r="N78" s="27"/>
      <c r="O78" s="27"/>
      <c r="P78" s="27"/>
      <c r="Q78" s="37"/>
      <c r="S78" s="82" t="s">
        <v>107</v>
      </c>
      <c r="T78" s="83" t="n">
        <v>0</v>
      </c>
      <c r="U78" s="36"/>
      <c r="V78" s="36"/>
      <c r="W78" s="27"/>
      <c r="X78" s="27"/>
      <c r="Y78" s="27"/>
      <c r="Z78" s="37"/>
      <c r="AB78" s="82" t="s">
        <v>107</v>
      </c>
      <c r="AC78" s="83" t="n"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84" t="s">
        <v>108</v>
      </c>
      <c r="B79" s="85" t="n">
        <v>0</v>
      </c>
      <c r="C79" s="36"/>
      <c r="D79" s="36"/>
      <c r="E79" s="27"/>
      <c r="F79" s="27"/>
      <c r="G79" s="27"/>
      <c r="H79" s="37"/>
      <c r="J79" s="84" t="s">
        <v>108</v>
      </c>
      <c r="K79" s="85" t="n">
        <v>0</v>
      </c>
      <c r="L79" s="36"/>
      <c r="M79" s="36"/>
      <c r="N79" s="27"/>
      <c r="O79" s="27"/>
      <c r="P79" s="27"/>
      <c r="Q79" s="37"/>
      <c r="S79" s="84" t="s">
        <v>108</v>
      </c>
      <c r="T79" s="85" t="n">
        <v>0</v>
      </c>
      <c r="U79" s="36"/>
      <c r="V79" s="36"/>
      <c r="W79" s="27"/>
      <c r="X79" s="27"/>
      <c r="Y79" s="27"/>
      <c r="Z79" s="37"/>
      <c r="AB79" s="84" t="s">
        <v>108</v>
      </c>
      <c r="AC79" s="85" t="n">
        <v>0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60" t="s">
        <v>109</v>
      </c>
      <c r="B80" s="89" t="n">
        <f aca="false">B78*(1+B79)</f>
        <v>0</v>
      </c>
      <c r="C80" s="36"/>
      <c r="D80" s="36"/>
      <c r="E80" s="27"/>
      <c r="F80" s="27"/>
      <c r="G80" s="27"/>
      <c r="H80" s="37"/>
      <c r="J80" s="60" t="s">
        <v>109</v>
      </c>
      <c r="K80" s="89" t="n">
        <f aca="false">K78*(1+K79)</f>
        <v>0</v>
      </c>
      <c r="L80" s="36"/>
      <c r="M80" s="36"/>
      <c r="N80" s="27"/>
      <c r="O80" s="27"/>
      <c r="P80" s="27"/>
      <c r="Q80" s="37"/>
      <c r="S80" s="60" t="s">
        <v>109</v>
      </c>
      <c r="T80" s="89" t="n">
        <f aca="false">T78*(1+T79)</f>
        <v>0</v>
      </c>
      <c r="U80" s="36"/>
      <c r="V80" s="36"/>
      <c r="W80" s="27"/>
      <c r="X80" s="27"/>
      <c r="Y80" s="27"/>
      <c r="Z80" s="37"/>
      <c r="AB80" s="60" t="s">
        <v>109</v>
      </c>
      <c r="AC80" s="89" t="n">
        <f aca="false">AC78*(1+AC79)</f>
        <v>0</v>
      </c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82" t="s">
        <v>110</v>
      </c>
      <c r="B81" s="90" t="n">
        <v>0</v>
      </c>
      <c r="C81" s="36"/>
      <c r="D81" s="36"/>
      <c r="E81" s="27"/>
      <c r="F81" s="27"/>
      <c r="G81" s="27"/>
      <c r="H81" s="37"/>
      <c r="J81" s="82" t="s">
        <v>110</v>
      </c>
      <c r="K81" s="90" t="n">
        <v>0</v>
      </c>
      <c r="L81" s="36"/>
      <c r="M81" s="36"/>
      <c r="N81" s="27"/>
      <c r="O81" s="27"/>
      <c r="P81" s="27"/>
      <c r="Q81" s="37"/>
      <c r="S81" s="82" t="s">
        <v>110</v>
      </c>
      <c r="T81" s="90" t="n">
        <v>0</v>
      </c>
      <c r="U81" s="36"/>
      <c r="V81" s="36"/>
      <c r="W81" s="27"/>
      <c r="X81" s="27"/>
      <c r="Y81" s="27"/>
      <c r="Z81" s="37"/>
      <c r="AB81" s="82" t="s">
        <v>110</v>
      </c>
      <c r="AC81" s="90" t="n">
        <v>0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84" t="s">
        <v>111</v>
      </c>
      <c r="B82" s="81" t="n">
        <v>0</v>
      </c>
      <c r="C82" s="36"/>
      <c r="D82" s="36"/>
      <c r="E82" s="27"/>
      <c r="F82" s="27"/>
      <c r="G82" s="27"/>
      <c r="H82" s="37"/>
      <c r="J82" s="84" t="s">
        <v>111</v>
      </c>
      <c r="K82" s="81" t="n">
        <v>0</v>
      </c>
      <c r="L82" s="36"/>
      <c r="M82" s="36"/>
      <c r="N82" s="27"/>
      <c r="O82" s="27"/>
      <c r="P82" s="27"/>
      <c r="Q82" s="37"/>
      <c r="S82" s="84" t="s">
        <v>111</v>
      </c>
      <c r="T82" s="81" t="n">
        <v>0</v>
      </c>
      <c r="U82" s="36"/>
      <c r="V82" s="36"/>
      <c r="W82" s="27"/>
      <c r="X82" s="27"/>
      <c r="Y82" s="27"/>
      <c r="Z82" s="37"/>
      <c r="AB82" s="84" t="s">
        <v>111</v>
      </c>
      <c r="AC82" s="81" t="n"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60" t="s">
        <v>112</v>
      </c>
      <c r="B83" s="69" t="n">
        <f aca="false">B82*K29</f>
        <v>0</v>
      </c>
      <c r="C83" s="36"/>
      <c r="D83" s="36" t="n">
        <f aca="false">B83+B81</f>
        <v>0</v>
      </c>
      <c r="E83" s="27"/>
      <c r="F83" s="27"/>
      <c r="G83" s="27"/>
      <c r="H83" s="37"/>
      <c r="J83" s="60" t="s">
        <v>112</v>
      </c>
      <c r="K83" s="69" t="n">
        <f aca="false">K82*K29</f>
        <v>0</v>
      </c>
      <c r="L83" s="36"/>
      <c r="M83" s="36" t="n">
        <f aca="false">K83+K81</f>
        <v>0</v>
      </c>
      <c r="N83" s="27"/>
      <c r="O83" s="27"/>
      <c r="P83" s="27"/>
      <c r="Q83" s="37"/>
      <c r="S83" s="60" t="s">
        <v>112</v>
      </c>
      <c r="T83" s="69" t="n">
        <f aca="false">T82*K29</f>
        <v>0</v>
      </c>
      <c r="U83" s="36"/>
      <c r="V83" s="36" t="n">
        <f aca="false">T83+T81</f>
        <v>0</v>
      </c>
      <c r="W83" s="27"/>
      <c r="X83" s="27"/>
      <c r="Y83" s="27"/>
      <c r="Z83" s="37"/>
      <c r="AB83" s="60" t="s">
        <v>112</v>
      </c>
      <c r="AC83" s="69" t="n">
        <f aca="false">AC82*K29</f>
        <v>0</v>
      </c>
      <c r="AD83" s="36"/>
      <c r="AE83" s="36" t="n">
        <f aca="false">AC83+AC81</f>
        <v>0</v>
      </c>
      <c r="AF83" s="27"/>
      <c r="AG83" s="27"/>
      <c r="AH83" s="27"/>
      <c r="AI83" s="37"/>
    </row>
    <row r="84" customFormat="false" ht="18.75" hidden="false" customHeight="false" outlineLevel="0" collapsed="false">
      <c r="A84" s="84" t="s">
        <v>113</v>
      </c>
      <c r="B84" s="81" t="n">
        <v>0</v>
      </c>
      <c r="C84" s="36"/>
      <c r="D84" s="36" t="n">
        <f aca="false">B84</f>
        <v>0</v>
      </c>
      <c r="E84" s="27"/>
      <c r="F84" s="27"/>
      <c r="G84" s="27"/>
      <c r="H84" s="37"/>
      <c r="J84" s="84" t="s">
        <v>113</v>
      </c>
      <c r="K84" s="81" t="n">
        <v>0</v>
      </c>
      <c r="L84" s="36"/>
      <c r="M84" s="36" t="n">
        <f aca="false">K84</f>
        <v>0</v>
      </c>
      <c r="N84" s="27"/>
      <c r="O84" s="27"/>
      <c r="P84" s="27"/>
      <c r="Q84" s="37"/>
      <c r="S84" s="84" t="s">
        <v>113</v>
      </c>
      <c r="T84" s="81" t="n">
        <v>0</v>
      </c>
      <c r="U84" s="36"/>
      <c r="V84" s="36" t="n">
        <f aca="false">T84</f>
        <v>0</v>
      </c>
      <c r="W84" s="27"/>
      <c r="X84" s="27"/>
      <c r="Y84" s="27"/>
      <c r="Z84" s="37"/>
      <c r="AB84" s="84" t="s">
        <v>113</v>
      </c>
      <c r="AC84" s="81" t="n">
        <v>0</v>
      </c>
      <c r="AD84" s="36"/>
      <c r="AE84" s="36" t="n">
        <f aca="false">AC84</f>
        <v>0</v>
      </c>
      <c r="AF84" s="27"/>
      <c r="AG84" s="27"/>
      <c r="AH84" s="27"/>
      <c r="AI84" s="37"/>
    </row>
    <row r="85" customFormat="false" ht="18.75" hidden="false" customHeight="false" outlineLevel="0" collapsed="false">
      <c r="A85" s="86" t="s">
        <v>114</v>
      </c>
      <c r="B85" s="91" t="n">
        <v>0</v>
      </c>
      <c r="C85" s="36"/>
      <c r="D85" s="36" t="n">
        <f aca="false">B85</f>
        <v>0</v>
      </c>
      <c r="E85" s="27"/>
      <c r="F85" s="36"/>
      <c r="G85" s="27"/>
      <c r="H85" s="37"/>
      <c r="J85" s="86" t="s">
        <v>114</v>
      </c>
      <c r="K85" s="91" t="n">
        <v>0</v>
      </c>
      <c r="L85" s="36"/>
      <c r="M85" s="36" t="n">
        <f aca="false">K85</f>
        <v>0</v>
      </c>
      <c r="N85" s="27"/>
      <c r="O85" s="27"/>
      <c r="P85" s="27"/>
      <c r="Q85" s="37"/>
      <c r="S85" s="86" t="s">
        <v>114</v>
      </c>
      <c r="T85" s="91" t="n">
        <v>0</v>
      </c>
      <c r="U85" s="36"/>
      <c r="V85" s="36" t="n">
        <f aca="false">T85</f>
        <v>0</v>
      </c>
      <c r="W85" s="27"/>
      <c r="X85" s="27"/>
      <c r="Y85" s="27"/>
      <c r="Z85" s="37"/>
      <c r="AB85" s="86" t="s">
        <v>114</v>
      </c>
      <c r="AC85" s="91" t="n">
        <v>0</v>
      </c>
      <c r="AD85" s="36"/>
      <c r="AE85" s="36" t="n">
        <f aca="false">AC85</f>
        <v>0</v>
      </c>
      <c r="AF85" s="27"/>
      <c r="AG85" s="27"/>
      <c r="AH85" s="27"/>
      <c r="AI85" s="37"/>
    </row>
    <row r="86" customFormat="false" ht="18.75" hidden="false" customHeight="false" outlineLevel="0" collapsed="false">
      <c r="A86" s="92" t="s">
        <v>115</v>
      </c>
      <c r="B86" s="93" t="n">
        <f aca="false">SUM(D74:D85)</f>
        <v>0</v>
      </c>
      <c r="C86" s="36"/>
      <c r="D86" s="36"/>
      <c r="E86" s="27"/>
      <c r="F86" s="36"/>
      <c r="G86" s="36"/>
      <c r="H86" s="37"/>
      <c r="J86" s="92" t="s">
        <v>115</v>
      </c>
      <c r="K86" s="93" t="n">
        <f aca="false">SUM(M74:M85)</f>
        <v>0</v>
      </c>
      <c r="L86" s="36"/>
      <c r="M86" s="36"/>
      <c r="N86" s="27"/>
      <c r="O86" s="27"/>
      <c r="P86" s="27"/>
      <c r="Q86" s="37"/>
      <c r="S86" s="92" t="s">
        <v>115</v>
      </c>
      <c r="T86" s="93" t="n">
        <f aca="false">SUM(V74:V85)</f>
        <v>0</v>
      </c>
      <c r="U86" s="36"/>
      <c r="V86" s="36"/>
      <c r="W86" s="27"/>
      <c r="X86" s="27"/>
      <c r="Y86" s="27"/>
      <c r="Z86" s="37"/>
      <c r="AB86" s="92" t="s">
        <v>115</v>
      </c>
      <c r="AC86" s="93" t="n">
        <f aca="false">SUM(AE74:AE85)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116</v>
      </c>
      <c r="B87" s="37" t="n">
        <f aca="false">B86/K29</f>
        <v>0</v>
      </c>
      <c r="C87" s="36"/>
      <c r="D87" s="36"/>
      <c r="E87" s="27"/>
      <c r="F87" s="27"/>
      <c r="G87" s="27"/>
      <c r="H87" s="37"/>
      <c r="J87" s="35" t="s">
        <v>116</v>
      </c>
      <c r="K87" s="37" t="n">
        <f aca="false">K86/K29</f>
        <v>0</v>
      </c>
      <c r="L87" s="36"/>
      <c r="M87" s="36"/>
      <c r="N87" s="27"/>
      <c r="O87" s="27"/>
      <c r="P87" s="27"/>
      <c r="Q87" s="37"/>
      <c r="S87" s="35" t="s">
        <v>116</v>
      </c>
      <c r="T87" s="37" t="n">
        <f aca="false">T86/K29</f>
        <v>0</v>
      </c>
      <c r="U87" s="36"/>
      <c r="V87" s="36"/>
      <c r="W87" s="27"/>
      <c r="X87" s="27"/>
      <c r="Y87" s="27"/>
      <c r="Z87" s="37"/>
      <c r="AB87" s="35" t="s">
        <v>116</v>
      </c>
      <c r="AC87" s="37" t="n">
        <f aca="false">AC86/K29</f>
        <v>0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94" t="s">
        <v>117</v>
      </c>
      <c r="B88" s="63" t="n">
        <f aca="false">K49</f>
        <v>294.333333333333</v>
      </c>
      <c r="C88" s="36"/>
      <c r="D88" s="36"/>
      <c r="E88" s="27"/>
      <c r="F88" s="27"/>
      <c r="G88" s="27"/>
      <c r="H88" s="37"/>
      <c r="J88" s="94" t="s">
        <v>117</v>
      </c>
      <c r="K88" s="63" t="n">
        <f aca="false">K47</f>
        <v>1</v>
      </c>
      <c r="L88" s="36"/>
      <c r="M88" s="36"/>
      <c r="N88" s="27"/>
      <c r="O88" s="27"/>
      <c r="P88" s="27"/>
      <c r="Q88" s="37"/>
      <c r="S88" s="94" t="s">
        <v>117</v>
      </c>
      <c r="T88" s="63" t="n">
        <f aca="false">B60</f>
        <v>294.333333333333</v>
      </c>
      <c r="U88" s="36"/>
      <c r="V88" s="36"/>
      <c r="W88" s="27"/>
      <c r="X88" s="27"/>
      <c r="Y88" s="27"/>
      <c r="Z88" s="37"/>
      <c r="AB88" s="94" t="s">
        <v>117</v>
      </c>
      <c r="AC88" s="63" t="n">
        <f aca="false">B60</f>
        <v>294.333333333333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/>
      <c r="B89" s="36"/>
      <c r="C89" s="36"/>
      <c r="D89" s="36"/>
      <c r="E89" s="27"/>
      <c r="F89" s="27"/>
      <c r="G89" s="27"/>
      <c r="H89" s="37"/>
      <c r="J89" s="35"/>
      <c r="K89" s="36"/>
      <c r="L89" s="36"/>
      <c r="M89" s="36"/>
      <c r="N89" s="27"/>
      <c r="O89" s="27"/>
      <c r="P89" s="27"/>
      <c r="Q89" s="37"/>
      <c r="S89" s="35"/>
      <c r="T89" s="36"/>
      <c r="U89" s="36"/>
      <c r="V89" s="36"/>
      <c r="W89" s="27"/>
      <c r="X89" s="27"/>
      <c r="Y89" s="27"/>
      <c r="Z89" s="37"/>
      <c r="AB89" s="35"/>
      <c r="AC89" s="36"/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29" t="s">
        <v>118</v>
      </c>
      <c r="B90" s="31" t="n">
        <f aca="false">F37</f>
        <v>20000</v>
      </c>
      <c r="C90" s="36"/>
      <c r="D90" s="36"/>
      <c r="E90" s="27"/>
      <c r="F90" s="29" t="s">
        <v>118</v>
      </c>
      <c r="G90" s="31" t="n">
        <f aca="false">F37</f>
        <v>20000</v>
      </c>
      <c r="H90" s="37"/>
      <c r="J90" s="29" t="s">
        <v>118</v>
      </c>
      <c r="K90" s="31" t="e">
        <f aca="false">P167</f>
        <v>#VALUE!</v>
      </c>
      <c r="L90" s="36"/>
      <c r="M90" s="36"/>
      <c r="N90" s="27"/>
      <c r="O90" s="27"/>
      <c r="P90" s="27"/>
      <c r="Q90" s="37"/>
      <c r="S90" s="29" t="s">
        <v>118</v>
      </c>
      <c r="T90" s="31" t="e">
        <f aca="false">Y167</f>
        <v>#VALUE!</v>
      </c>
      <c r="U90" s="36"/>
      <c r="V90" s="36"/>
      <c r="W90" s="27"/>
      <c r="X90" s="27"/>
      <c r="Y90" s="27"/>
      <c r="Z90" s="37"/>
      <c r="AB90" s="29" t="s">
        <v>118</v>
      </c>
      <c r="AC90" s="31" t="e">
        <f aca="false">AH167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119</v>
      </c>
      <c r="B91" s="37" t="n">
        <f aca="false">IF(A111="YES",A43,0)</f>
        <v>6000</v>
      </c>
      <c r="C91" s="36"/>
      <c r="D91" s="36"/>
      <c r="E91" s="27"/>
      <c r="F91" s="35" t="s">
        <v>119</v>
      </c>
      <c r="G91" s="37" t="n">
        <f aca="false">IF(A111="YES",A43,0)</f>
        <v>6000</v>
      </c>
      <c r="H91" s="37"/>
      <c r="J91" s="35" t="s">
        <v>119</v>
      </c>
      <c r="K91" s="37" t="n">
        <f aca="false">IF(J120="YES",A40,0)</f>
        <v>0</v>
      </c>
      <c r="L91" s="36"/>
      <c r="M91" s="36"/>
      <c r="N91" s="27"/>
      <c r="O91" s="27"/>
      <c r="P91" s="27"/>
      <c r="Q91" s="37"/>
      <c r="S91" s="35" t="s">
        <v>119</v>
      </c>
      <c r="T91" s="37" t="str">
        <f aca="false">A40</f>
        <v>12</v>
      </c>
      <c r="U91" s="36"/>
      <c r="V91" s="36"/>
      <c r="W91" s="27"/>
      <c r="X91" s="27"/>
      <c r="Y91" s="27"/>
      <c r="Z91" s="37"/>
      <c r="AB91" s="35" t="s">
        <v>119</v>
      </c>
      <c r="AC91" s="37" t="str">
        <f aca="false">A40</f>
        <v>12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35" t="s">
        <v>120</v>
      </c>
      <c r="B92" s="88" t="n">
        <f aca="false">B71+B72+B73</f>
        <v>0.1255</v>
      </c>
      <c r="C92" s="36"/>
      <c r="D92" s="36"/>
      <c r="E92" s="27"/>
      <c r="F92" s="35" t="s">
        <v>120</v>
      </c>
      <c r="G92" s="95" t="n">
        <f aca="false">B72</f>
        <v>0.065</v>
      </c>
      <c r="H92" s="37"/>
      <c r="J92" s="35" t="s">
        <v>120</v>
      </c>
      <c r="K92" s="88" t="n">
        <f aca="false">K71+K72+K73</f>
        <v>0.24</v>
      </c>
      <c r="L92" s="36"/>
      <c r="M92" s="36"/>
      <c r="N92" s="27"/>
      <c r="O92" s="27"/>
      <c r="P92" s="27"/>
      <c r="Q92" s="37"/>
      <c r="S92" s="35" t="s">
        <v>120</v>
      </c>
      <c r="T92" s="88" t="n">
        <f aca="false">T71+T72+T73</f>
        <v>0.1235</v>
      </c>
      <c r="U92" s="36"/>
      <c r="V92" s="36"/>
      <c r="W92" s="27"/>
      <c r="X92" s="27"/>
      <c r="Y92" s="27"/>
      <c r="Z92" s="37"/>
      <c r="AB92" s="35" t="s">
        <v>120</v>
      </c>
      <c r="AC92" s="88" t="n">
        <f aca="false">AC71+AC72+AC73</f>
        <v>0.1235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 t="s">
        <v>121</v>
      </c>
      <c r="B93" s="88" t="n">
        <f aca="false">B92/12</f>
        <v>0.0104583333333333</v>
      </c>
      <c r="C93" s="36"/>
      <c r="D93" s="36"/>
      <c r="E93" s="27"/>
      <c r="F93" s="35" t="s">
        <v>121</v>
      </c>
      <c r="G93" s="88" t="n">
        <f aca="false">G92/12</f>
        <v>0.00541666666666667</v>
      </c>
      <c r="H93" s="37"/>
      <c r="J93" s="35" t="s">
        <v>121</v>
      </c>
      <c r="K93" s="88" t="n">
        <f aca="false">K92/12</f>
        <v>0.02</v>
      </c>
      <c r="L93" s="36"/>
      <c r="M93" s="36"/>
      <c r="N93" s="27"/>
      <c r="O93" s="27"/>
      <c r="P93" s="27"/>
      <c r="Q93" s="37"/>
      <c r="S93" s="35" t="s">
        <v>121</v>
      </c>
      <c r="T93" s="88" t="n">
        <f aca="false">T92/12</f>
        <v>0.0102916666666667</v>
      </c>
      <c r="U93" s="36"/>
      <c r="V93" s="36"/>
      <c r="W93" s="27"/>
      <c r="X93" s="27"/>
      <c r="Y93" s="27"/>
      <c r="Z93" s="37"/>
      <c r="AB93" s="35" t="s">
        <v>121</v>
      </c>
      <c r="AC93" s="88" t="n">
        <f aca="false">AC92/12</f>
        <v>0.0102916666666667</v>
      </c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35" t="s">
        <v>122</v>
      </c>
      <c r="B94" s="37" t="n">
        <f aca="false">IF(B91=0,(B68+B67),(B68))</f>
        <v>11</v>
      </c>
      <c r="C94" s="36"/>
      <c r="D94" s="36"/>
      <c r="E94" s="27"/>
      <c r="F94" s="35" t="s">
        <v>122</v>
      </c>
      <c r="G94" s="37" t="n">
        <f aca="false">IF(G91=0,(B68+B67),(B68))</f>
        <v>11</v>
      </c>
      <c r="H94" s="37"/>
      <c r="J94" s="35" t="s">
        <v>122</v>
      </c>
      <c r="K94" s="37" t="n">
        <f aca="false">IF(K91=0,(K68+K67),(K68))</f>
        <v>12</v>
      </c>
      <c r="L94" s="36"/>
      <c r="M94" s="36"/>
      <c r="N94" s="27"/>
      <c r="O94" s="27"/>
      <c r="P94" s="27"/>
      <c r="Q94" s="37"/>
      <c r="S94" s="35" t="s">
        <v>122</v>
      </c>
      <c r="T94" s="37" t="n">
        <f aca="false">T68</f>
        <v>11</v>
      </c>
      <c r="U94" s="36"/>
      <c r="V94" s="36"/>
      <c r="W94" s="27"/>
      <c r="X94" s="27"/>
      <c r="Y94" s="27"/>
      <c r="Z94" s="37"/>
      <c r="AB94" s="35" t="s">
        <v>122</v>
      </c>
      <c r="AC94" s="37" t="n">
        <f aca="false">AC68</f>
        <v>11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35" t="s">
        <v>123</v>
      </c>
      <c r="B95" s="37" t="n">
        <f aca="false">(B91/((1+B93)^(B94+1)))</f>
        <v>5295.78483323301</v>
      </c>
      <c r="C95" s="36"/>
      <c r="D95" s="36"/>
      <c r="E95" s="27"/>
      <c r="F95" s="35" t="s">
        <v>123</v>
      </c>
      <c r="G95" s="37" t="n">
        <f aca="false">(G91/((1+G93)^(G94+1)))</f>
        <v>5623.39108453416</v>
      </c>
      <c r="H95" s="37"/>
      <c r="J95" s="35" t="s">
        <v>123</v>
      </c>
      <c r="K95" s="37" t="n">
        <f aca="false">(K91/((1+K93)^(K94+1)))</f>
        <v>0</v>
      </c>
      <c r="L95" s="36"/>
      <c r="M95" s="36"/>
      <c r="N95" s="27"/>
      <c r="O95" s="27"/>
      <c r="P95" s="27"/>
      <c r="Q95" s="37"/>
      <c r="S95" s="35" t="s">
        <v>123</v>
      </c>
      <c r="T95" s="37" t="n">
        <f aca="false">(T91/((1+T93)^(T94+1)))</f>
        <v>10.6125560515631</v>
      </c>
      <c r="U95" s="36"/>
      <c r="V95" s="36"/>
      <c r="W95" s="27"/>
      <c r="X95" s="27"/>
      <c r="Y95" s="27"/>
      <c r="Z95" s="37"/>
      <c r="AB95" s="35" t="s">
        <v>123</v>
      </c>
      <c r="AC95" s="37" t="n">
        <f aca="false">(AC91/((1+AC93)^(AC94+1)))</f>
        <v>10.6125560515631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35" t="s">
        <v>124</v>
      </c>
      <c r="B96" s="37" t="n">
        <f aca="false">((1-(1/((1+B93)^B94)))/B93)</f>
        <v>10.3399216528992</v>
      </c>
      <c r="C96" s="36"/>
      <c r="D96" s="36"/>
      <c r="E96" s="27"/>
      <c r="F96" s="35" t="s">
        <v>124</v>
      </c>
      <c r="G96" s="37" t="n">
        <f aca="false">((1-(1/((1+G93)^G94)))/G93)</f>
        <v>10.6507347822959</v>
      </c>
      <c r="H96" s="37"/>
      <c r="J96" s="35" t="s">
        <v>124</v>
      </c>
      <c r="K96" s="37" t="n">
        <f aca="false">((1-(1/((1+K93)^K94)))/K93)</f>
        <v>10.5753412209172</v>
      </c>
      <c r="L96" s="36"/>
      <c r="M96" s="36"/>
      <c r="N96" s="27"/>
      <c r="O96" s="27"/>
      <c r="P96" s="27"/>
      <c r="Q96" s="37"/>
      <c r="S96" s="35" t="s">
        <v>124</v>
      </c>
      <c r="T96" s="37" t="n">
        <f aca="false">((1-(1/((1+T93)^T94)))/T93)</f>
        <v>10.3499842839909</v>
      </c>
      <c r="U96" s="36"/>
      <c r="V96" s="36"/>
      <c r="W96" s="27"/>
      <c r="X96" s="27"/>
      <c r="Y96" s="27"/>
      <c r="Z96" s="37"/>
      <c r="AB96" s="35" t="s">
        <v>124</v>
      </c>
      <c r="AC96" s="37" t="n">
        <f aca="false">((1-(1/((1+AC93)^AC94)))/AC93)</f>
        <v>10.3499842839909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35" t="s">
        <v>125</v>
      </c>
      <c r="B97" s="37" t="n">
        <f aca="false">B90-B95</f>
        <v>14704.215166767</v>
      </c>
      <c r="C97" s="36"/>
      <c r="D97" s="36"/>
      <c r="E97" s="27"/>
      <c r="F97" s="35" t="s">
        <v>125</v>
      </c>
      <c r="G97" s="37" t="n">
        <f aca="false">G90-G95</f>
        <v>14376.6089154658</v>
      </c>
      <c r="H97" s="37"/>
      <c r="J97" s="35" t="s">
        <v>125</v>
      </c>
      <c r="K97" s="37" t="e">
        <f aca="false">K90-K95</f>
        <v>#VALUE!</v>
      </c>
      <c r="L97" s="36"/>
      <c r="M97" s="36"/>
      <c r="N97" s="27"/>
      <c r="O97" s="27"/>
      <c r="P97" s="27"/>
      <c r="Q97" s="37"/>
      <c r="S97" s="35" t="s">
        <v>125</v>
      </c>
      <c r="T97" s="37" t="e">
        <f aca="false">T90-T95</f>
        <v>#VALUE!</v>
      </c>
      <c r="U97" s="36"/>
      <c r="V97" s="36"/>
      <c r="W97" s="27"/>
      <c r="X97" s="27"/>
      <c r="Y97" s="27"/>
      <c r="Z97" s="37"/>
      <c r="AB97" s="35" t="s">
        <v>125</v>
      </c>
      <c r="AC97" s="37" t="e">
        <f aca="false">AC90-AC95</f>
        <v>#VALUE!</v>
      </c>
      <c r="AD97" s="36"/>
      <c r="AE97" s="36"/>
      <c r="AF97" s="27"/>
      <c r="AG97" s="27"/>
      <c r="AH97" s="27"/>
      <c r="AI97" s="37"/>
    </row>
    <row r="98" customFormat="false" ht="18.75" hidden="false" customHeight="false" outlineLevel="0" collapsed="false">
      <c r="A98" s="35" t="s">
        <v>126</v>
      </c>
      <c r="B98" s="37" t="n">
        <f aca="false">(B97/B96)</f>
        <v>1422.08187454149</v>
      </c>
      <c r="C98" s="36"/>
      <c r="D98" s="36"/>
      <c r="E98" s="27"/>
      <c r="F98" s="35" t="s">
        <v>126</v>
      </c>
      <c r="G98" s="37" t="n">
        <f aca="false">(G97/G96)</f>
        <v>1349.82320087092</v>
      </c>
      <c r="H98" s="37"/>
      <c r="J98" s="35" t="s">
        <v>126</v>
      </c>
      <c r="K98" s="37" t="e">
        <f aca="false">(K97/K96)</f>
        <v>#VALUE!</v>
      </c>
      <c r="L98" s="36"/>
      <c r="M98" s="36"/>
      <c r="N98" s="27"/>
      <c r="O98" s="27"/>
      <c r="P98" s="27"/>
      <c r="Q98" s="37"/>
      <c r="S98" s="35" t="s">
        <v>126</v>
      </c>
      <c r="T98" s="37" t="e">
        <f aca="false">(T97/T96)</f>
        <v>#VALUE!</v>
      </c>
      <c r="U98" s="36"/>
      <c r="V98" s="36"/>
      <c r="W98" s="27"/>
      <c r="X98" s="27"/>
      <c r="Y98" s="27"/>
      <c r="Z98" s="37"/>
      <c r="AB98" s="35" t="s">
        <v>126</v>
      </c>
      <c r="AC98" s="37" t="e">
        <f aca="false">(AC97/AC96)</f>
        <v>#VALUE!</v>
      </c>
      <c r="AD98" s="36"/>
      <c r="AE98" s="36"/>
      <c r="AF98" s="27"/>
      <c r="AG98" s="27"/>
      <c r="AH98" s="27"/>
      <c r="AI98" s="37"/>
    </row>
    <row r="99" customFormat="false" ht="18.75" hidden="false" customHeight="false" outlineLevel="0" collapsed="false">
      <c r="A99" s="35" t="s">
        <v>127</v>
      </c>
      <c r="B99" s="37" t="n">
        <f aca="false">((B98*(B94))+B86)</f>
        <v>15642.9006199563</v>
      </c>
      <c r="C99" s="36"/>
      <c r="D99" s="36"/>
      <c r="E99" s="27"/>
      <c r="F99" s="35" t="s">
        <v>127</v>
      </c>
      <c r="G99" s="37" t="n">
        <f aca="false">((G98*(G94))+G86)</f>
        <v>14848.0552095801</v>
      </c>
      <c r="H99" s="37"/>
      <c r="J99" s="35" t="s">
        <v>127</v>
      </c>
      <c r="K99" s="37" t="e">
        <f aca="false">((K98*(K94))+K86)</f>
        <v>#VALUE!</v>
      </c>
      <c r="L99" s="36"/>
      <c r="M99" s="36"/>
      <c r="N99" s="27"/>
      <c r="O99" s="27"/>
      <c r="P99" s="27"/>
      <c r="Q99" s="37"/>
      <c r="S99" s="35" t="s">
        <v>127</v>
      </c>
      <c r="T99" s="37" t="e">
        <f aca="false">(T98*(T94))+T86</f>
        <v>#VALUE!</v>
      </c>
      <c r="U99" s="36"/>
      <c r="V99" s="36"/>
      <c r="W99" s="27"/>
      <c r="X99" s="27"/>
      <c r="Y99" s="27"/>
      <c r="Z99" s="37"/>
      <c r="AB99" s="35" t="s">
        <v>127</v>
      </c>
      <c r="AC99" s="37" t="e">
        <f aca="false">(AC98*(AC68))+AC86</f>
        <v>#VALUE!</v>
      </c>
      <c r="AD99" s="36"/>
      <c r="AE99" s="36"/>
      <c r="AF99" s="27"/>
      <c r="AG99" s="27"/>
      <c r="AH99" s="27"/>
      <c r="AI99" s="37"/>
    </row>
    <row r="100" customFormat="false" ht="18.75" hidden="false" customHeight="false" outlineLevel="0" collapsed="false">
      <c r="A100" s="35" t="s">
        <v>128</v>
      </c>
      <c r="B100" s="37" t="n">
        <f aca="false">(((B98*(B94))+B86)/(1-B80))*B80</f>
        <v>0</v>
      </c>
      <c r="C100" s="36"/>
      <c r="D100" s="36"/>
      <c r="E100" s="27"/>
      <c r="F100" s="35" t="s">
        <v>128</v>
      </c>
      <c r="G100" s="37" t="n">
        <f aca="false">(((G98*(G94))+G86)/(1-G80))*G80</f>
        <v>0</v>
      </c>
      <c r="H100" s="37"/>
      <c r="J100" s="35" t="s">
        <v>128</v>
      </c>
      <c r="K100" s="37" t="e">
        <f aca="false">(K99/(1-K80))*K80</f>
        <v>#VALUE!</v>
      </c>
      <c r="L100" s="36"/>
      <c r="M100" s="36"/>
      <c r="N100" s="27"/>
      <c r="O100" s="27"/>
      <c r="P100" s="27"/>
      <c r="Q100" s="37"/>
      <c r="S100" s="35" t="s">
        <v>128</v>
      </c>
      <c r="T100" s="37" t="e">
        <f aca="false">(T99/(1-T80))*T80</f>
        <v>#VALUE!</v>
      </c>
      <c r="U100" s="36"/>
      <c r="V100" s="36"/>
      <c r="W100" s="27"/>
      <c r="X100" s="27"/>
      <c r="Y100" s="27"/>
      <c r="Z100" s="37"/>
      <c r="AB100" s="35" t="s">
        <v>128</v>
      </c>
      <c r="AC100" s="37" t="e">
        <f aca="false">(AC99/(1-AC80))*AC80</f>
        <v>#VALUE!</v>
      </c>
      <c r="AD100" s="36"/>
      <c r="AE100" s="36"/>
      <c r="AF100" s="27"/>
      <c r="AG100" s="27"/>
      <c r="AH100" s="27"/>
      <c r="AI100" s="37"/>
    </row>
    <row r="101" customFormat="false" ht="18.75" hidden="false" customHeight="false" outlineLevel="0" collapsed="false">
      <c r="A101" s="60" t="s">
        <v>129</v>
      </c>
      <c r="B101" s="69" t="n">
        <f aca="false">(B99+B100)</f>
        <v>15642.9006199563</v>
      </c>
      <c r="C101" s="36"/>
      <c r="D101" s="36"/>
      <c r="E101" s="27"/>
      <c r="F101" s="60" t="s">
        <v>129</v>
      </c>
      <c r="G101" s="69" t="n">
        <f aca="false">(G99+G100)</f>
        <v>14848.0552095801</v>
      </c>
      <c r="H101" s="37"/>
      <c r="J101" s="60" t="s">
        <v>129</v>
      </c>
      <c r="K101" s="69" t="e">
        <f aca="false">(K99+K100)</f>
        <v>#VALUE!</v>
      </c>
      <c r="L101" s="36"/>
      <c r="M101" s="36"/>
      <c r="N101" s="27"/>
      <c r="O101" s="27"/>
      <c r="P101" s="27"/>
      <c r="Q101" s="37"/>
      <c r="S101" s="60" t="s">
        <v>129</v>
      </c>
      <c r="T101" s="69" t="e">
        <f aca="false">(T99+T100)</f>
        <v>#VALUE!</v>
      </c>
      <c r="U101" s="36"/>
      <c r="V101" s="36"/>
      <c r="W101" s="27"/>
      <c r="X101" s="27"/>
      <c r="Y101" s="27"/>
      <c r="Z101" s="37"/>
      <c r="AB101" s="60" t="s">
        <v>129</v>
      </c>
      <c r="AC101" s="69" t="e">
        <f aca="false">(AC99+AC100)</f>
        <v>#VALUE!</v>
      </c>
      <c r="AD101" s="36"/>
      <c r="AE101" s="36"/>
      <c r="AF101" s="27"/>
      <c r="AG101" s="27"/>
      <c r="AH101" s="27"/>
      <c r="AI101" s="37"/>
    </row>
    <row r="102" customFormat="false" ht="18.75" hidden="false" customHeight="false" outlineLevel="0" collapsed="false">
      <c r="A102" s="35"/>
      <c r="B102" s="36"/>
      <c r="C102" s="36"/>
      <c r="D102" s="36"/>
      <c r="E102" s="27"/>
      <c r="F102" s="35"/>
      <c r="G102" s="36"/>
      <c r="H102" s="37"/>
      <c r="J102" s="35"/>
      <c r="K102" s="36"/>
      <c r="L102" s="36"/>
      <c r="M102" s="36"/>
      <c r="N102" s="27"/>
      <c r="O102" s="27"/>
      <c r="P102" s="27"/>
      <c r="Q102" s="37"/>
      <c r="S102" s="35"/>
      <c r="T102" s="36"/>
      <c r="U102" s="36"/>
      <c r="V102" s="36"/>
      <c r="W102" s="27"/>
      <c r="X102" s="27"/>
      <c r="Y102" s="27"/>
      <c r="Z102" s="37"/>
      <c r="AB102" s="35"/>
      <c r="AC102" s="36"/>
      <c r="AD102" s="36"/>
      <c r="AE102" s="36"/>
      <c r="AF102" s="27"/>
      <c r="AG102" s="27"/>
      <c r="AH102" s="27"/>
      <c r="AI102" s="37"/>
    </row>
    <row r="103" customFormat="false" ht="18.75" hidden="false" customHeight="false" outlineLevel="0" collapsed="false">
      <c r="A103" s="92" t="s">
        <v>130</v>
      </c>
      <c r="B103" s="93" t="n">
        <f aca="false">((A46*A34)+((A46*A34)*A117))/(B68)</f>
        <v>0</v>
      </c>
      <c r="C103" s="36"/>
      <c r="D103" s="36"/>
      <c r="E103" s="27"/>
      <c r="F103" s="92" t="s">
        <v>130</v>
      </c>
      <c r="G103" s="96" t="str">
        <f aca="false">IF(B35="YES",((E49/B94)*(1+A117)*(C54/100)),"0")</f>
        <v>0</v>
      </c>
      <c r="H103" s="37"/>
      <c r="J103" s="92" t="s">
        <v>130</v>
      </c>
      <c r="K103" s="93" t="n">
        <f aca="false">((E40/K94)*(1+J117))*1.2</f>
        <v>0</v>
      </c>
      <c r="L103" s="36"/>
      <c r="M103" s="36"/>
      <c r="N103" s="27"/>
      <c r="O103" s="27"/>
      <c r="P103" s="27"/>
      <c r="Q103" s="37"/>
      <c r="S103" s="92" t="s">
        <v>130</v>
      </c>
      <c r="T103" s="93" t="n">
        <f aca="false">((E40/T94)*(1+S117))</f>
        <v>0</v>
      </c>
      <c r="U103" s="36"/>
      <c r="V103" s="36"/>
      <c r="W103" s="27"/>
      <c r="X103" s="27"/>
      <c r="Y103" s="27"/>
      <c r="Z103" s="37"/>
      <c r="AB103" s="92" t="s">
        <v>130</v>
      </c>
      <c r="AC103" s="93" t="n">
        <f aca="false">((E40/AC94)*(1+AB117))*1.2</f>
        <v>0</v>
      </c>
      <c r="AD103" s="36"/>
      <c r="AE103" s="36"/>
      <c r="AF103" s="27"/>
      <c r="AG103" s="27"/>
      <c r="AH103" s="27"/>
      <c r="AI103" s="37"/>
    </row>
    <row r="104" customFormat="false" ht="18.75" hidden="false" customHeight="false" outlineLevel="0" collapsed="false">
      <c r="A104" s="97" t="s">
        <v>131</v>
      </c>
      <c r="B104" s="98" t="n">
        <f aca="false">B101/(B94)</f>
        <v>1422.08187454149</v>
      </c>
      <c r="C104" s="36"/>
      <c r="D104" s="36"/>
      <c r="E104" s="27"/>
      <c r="F104" s="97" t="s">
        <v>131</v>
      </c>
      <c r="G104" s="98" t="n">
        <f aca="false">G101/(G94)</f>
        <v>1349.82320087092</v>
      </c>
      <c r="H104" s="37"/>
      <c r="J104" s="97" t="s">
        <v>131</v>
      </c>
      <c r="K104" s="98" t="e">
        <f aca="false">K101/(K94)</f>
        <v>#VALUE!</v>
      </c>
      <c r="L104" s="36"/>
      <c r="M104" s="36"/>
      <c r="N104" s="27"/>
      <c r="O104" s="27"/>
      <c r="P104" s="27"/>
      <c r="Q104" s="37"/>
      <c r="S104" s="97" t="s">
        <v>131</v>
      </c>
      <c r="T104" s="98" t="e">
        <f aca="false">T101/(T94)</f>
        <v>#VALUE!</v>
      </c>
      <c r="U104" s="36"/>
      <c r="V104" s="36"/>
      <c r="W104" s="27"/>
      <c r="X104" s="27"/>
      <c r="Y104" s="27"/>
      <c r="Z104" s="37"/>
      <c r="AB104" s="97" t="s">
        <v>131</v>
      </c>
      <c r="AC104" s="98" t="e">
        <f aca="false">AC101/(AC68)</f>
        <v>#VALUE!</v>
      </c>
      <c r="AD104" s="36"/>
      <c r="AE104" s="36"/>
      <c r="AF104" s="27"/>
      <c r="AG104" s="27"/>
      <c r="AH104" s="27"/>
      <c r="AI104" s="37"/>
    </row>
    <row r="105" customFormat="false" ht="18.75" hidden="false" customHeight="false" outlineLevel="0" collapsed="false">
      <c r="A105" s="99" t="s">
        <v>132</v>
      </c>
      <c r="B105" s="100" t="n">
        <f aca="false">B103+B104</f>
        <v>1422.08187454149</v>
      </c>
      <c r="C105" s="36"/>
      <c r="D105" s="36"/>
      <c r="E105" s="27" t="s">
        <v>31</v>
      </c>
      <c r="F105" s="99" t="s">
        <v>132</v>
      </c>
      <c r="G105" s="100" t="n">
        <f aca="false">G103+G104</f>
        <v>1349.82320087092</v>
      </c>
      <c r="H105" s="37"/>
      <c r="J105" s="99" t="s">
        <v>132</v>
      </c>
      <c r="K105" s="100" t="e">
        <f aca="false">(K103+K104)</f>
        <v>#VALUE!</v>
      </c>
      <c r="L105" s="36"/>
      <c r="M105" s="36"/>
      <c r="N105" s="27"/>
      <c r="O105" s="27"/>
      <c r="P105" s="27"/>
      <c r="Q105" s="37"/>
      <c r="S105" s="99" t="s">
        <v>132</v>
      </c>
      <c r="T105" s="100" t="e">
        <f aca="false">T103+T104</f>
        <v>#VALUE!</v>
      </c>
      <c r="U105" s="36"/>
      <c r="V105" s="36"/>
      <c r="W105" s="27"/>
      <c r="X105" s="27"/>
      <c r="Y105" s="27"/>
      <c r="Z105" s="37"/>
      <c r="AB105" s="99" t="s">
        <v>132</v>
      </c>
      <c r="AC105" s="100" t="e">
        <f aca="false">AC103+AC104</f>
        <v>#VALUE!</v>
      </c>
      <c r="AD105" s="36"/>
      <c r="AE105" s="36"/>
      <c r="AF105" s="27"/>
      <c r="AG105" s="27"/>
      <c r="AH105" s="27"/>
      <c r="AI105" s="37"/>
    </row>
    <row r="106" customFormat="false" ht="18.75" hidden="false" customHeight="false" outlineLevel="0" collapsed="false">
      <c r="A106" s="60"/>
      <c r="B106" s="61"/>
      <c r="C106" s="61"/>
      <c r="D106" s="61"/>
      <c r="E106" s="101"/>
      <c r="F106" s="101"/>
      <c r="G106" s="101"/>
      <c r="H106" s="69"/>
      <c r="J106" s="60"/>
      <c r="K106" s="61"/>
      <c r="L106" s="61"/>
      <c r="M106" s="61"/>
      <c r="N106" s="101"/>
      <c r="O106" s="101"/>
      <c r="P106" s="101"/>
      <c r="Q106" s="69"/>
      <c r="S106" s="60"/>
      <c r="T106" s="61"/>
      <c r="U106" s="61"/>
      <c r="V106" s="61"/>
      <c r="W106" s="101"/>
      <c r="X106" s="101"/>
      <c r="Y106" s="101"/>
      <c r="Z106" s="69"/>
      <c r="AB106" s="60"/>
      <c r="AC106" s="61"/>
      <c r="AD106" s="61"/>
      <c r="AE106" s="61"/>
      <c r="AF106" s="101"/>
      <c r="AG106" s="101"/>
      <c r="AH106" s="101"/>
      <c r="AI106" s="69"/>
    </row>
    <row r="107" customFormat="false" ht="18.7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J107" s="27"/>
      <c r="K107" s="27"/>
      <c r="L107" s="27"/>
      <c r="M107" s="27"/>
      <c r="N107" s="27"/>
      <c r="O107" s="27"/>
      <c r="P107" s="27"/>
      <c r="Q107" s="27"/>
      <c r="S107" s="27"/>
      <c r="T107" s="27"/>
      <c r="U107" s="27"/>
      <c r="V107" s="27"/>
      <c r="W107" s="27"/>
      <c r="X107" s="27"/>
      <c r="Y107" s="27"/>
      <c r="Z107" s="27"/>
      <c r="AB107" s="27"/>
      <c r="AC107" s="27"/>
      <c r="AD107" s="27"/>
      <c r="AE107" s="27"/>
      <c r="AF107" s="27"/>
      <c r="AG107" s="27"/>
      <c r="AH107" s="27"/>
      <c r="AI107" s="27"/>
    </row>
    <row r="108" customFormat="false" ht="18.75" hidden="false" customHeight="false" outlineLevel="0" collapsed="false">
      <c r="A108" s="27" t="n">
        <v>0.2</v>
      </c>
      <c r="B108" s="27" t="n">
        <v>0</v>
      </c>
      <c r="C108" s="27"/>
      <c r="D108" s="27" t="n">
        <v>0</v>
      </c>
      <c r="E108" s="27"/>
      <c r="F108" s="27"/>
      <c r="G108" s="27"/>
      <c r="H108" s="27"/>
      <c r="J108" s="27"/>
      <c r="K108" s="27"/>
      <c r="L108" s="27"/>
      <c r="M108" s="27"/>
      <c r="N108" s="27"/>
      <c r="O108" s="27"/>
      <c r="P108" s="27"/>
      <c r="Q108" s="27"/>
      <c r="S108" s="27"/>
      <c r="T108" s="27"/>
      <c r="U108" s="27"/>
      <c r="V108" s="27"/>
      <c r="W108" s="27"/>
      <c r="X108" s="27"/>
      <c r="Y108" s="27"/>
      <c r="Z108" s="27"/>
      <c r="AB108" s="27"/>
      <c r="AC108" s="27"/>
      <c r="AD108" s="27"/>
      <c r="AE108" s="27"/>
      <c r="AF108" s="27"/>
      <c r="AG108" s="27"/>
      <c r="AH108" s="27"/>
      <c r="AI108" s="27"/>
    </row>
    <row r="109" customFormat="false" ht="47.25" hidden="false" customHeight="true" outlineLevel="0" collapsed="false">
      <c r="A109" s="102" t="s">
        <v>133</v>
      </c>
      <c r="B109" s="102"/>
      <c r="C109" s="102"/>
      <c r="D109" s="102"/>
      <c r="E109" s="102"/>
      <c r="F109" s="102"/>
      <c r="G109" s="102"/>
      <c r="H109" s="102"/>
      <c r="J109" s="28" t="s">
        <v>134</v>
      </c>
      <c r="K109" s="28"/>
      <c r="L109" s="28"/>
      <c r="M109" s="28"/>
      <c r="N109" s="28"/>
      <c r="O109" s="28"/>
      <c r="P109" s="28"/>
      <c r="Q109" s="28"/>
      <c r="S109" s="102" t="s">
        <v>135</v>
      </c>
      <c r="T109" s="102"/>
      <c r="U109" s="102"/>
      <c r="V109" s="102"/>
      <c r="W109" s="102"/>
      <c r="X109" s="102"/>
      <c r="Y109" s="102"/>
      <c r="Z109" s="102"/>
      <c r="AB109" s="102" t="s">
        <v>136</v>
      </c>
      <c r="AC109" s="102"/>
      <c r="AD109" s="102"/>
      <c r="AE109" s="102"/>
      <c r="AF109" s="102"/>
      <c r="AG109" s="102"/>
      <c r="AH109" s="102"/>
      <c r="AI109" s="102"/>
    </row>
    <row r="110" customFormat="false" ht="18.75" hidden="false" customHeight="false" outlineLevel="0" collapsed="false">
      <c r="A110" s="29"/>
      <c r="B110" s="30"/>
      <c r="C110" s="30"/>
      <c r="D110" s="30"/>
      <c r="E110" s="79"/>
      <c r="F110" s="79"/>
      <c r="G110" s="79"/>
      <c r="H110" s="103"/>
      <c r="J110" s="29"/>
      <c r="K110" s="30"/>
      <c r="L110" s="30"/>
      <c r="M110" s="30"/>
      <c r="N110" s="79"/>
      <c r="O110" s="79"/>
      <c r="P110" s="79"/>
      <c r="Q110" s="103"/>
      <c r="S110" s="29"/>
      <c r="T110" s="30"/>
      <c r="U110" s="30"/>
      <c r="V110" s="30"/>
      <c r="W110" s="79"/>
      <c r="X110" s="79"/>
      <c r="Y110" s="79"/>
      <c r="Z110" s="103"/>
      <c r="AB110" s="29"/>
      <c r="AC110" s="30"/>
      <c r="AD110" s="30"/>
      <c r="AE110" s="30"/>
      <c r="AF110" s="79"/>
      <c r="AG110" s="79"/>
      <c r="AH110" s="79"/>
      <c r="AI110" s="103"/>
    </row>
    <row r="111" customFormat="false" ht="22.05" hidden="false" customHeight="false" outlineLevel="0" collapsed="false">
      <c r="A111" s="32" t="s">
        <v>31</v>
      </c>
      <c r="B111" s="32" t="n">
        <v>0</v>
      </c>
      <c r="C111" s="32"/>
      <c r="D111" s="32"/>
      <c r="E111" s="32" t="n">
        <v>0</v>
      </c>
      <c r="F111" s="32"/>
      <c r="G111" s="32"/>
      <c r="H111" s="32"/>
      <c r="J111" s="32" t="s">
        <v>137</v>
      </c>
      <c r="K111" s="32"/>
      <c r="L111" s="32"/>
      <c r="M111" s="32"/>
      <c r="N111" s="32"/>
      <c r="O111" s="32"/>
      <c r="P111" s="32"/>
      <c r="Q111" s="32"/>
      <c r="S111" s="32" t="s">
        <v>137</v>
      </c>
      <c r="T111" s="32"/>
      <c r="U111" s="32"/>
      <c r="V111" s="32"/>
      <c r="W111" s="32"/>
      <c r="X111" s="32"/>
      <c r="Y111" s="32"/>
      <c r="Z111" s="32"/>
      <c r="AB111" s="32" t="s">
        <v>137</v>
      </c>
      <c r="AC111" s="32"/>
      <c r="AD111" s="32"/>
      <c r="AE111" s="32"/>
      <c r="AF111" s="32"/>
      <c r="AG111" s="32"/>
      <c r="AH111" s="32"/>
      <c r="AI111" s="32"/>
    </row>
    <row r="112" customFormat="false" ht="18.75" hidden="false" customHeight="false" outlineLevel="0" collapsed="false">
      <c r="A112" s="35"/>
      <c r="B112" s="36"/>
      <c r="C112" s="36"/>
      <c r="D112" s="36"/>
      <c r="E112" s="27"/>
      <c r="F112" s="27"/>
      <c r="G112" s="27"/>
      <c r="H112" s="104"/>
      <c r="J112" s="35"/>
      <c r="K112" s="36"/>
      <c r="L112" s="36"/>
      <c r="M112" s="36"/>
      <c r="N112" s="27"/>
      <c r="O112" s="27"/>
      <c r="P112" s="27"/>
      <c r="Q112" s="104"/>
      <c r="S112" s="35"/>
      <c r="T112" s="36"/>
      <c r="U112" s="36"/>
      <c r="V112" s="36"/>
      <c r="W112" s="27"/>
      <c r="X112" s="27"/>
      <c r="Y112" s="27"/>
      <c r="Z112" s="104"/>
      <c r="AB112" s="35"/>
      <c r="AC112" s="36"/>
      <c r="AD112" s="36"/>
      <c r="AE112" s="36"/>
      <c r="AF112" s="27"/>
      <c r="AG112" s="27"/>
      <c r="AH112" s="27"/>
      <c r="AI112" s="104"/>
    </row>
    <row r="113" customFormat="false" ht="18.75" hidden="false" customHeight="false" outlineLevel="0" collapsed="false">
      <c r="A113" s="35" t="s">
        <v>138</v>
      </c>
      <c r="B113" s="36" t="s">
        <v>36</v>
      </c>
      <c r="C113" s="36"/>
      <c r="D113" s="36"/>
      <c r="E113" s="36" t="s">
        <v>139</v>
      </c>
      <c r="F113" s="36"/>
      <c r="G113" s="36"/>
      <c r="H113" s="37"/>
      <c r="J113" s="35" t="s">
        <v>138</v>
      </c>
      <c r="K113" s="36" t="s">
        <v>36</v>
      </c>
      <c r="L113" s="36"/>
      <c r="M113" s="36"/>
      <c r="N113" s="36" t="s">
        <v>139</v>
      </c>
      <c r="O113" s="36"/>
      <c r="P113" s="36"/>
      <c r="Q113" s="37"/>
      <c r="S113" s="35" t="s">
        <v>138</v>
      </c>
      <c r="T113" s="36" t="s">
        <v>36</v>
      </c>
      <c r="U113" s="36"/>
      <c r="V113" s="36"/>
      <c r="W113" s="36" t="s">
        <v>139</v>
      </c>
      <c r="X113" s="36"/>
      <c r="Y113" s="36"/>
      <c r="Z113" s="37"/>
      <c r="AB113" s="35" t="s">
        <v>138</v>
      </c>
      <c r="AC113" s="36" t="s">
        <v>36</v>
      </c>
      <c r="AD113" s="36"/>
      <c r="AE113" s="36"/>
      <c r="AF113" s="36" t="s">
        <v>139</v>
      </c>
      <c r="AG113" s="36"/>
      <c r="AH113" s="36"/>
      <c r="AI113" s="37"/>
    </row>
    <row r="114" customFormat="false" ht="18.75" hidden="false" customHeight="false" outlineLevel="0" collapsed="false">
      <c r="A114" s="40" t="s">
        <v>140</v>
      </c>
      <c r="B114" s="105" t="s">
        <v>246</v>
      </c>
      <c r="C114" s="105"/>
      <c r="D114" s="105"/>
      <c r="E114" s="106" t="s">
        <v>32</v>
      </c>
      <c r="F114" s="106"/>
      <c r="G114" s="106"/>
      <c r="H114" s="104"/>
      <c r="J114" s="40" t="s">
        <v>140</v>
      </c>
      <c r="K114" s="107" t="s">
        <v>141</v>
      </c>
      <c r="L114" s="107"/>
      <c r="M114" s="107"/>
      <c r="N114" s="106" t="s">
        <v>31</v>
      </c>
      <c r="O114" s="106"/>
      <c r="P114" s="106"/>
      <c r="Q114" s="104"/>
      <c r="S114" s="40" t="s">
        <v>140</v>
      </c>
      <c r="T114" s="105" t="s">
        <v>141</v>
      </c>
      <c r="U114" s="105"/>
      <c r="V114" s="105"/>
      <c r="W114" s="106" t="s">
        <v>31</v>
      </c>
      <c r="X114" s="106"/>
      <c r="Y114" s="106"/>
      <c r="Z114" s="104"/>
      <c r="AB114" s="40" t="s">
        <v>140</v>
      </c>
      <c r="AC114" s="105" t="s">
        <v>141</v>
      </c>
      <c r="AD114" s="105"/>
      <c r="AE114" s="105"/>
      <c r="AF114" s="106" t="s">
        <v>31</v>
      </c>
      <c r="AG114" s="106"/>
      <c r="AH114" s="106"/>
      <c r="AI114" s="104"/>
    </row>
    <row r="115" customFormat="false" ht="18.75" hidden="false" customHeight="false" outlineLevel="0" collapsed="false">
      <c r="A115" s="35"/>
      <c r="B115" s="36"/>
      <c r="C115" s="36"/>
      <c r="D115" s="27"/>
      <c r="E115" s="36"/>
      <c r="F115" s="36"/>
      <c r="G115" s="27"/>
      <c r="H115" s="37"/>
      <c r="J115" s="35"/>
      <c r="K115" s="36"/>
      <c r="L115" s="36"/>
      <c r="M115" s="27"/>
      <c r="N115" s="36"/>
      <c r="O115" s="36"/>
      <c r="P115" s="27"/>
      <c r="Q115" s="37"/>
      <c r="S115" s="35"/>
      <c r="T115" s="36"/>
      <c r="U115" s="36"/>
      <c r="V115" s="27"/>
      <c r="W115" s="36"/>
      <c r="X115" s="36"/>
      <c r="Y115" s="27"/>
      <c r="Z115" s="37"/>
      <c r="AB115" s="35"/>
      <c r="AC115" s="36"/>
      <c r="AD115" s="36"/>
      <c r="AE115" s="27"/>
      <c r="AF115" s="36"/>
      <c r="AG115" s="36"/>
      <c r="AH115" s="27"/>
      <c r="AI115" s="37"/>
    </row>
    <row r="116" customFormat="false" ht="18.75" hidden="false" customHeight="false" outlineLevel="0" collapsed="false">
      <c r="A116" s="35" t="s">
        <v>142</v>
      </c>
      <c r="B116" s="36" t="s">
        <v>143</v>
      </c>
      <c r="C116" s="36"/>
      <c r="D116" s="27"/>
      <c r="E116" s="36" t="s">
        <v>144</v>
      </c>
      <c r="F116" s="36"/>
      <c r="G116" s="27"/>
      <c r="H116" s="104"/>
      <c r="J116" s="35" t="s">
        <v>142</v>
      </c>
      <c r="K116" s="36" t="s">
        <v>143</v>
      </c>
      <c r="L116" s="36"/>
      <c r="M116" s="27"/>
      <c r="N116" s="36" t="s">
        <v>144</v>
      </c>
      <c r="O116" s="36"/>
      <c r="P116" s="27"/>
      <c r="Q116" s="104"/>
      <c r="S116" s="35" t="s">
        <v>142</v>
      </c>
      <c r="T116" s="36" t="s">
        <v>143</v>
      </c>
      <c r="U116" s="36"/>
      <c r="V116" s="27"/>
      <c r="W116" s="36" t="s">
        <v>144</v>
      </c>
      <c r="X116" s="36"/>
      <c r="Y116" s="27"/>
      <c r="Z116" s="104"/>
      <c r="AB116" s="35" t="s">
        <v>142</v>
      </c>
      <c r="AC116" s="36" t="s">
        <v>143</v>
      </c>
      <c r="AD116" s="36"/>
      <c r="AE116" s="27"/>
      <c r="AF116" s="36" t="s">
        <v>144</v>
      </c>
      <c r="AG116" s="36"/>
      <c r="AH116" s="27"/>
      <c r="AI116" s="104"/>
    </row>
    <row r="117" customFormat="false" ht="18.75" hidden="false" customHeight="false" outlineLevel="0" collapsed="false">
      <c r="A117" s="108" t="n">
        <v>0.2</v>
      </c>
      <c r="B117" s="109" t="s">
        <v>145</v>
      </c>
      <c r="C117" s="109"/>
      <c r="D117" s="109"/>
      <c r="E117" s="110" t="n">
        <f aca="false">B92</f>
        <v>0.1255</v>
      </c>
      <c r="F117" s="110"/>
      <c r="G117" s="110"/>
      <c r="H117" s="51"/>
      <c r="J117" s="108" t="n">
        <v>0.3</v>
      </c>
      <c r="K117" s="109" t="s">
        <v>145</v>
      </c>
      <c r="L117" s="109"/>
      <c r="M117" s="109"/>
      <c r="N117" s="110" t="n">
        <f aca="false">K92</f>
        <v>0.24</v>
      </c>
      <c r="O117" s="110"/>
      <c r="P117" s="110"/>
      <c r="Q117" s="51"/>
      <c r="S117" s="108" t="n">
        <v>0.2</v>
      </c>
      <c r="T117" s="109" t="s">
        <v>146</v>
      </c>
      <c r="U117" s="109"/>
      <c r="V117" s="109"/>
      <c r="W117" s="110" t="n">
        <f aca="false">T92</f>
        <v>0.1235</v>
      </c>
      <c r="X117" s="110"/>
      <c r="Y117" s="110"/>
      <c r="Z117" s="51"/>
      <c r="AB117" s="108" t="n">
        <v>0.2</v>
      </c>
      <c r="AC117" s="109" t="s">
        <v>146</v>
      </c>
      <c r="AD117" s="109"/>
      <c r="AE117" s="109"/>
      <c r="AF117" s="111" t="n">
        <f aca="false">AC92</f>
        <v>0.1235</v>
      </c>
      <c r="AG117" s="111"/>
      <c r="AH117" s="111"/>
      <c r="AI117" s="51"/>
      <c r="AP117" s="6" t="s">
        <v>147</v>
      </c>
    </row>
    <row r="118" customFormat="false" ht="18.75" hidden="false" customHeight="false" outlineLevel="0" collapsed="false">
      <c r="A118" s="35"/>
      <c r="B118" s="36"/>
      <c r="C118" s="36"/>
      <c r="D118" s="36"/>
      <c r="E118" s="36"/>
      <c r="F118" s="36"/>
      <c r="G118" s="36"/>
      <c r="H118" s="37"/>
      <c r="J118" s="35"/>
      <c r="K118" s="36"/>
      <c r="L118" s="36"/>
      <c r="M118" s="36"/>
      <c r="N118" s="36"/>
      <c r="O118" s="36"/>
      <c r="P118" s="36"/>
      <c r="Q118" s="37"/>
      <c r="S118" s="35"/>
      <c r="T118" s="36"/>
      <c r="U118" s="36"/>
      <c r="V118" s="36"/>
      <c r="W118" s="36"/>
      <c r="X118" s="36"/>
      <c r="Y118" s="36"/>
      <c r="Z118" s="37"/>
      <c r="AB118" s="35"/>
      <c r="AC118" s="36"/>
      <c r="AD118" s="36"/>
      <c r="AE118" s="36"/>
      <c r="AF118" s="36"/>
      <c r="AG118" s="36"/>
      <c r="AH118" s="36"/>
      <c r="AI118" s="37"/>
      <c r="AP118" s="6" t="s">
        <v>145</v>
      </c>
    </row>
    <row r="119" customFormat="false" ht="18.75" hidden="false" customHeight="false" outlineLevel="0" collapsed="false">
      <c r="A119" s="35" t="s">
        <v>148</v>
      </c>
      <c r="B119" s="36" t="s">
        <v>149</v>
      </c>
      <c r="C119" s="36"/>
      <c r="D119" s="36"/>
      <c r="E119" s="36" t="s">
        <v>150</v>
      </c>
      <c r="F119" s="36"/>
      <c r="G119" s="36"/>
      <c r="H119" s="37"/>
      <c r="J119" s="35" t="s">
        <v>148</v>
      </c>
      <c r="K119" s="36" t="s">
        <v>149</v>
      </c>
      <c r="L119" s="36"/>
      <c r="M119" s="36"/>
      <c r="N119" s="36" t="s">
        <v>150</v>
      </c>
      <c r="O119" s="36"/>
      <c r="P119" s="36"/>
      <c r="Q119" s="37"/>
      <c r="S119" s="35" t="s">
        <v>148</v>
      </c>
      <c r="T119" s="36" t="s">
        <v>149</v>
      </c>
      <c r="U119" s="36"/>
      <c r="V119" s="36"/>
      <c r="W119" s="36" t="s">
        <v>150</v>
      </c>
      <c r="X119" s="36"/>
      <c r="Y119" s="36"/>
      <c r="Z119" s="37"/>
      <c r="AB119" s="35" t="s">
        <v>148</v>
      </c>
      <c r="AC119" s="36" t="s">
        <v>149</v>
      </c>
      <c r="AD119" s="36"/>
      <c r="AE119" s="36"/>
      <c r="AF119" s="36" t="s">
        <v>150</v>
      </c>
      <c r="AG119" s="36"/>
      <c r="AH119" s="36"/>
      <c r="AI119" s="37"/>
    </row>
    <row r="120" customFormat="false" ht="18.75" hidden="false" customHeight="false" outlineLevel="0" collapsed="false">
      <c r="A120" s="44" t="s">
        <v>31</v>
      </c>
      <c r="B120" s="109" t="n">
        <v>0</v>
      </c>
      <c r="C120" s="109"/>
      <c r="D120" s="109"/>
      <c r="E120" s="109" t="n">
        <v>0</v>
      </c>
      <c r="F120" s="109"/>
      <c r="G120" s="109"/>
      <c r="H120" s="104"/>
      <c r="J120" s="44" t="s">
        <v>32</v>
      </c>
      <c r="K120" s="109" t="n">
        <v>1000</v>
      </c>
      <c r="L120" s="109"/>
      <c r="M120" s="109"/>
      <c r="N120" s="109" t="n">
        <v>0</v>
      </c>
      <c r="O120" s="109"/>
      <c r="P120" s="109"/>
      <c r="Q120" s="104"/>
      <c r="S120" s="44" t="s">
        <v>31</v>
      </c>
      <c r="T120" s="109" t="n">
        <v>1000</v>
      </c>
      <c r="U120" s="109"/>
      <c r="V120" s="109"/>
      <c r="W120" s="109" t="n">
        <v>0</v>
      </c>
      <c r="X120" s="109"/>
      <c r="Y120" s="109"/>
      <c r="Z120" s="104"/>
      <c r="AB120" s="44" t="s">
        <v>31</v>
      </c>
      <c r="AC120" s="109" t="n">
        <v>1000</v>
      </c>
      <c r="AD120" s="109"/>
      <c r="AE120" s="109"/>
      <c r="AF120" s="109" t="n">
        <v>0</v>
      </c>
      <c r="AG120" s="109"/>
      <c r="AH120" s="109"/>
      <c r="AI120" s="104"/>
    </row>
    <row r="121" customFormat="false" ht="18.75" hidden="false" customHeight="false" outlineLevel="0" collapsed="false">
      <c r="A121" s="35"/>
      <c r="B121" s="36"/>
      <c r="C121" s="36" t="s">
        <v>10</v>
      </c>
      <c r="D121" s="36"/>
      <c r="E121" s="36"/>
      <c r="F121" s="36"/>
      <c r="G121" s="27"/>
      <c r="H121" s="104"/>
      <c r="J121" s="35"/>
      <c r="K121" s="36"/>
      <c r="L121" s="36"/>
      <c r="M121" s="36"/>
      <c r="N121" s="36"/>
      <c r="O121" s="36"/>
      <c r="P121" s="27"/>
      <c r="Q121" s="104"/>
      <c r="S121" s="35"/>
      <c r="T121" s="36"/>
      <c r="U121" s="36"/>
      <c r="V121" s="36"/>
      <c r="W121" s="36"/>
      <c r="X121" s="36"/>
      <c r="Y121" s="27"/>
      <c r="Z121" s="104"/>
      <c r="AB121" s="35"/>
      <c r="AC121" s="36"/>
      <c r="AD121" s="36"/>
      <c r="AE121" s="36"/>
      <c r="AF121" s="36"/>
      <c r="AG121" s="36"/>
      <c r="AH121" s="27"/>
      <c r="AI121" s="104"/>
    </row>
    <row r="122" customFormat="false" ht="18.75" hidden="false" customHeight="false" outlineLevel="0" collapsed="false">
      <c r="A122" s="112" t="s">
        <v>151</v>
      </c>
      <c r="B122" s="36" t="s">
        <v>152</v>
      </c>
      <c r="C122" s="36"/>
      <c r="D122" s="36"/>
      <c r="E122" s="36" t="s">
        <v>153</v>
      </c>
      <c r="F122" s="36"/>
      <c r="G122" s="27"/>
      <c r="H122" s="104"/>
      <c r="J122" s="112" t="s">
        <v>151</v>
      </c>
      <c r="K122" s="36" t="s">
        <v>152</v>
      </c>
      <c r="L122" s="36"/>
      <c r="M122" s="36"/>
      <c r="N122" s="36" t="s">
        <v>153</v>
      </c>
      <c r="O122" s="36"/>
      <c r="P122" s="27"/>
      <c r="Q122" s="104"/>
      <c r="S122" s="112" t="s">
        <v>151</v>
      </c>
      <c r="T122" s="36" t="s">
        <v>152</v>
      </c>
      <c r="U122" s="36"/>
      <c r="V122" s="36"/>
      <c r="W122" s="36" t="s">
        <v>153</v>
      </c>
      <c r="X122" s="36"/>
      <c r="Y122" s="27"/>
      <c r="Z122" s="104"/>
      <c r="AB122" s="112" t="s">
        <v>151</v>
      </c>
      <c r="AC122" s="36" t="s">
        <v>152</v>
      </c>
      <c r="AD122" s="36"/>
      <c r="AE122" s="36"/>
      <c r="AF122" s="36" t="s">
        <v>153</v>
      </c>
      <c r="AG122" s="36"/>
      <c r="AH122" s="27"/>
      <c r="AI122" s="104"/>
    </row>
    <row r="123" customFormat="false" ht="18.75" hidden="false" customHeight="false" outlineLevel="0" collapsed="false">
      <c r="A123" s="113" t="n">
        <f aca="false">B120+E120</f>
        <v>0</v>
      </c>
      <c r="B123" s="109" t="n">
        <v>199.991666666667</v>
      </c>
      <c r="C123" s="109"/>
      <c r="D123" s="109"/>
      <c r="E123" s="109" t="n">
        <v>0</v>
      </c>
      <c r="F123" s="109"/>
      <c r="G123" s="109"/>
      <c r="H123" s="104"/>
      <c r="J123" s="113" t="n">
        <f aca="false">K120+N120</f>
        <v>1000</v>
      </c>
      <c r="K123" s="109" t="n">
        <v>239.99</v>
      </c>
      <c r="L123" s="109"/>
      <c r="M123" s="109"/>
      <c r="N123" s="109" t="n">
        <v>0</v>
      </c>
      <c r="O123" s="109"/>
      <c r="P123" s="109"/>
      <c r="Q123" s="104"/>
      <c r="S123" s="113" t="n">
        <f aca="false">T120+W120</f>
        <v>1000</v>
      </c>
      <c r="T123" s="109" t="n">
        <v>199.99</v>
      </c>
      <c r="U123" s="109"/>
      <c r="V123" s="109"/>
      <c r="W123" s="109" t="n">
        <v>0</v>
      </c>
      <c r="X123" s="109"/>
      <c r="Y123" s="109"/>
      <c r="Z123" s="104"/>
      <c r="AB123" s="113" t="n">
        <f aca="false">AC120+AF120</f>
        <v>1000</v>
      </c>
      <c r="AC123" s="109" t="n">
        <v>239.99</v>
      </c>
      <c r="AD123" s="109"/>
      <c r="AE123" s="109"/>
      <c r="AF123" s="109" t="n">
        <v>0</v>
      </c>
      <c r="AG123" s="109"/>
      <c r="AH123" s="109"/>
      <c r="AI123" s="104"/>
    </row>
    <row r="124" customFormat="false" ht="18.75" hidden="false" customHeight="false" outlineLevel="0" collapsed="false">
      <c r="A124" s="114"/>
      <c r="B124" s="27"/>
      <c r="C124" s="27"/>
      <c r="D124" s="27"/>
      <c r="E124" s="27"/>
      <c r="F124" s="27"/>
      <c r="G124" s="27"/>
      <c r="H124" s="104"/>
      <c r="J124" s="114"/>
      <c r="K124" s="27"/>
      <c r="L124" s="27"/>
      <c r="M124" s="27"/>
      <c r="N124" s="27"/>
      <c r="O124" s="27"/>
      <c r="P124" s="27"/>
      <c r="Q124" s="104"/>
      <c r="S124" s="114"/>
      <c r="T124" s="27"/>
      <c r="U124" s="27"/>
      <c r="V124" s="27"/>
      <c r="W124" s="27"/>
      <c r="X124" s="27"/>
      <c r="Y124" s="27"/>
      <c r="Z124" s="104"/>
      <c r="AB124" s="114"/>
      <c r="AC124" s="27"/>
      <c r="AD124" s="27"/>
      <c r="AE124" s="27"/>
      <c r="AF124" s="27"/>
      <c r="AG124" s="27"/>
      <c r="AH124" s="27"/>
      <c r="AI124" s="104"/>
    </row>
    <row r="125" customFormat="false" ht="18.75" hidden="false" customHeight="false" outlineLevel="0" collapsed="false">
      <c r="A125" s="114"/>
      <c r="B125" s="27"/>
      <c r="C125" s="27"/>
      <c r="D125" s="27"/>
      <c r="E125" s="27"/>
      <c r="F125" s="27"/>
      <c r="G125" s="27"/>
      <c r="H125" s="104"/>
      <c r="J125" s="114"/>
      <c r="K125" s="27"/>
      <c r="L125" s="27"/>
      <c r="M125" s="27"/>
      <c r="N125" s="27"/>
      <c r="O125" s="27"/>
      <c r="P125" s="27"/>
      <c r="Q125" s="104"/>
      <c r="S125" s="114"/>
      <c r="T125" s="27"/>
      <c r="U125" s="27"/>
      <c r="V125" s="27"/>
      <c r="W125" s="27"/>
      <c r="X125" s="27"/>
      <c r="Y125" s="27"/>
      <c r="Z125" s="104"/>
      <c r="AB125" s="114"/>
      <c r="AC125" s="27"/>
      <c r="AD125" s="27"/>
      <c r="AE125" s="27"/>
      <c r="AF125" s="27"/>
      <c r="AG125" s="27"/>
      <c r="AH125" s="27"/>
      <c r="AI125" s="104"/>
    </row>
    <row r="126" customFormat="false" ht="22.05" hidden="false" customHeight="false" outlineLevel="0" collapsed="false">
      <c r="A126" s="32" t="s">
        <v>154</v>
      </c>
      <c r="B126" s="32"/>
      <c r="C126" s="32"/>
      <c r="D126" s="32"/>
      <c r="E126" s="32"/>
      <c r="F126" s="32"/>
      <c r="G126" s="32"/>
      <c r="H126" s="32"/>
      <c r="J126" s="32" t="s">
        <v>154</v>
      </c>
      <c r="K126" s="32"/>
      <c r="L126" s="32"/>
      <c r="M126" s="32"/>
      <c r="N126" s="32"/>
      <c r="O126" s="32"/>
      <c r="P126" s="32"/>
      <c r="Q126" s="32"/>
      <c r="S126" s="32" t="s">
        <v>154</v>
      </c>
      <c r="T126" s="32"/>
      <c r="U126" s="32"/>
      <c r="V126" s="32"/>
      <c r="W126" s="32"/>
      <c r="X126" s="32"/>
      <c r="Y126" s="32"/>
      <c r="Z126" s="32"/>
      <c r="AB126" s="32" t="s">
        <v>154</v>
      </c>
      <c r="AC126" s="32"/>
      <c r="AD126" s="32"/>
      <c r="AE126" s="32"/>
      <c r="AF126" s="32"/>
      <c r="AG126" s="32"/>
      <c r="AH126" s="32"/>
      <c r="AI126" s="32"/>
    </row>
    <row r="127" customFormat="false" ht="18.75" hidden="false" customHeight="false" outlineLevel="0" collapsed="false">
      <c r="A127" s="114"/>
      <c r="B127" s="27"/>
      <c r="C127" s="27"/>
      <c r="D127" s="27"/>
      <c r="E127" s="27"/>
      <c r="F127" s="27"/>
      <c r="G127" s="27"/>
      <c r="H127" s="104"/>
      <c r="J127" s="114"/>
      <c r="K127" s="27"/>
      <c r="L127" s="27"/>
      <c r="M127" s="27"/>
      <c r="N127" s="27"/>
      <c r="O127" s="27"/>
      <c r="P127" s="27"/>
      <c r="Q127" s="104"/>
      <c r="S127" s="114"/>
      <c r="T127" s="27"/>
      <c r="U127" s="27"/>
      <c r="V127" s="27"/>
      <c r="W127" s="27"/>
      <c r="X127" s="27"/>
      <c r="Y127" s="27"/>
      <c r="Z127" s="104"/>
      <c r="AB127" s="114"/>
      <c r="AC127" s="27"/>
      <c r="AD127" s="27"/>
      <c r="AE127" s="27"/>
      <c r="AF127" s="27"/>
      <c r="AG127" s="27"/>
      <c r="AH127" s="27"/>
      <c r="AI127" s="104"/>
    </row>
    <row r="128" customFormat="false" ht="19.7" hidden="false" customHeight="false" outlineLevel="0" collapsed="false">
      <c r="A128" s="82"/>
      <c r="B128" s="115" t="s">
        <v>155</v>
      </c>
      <c r="C128" s="115"/>
      <c r="D128" s="115" t="s">
        <v>156</v>
      </c>
      <c r="E128" s="115"/>
      <c r="F128" s="115" t="s">
        <v>157</v>
      </c>
      <c r="G128" s="115"/>
      <c r="H128" s="116" t="s">
        <v>158</v>
      </c>
      <c r="J128" s="82"/>
      <c r="K128" s="115" t="s">
        <v>155</v>
      </c>
      <c r="L128" s="115"/>
      <c r="M128" s="115" t="s">
        <v>156</v>
      </c>
      <c r="N128" s="115"/>
      <c r="O128" s="115" t="s">
        <v>157</v>
      </c>
      <c r="P128" s="115"/>
      <c r="Q128" s="116" t="s">
        <v>158</v>
      </c>
      <c r="S128" s="82"/>
      <c r="T128" s="115" t="s">
        <v>155</v>
      </c>
      <c r="U128" s="115"/>
      <c r="V128" s="115" t="s">
        <v>156</v>
      </c>
      <c r="W128" s="115"/>
      <c r="X128" s="115" t="s">
        <v>157</v>
      </c>
      <c r="Y128" s="115"/>
      <c r="Z128" s="116" t="s">
        <v>158</v>
      </c>
      <c r="AB128" s="82"/>
      <c r="AC128" s="115" t="s">
        <v>155</v>
      </c>
      <c r="AD128" s="115"/>
      <c r="AE128" s="115" t="s">
        <v>156</v>
      </c>
      <c r="AF128" s="115"/>
      <c r="AG128" s="115" t="s">
        <v>157</v>
      </c>
      <c r="AH128" s="115"/>
      <c r="AI128" s="116" t="s">
        <v>158</v>
      </c>
    </row>
    <row r="129" customFormat="false" ht="19.7" hidden="false" customHeight="false" outlineLevel="0" collapsed="false">
      <c r="A129" s="84"/>
      <c r="B129" s="117" t="s">
        <v>159</v>
      </c>
      <c r="C129" s="118" t="s">
        <v>160</v>
      </c>
      <c r="D129" s="117" t="s">
        <v>159</v>
      </c>
      <c r="E129" s="119" t="s">
        <v>160</v>
      </c>
      <c r="F129" s="117" t="s">
        <v>159</v>
      </c>
      <c r="G129" s="119" t="s">
        <v>160</v>
      </c>
      <c r="H129" s="120"/>
      <c r="J129" s="84"/>
      <c r="K129" s="117" t="s">
        <v>159</v>
      </c>
      <c r="L129" s="118" t="s">
        <v>160</v>
      </c>
      <c r="M129" s="117" t="s">
        <v>159</v>
      </c>
      <c r="N129" s="119" t="s">
        <v>160</v>
      </c>
      <c r="O129" s="117" t="s">
        <v>159</v>
      </c>
      <c r="P129" s="119" t="s">
        <v>160</v>
      </c>
      <c r="Q129" s="120"/>
      <c r="S129" s="84"/>
      <c r="T129" s="117" t="s">
        <v>159</v>
      </c>
      <c r="U129" s="118" t="s">
        <v>160</v>
      </c>
      <c r="V129" s="117" t="s">
        <v>159</v>
      </c>
      <c r="W129" s="119" t="s">
        <v>160</v>
      </c>
      <c r="X129" s="117" t="s">
        <v>159</v>
      </c>
      <c r="Y129" s="119" t="s">
        <v>160</v>
      </c>
      <c r="Z129" s="120"/>
      <c r="AB129" s="84"/>
      <c r="AC129" s="117" t="s">
        <v>159</v>
      </c>
      <c r="AD129" s="118" t="s">
        <v>160</v>
      </c>
      <c r="AE129" s="117" t="s">
        <v>159</v>
      </c>
      <c r="AF129" s="119" t="s">
        <v>160</v>
      </c>
      <c r="AG129" s="117" t="s">
        <v>159</v>
      </c>
      <c r="AH129" s="119" t="s">
        <v>160</v>
      </c>
      <c r="AI129" s="120"/>
    </row>
    <row r="130" customFormat="false" ht="18.75" hidden="false" customHeight="false" outlineLevel="0" collapsed="false">
      <c r="A130" s="29" t="s">
        <v>161</v>
      </c>
      <c r="B130" s="29" t="n">
        <f aca="false">E19</f>
        <v>21000</v>
      </c>
      <c r="C130" s="44" t="n">
        <v>19791.67</v>
      </c>
      <c r="D130" s="29" t="n">
        <f aca="false">D12</f>
        <v>0</v>
      </c>
      <c r="E130" s="44" t="n">
        <f aca="false">D130</f>
        <v>0</v>
      </c>
      <c r="F130" s="29" t="n">
        <v>0</v>
      </c>
      <c r="G130" s="44" t="n">
        <f aca="false">F130</f>
        <v>0</v>
      </c>
      <c r="H130" s="121" t="n">
        <f aca="false">H12</f>
        <v>0</v>
      </c>
      <c r="J130" s="29" t="s">
        <v>161</v>
      </c>
      <c r="K130" s="29" t="n">
        <f aca="false">B3</f>
        <v>0</v>
      </c>
      <c r="L130" s="44" t="n">
        <v>28629.17</v>
      </c>
      <c r="M130" s="29" t="n">
        <f aca="false">D3</f>
        <v>0</v>
      </c>
      <c r="N130" s="44" t="n">
        <f aca="false">M130</f>
        <v>0</v>
      </c>
      <c r="O130" s="29" t="str">
        <f aca="false">F3</f>
        <v> </v>
      </c>
      <c r="P130" s="44" t="str">
        <f aca="false">O130</f>
        <v> </v>
      </c>
      <c r="Q130" s="121" t="n">
        <f aca="false">H3</f>
        <v>0</v>
      </c>
      <c r="S130" s="29" t="s">
        <v>161</v>
      </c>
      <c r="T130" s="29" t="n">
        <f aca="false">B3</f>
        <v>0</v>
      </c>
      <c r="U130" s="44" t="n">
        <f aca="false">T130</f>
        <v>0</v>
      </c>
      <c r="V130" s="29" t="n">
        <f aca="false">D3</f>
        <v>0</v>
      </c>
      <c r="W130" s="44" t="n">
        <f aca="false">V130</f>
        <v>0</v>
      </c>
      <c r="X130" s="29" t="str">
        <f aca="false">F3</f>
        <v> </v>
      </c>
      <c r="Y130" s="44" t="str">
        <f aca="false">X130</f>
        <v> </v>
      </c>
      <c r="Z130" s="121" t="n">
        <f aca="false">H3</f>
        <v>0</v>
      </c>
      <c r="AB130" s="29" t="s">
        <v>161</v>
      </c>
      <c r="AC130" s="29" t="n">
        <f aca="false">B3</f>
        <v>0</v>
      </c>
      <c r="AD130" s="44" t="n">
        <f aca="false">AC130</f>
        <v>0</v>
      </c>
      <c r="AE130" s="29" t="n">
        <f aca="false">D3</f>
        <v>0</v>
      </c>
      <c r="AF130" s="44" t="n">
        <f aca="false">AE130</f>
        <v>0</v>
      </c>
      <c r="AG130" s="29" t="str">
        <f aca="false">F3</f>
        <v> </v>
      </c>
      <c r="AH130" s="44" t="str">
        <f aca="false">AG130</f>
        <v> </v>
      </c>
      <c r="AI130" s="121" t="n">
        <f aca="false">H3</f>
        <v>0</v>
      </c>
    </row>
    <row r="131" customFormat="false" ht="18.75" hidden="false" customHeight="false" outlineLevel="0" collapsed="false">
      <c r="A131" s="35" t="s">
        <v>162</v>
      </c>
      <c r="B131" s="122" t="n">
        <v>0</v>
      </c>
      <c r="C131" s="123" t="n">
        <f aca="false">B131</f>
        <v>0</v>
      </c>
      <c r="D131" s="122" t="n">
        <v>0</v>
      </c>
      <c r="E131" s="123" t="n">
        <f aca="false">D131</f>
        <v>0</v>
      </c>
      <c r="F131" s="122" t="n">
        <v>0</v>
      </c>
      <c r="G131" s="124" t="n">
        <f aca="false">F131</f>
        <v>0</v>
      </c>
      <c r="H131" s="125"/>
      <c r="J131" s="35" t="s">
        <v>162</v>
      </c>
      <c r="K131" s="122" t="n">
        <f aca="false">B4</f>
        <v>21000</v>
      </c>
      <c r="L131" s="126" t="n">
        <v>0</v>
      </c>
      <c r="M131" s="122" t="n">
        <f aca="false">D4</f>
        <v>0</v>
      </c>
      <c r="N131" s="126" t="n">
        <f aca="false">M131</f>
        <v>0</v>
      </c>
      <c r="O131" s="122" t="str">
        <f aca="false">F4</f>
        <v> </v>
      </c>
      <c r="P131" s="126" t="str">
        <f aca="false">O131</f>
        <v> </v>
      </c>
      <c r="Q131" s="125"/>
      <c r="S131" s="35" t="s">
        <v>162</v>
      </c>
      <c r="T131" s="122" t="n">
        <f aca="false">B4</f>
        <v>21000</v>
      </c>
      <c r="U131" s="126" t="n">
        <v>0.25</v>
      </c>
      <c r="V131" s="122" t="n">
        <f aca="false">D4</f>
        <v>0</v>
      </c>
      <c r="W131" s="126" t="n">
        <f aca="false">V131</f>
        <v>0</v>
      </c>
      <c r="X131" s="122" t="str">
        <f aca="false">F4</f>
        <v> </v>
      </c>
      <c r="Y131" s="126" t="str">
        <f aca="false">X131</f>
        <v> </v>
      </c>
      <c r="Z131" s="125"/>
      <c r="AB131" s="35" t="s">
        <v>162</v>
      </c>
      <c r="AC131" s="122" t="n">
        <f aca="false">B4</f>
        <v>21000</v>
      </c>
      <c r="AD131" s="126" t="n">
        <v>0.25</v>
      </c>
      <c r="AE131" s="122" t="n">
        <f aca="false">D4</f>
        <v>0</v>
      </c>
      <c r="AF131" s="126" t="n">
        <f aca="false">AE131</f>
        <v>0</v>
      </c>
      <c r="AG131" s="122" t="str">
        <f aca="false">F4</f>
        <v> </v>
      </c>
      <c r="AH131" s="126" t="str">
        <f aca="false">AG131</f>
        <v> </v>
      </c>
      <c r="AI131" s="125"/>
    </row>
    <row r="132" customFormat="false" ht="18.75" hidden="false" customHeight="false" outlineLevel="0" collapsed="false">
      <c r="A132" s="35" t="s">
        <v>163</v>
      </c>
      <c r="B132" s="35" t="n">
        <v>0</v>
      </c>
      <c r="C132" s="44" t="n">
        <f aca="false">B132</f>
        <v>0</v>
      </c>
      <c r="D132" s="35" t="n">
        <v>0</v>
      </c>
      <c r="E132" s="44" t="n">
        <f aca="false">D132</f>
        <v>0</v>
      </c>
      <c r="F132" s="35" t="n">
        <v>0</v>
      </c>
      <c r="G132" s="44" t="n">
        <f aca="false">F132</f>
        <v>0</v>
      </c>
      <c r="H132" s="37"/>
      <c r="J132" s="35" t="s">
        <v>163</v>
      </c>
      <c r="K132" s="35" t="n">
        <f aca="false">B5</f>
        <v>0</v>
      </c>
      <c r="L132" s="44" t="n">
        <v>0</v>
      </c>
      <c r="M132" s="35" t="n">
        <f aca="false">D5</f>
        <v>0</v>
      </c>
      <c r="N132" s="44" t="n">
        <f aca="false">M132</f>
        <v>0</v>
      </c>
      <c r="O132" s="35" t="str">
        <f aca="false">F5</f>
        <v> </v>
      </c>
      <c r="P132" s="44" t="str">
        <f aca="false">O132</f>
        <v> </v>
      </c>
      <c r="Q132" s="37"/>
      <c r="S132" s="35" t="s">
        <v>163</v>
      </c>
      <c r="T132" s="35" t="n">
        <f aca="false">B5</f>
        <v>0</v>
      </c>
      <c r="U132" s="44" t="n">
        <v>0</v>
      </c>
      <c r="V132" s="35" t="n">
        <f aca="false">D5</f>
        <v>0</v>
      </c>
      <c r="W132" s="44" t="n">
        <f aca="false">V132</f>
        <v>0</v>
      </c>
      <c r="X132" s="35" t="str">
        <f aca="false">F5</f>
        <v> </v>
      </c>
      <c r="Y132" s="44" t="str">
        <f aca="false">X132</f>
        <v> </v>
      </c>
      <c r="Z132" s="37"/>
      <c r="AB132" s="35" t="s">
        <v>163</v>
      </c>
      <c r="AC132" s="35" t="n">
        <f aca="false">B5</f>
        <v>0</v>
      </c>
      <c r="AD132" s="44" t="n">
        <v>0</v>
      </c>
      <c r="AE132" s="35" t="n">
        <f aca="false">D5</f>
        <v>0</v>
      </c>
      <c r="AF132" s="44" t="n">
        <f aca="false">AE132</f>
        <v>0</v>
      </c>
      <c r="AG132" s="35" t="str">
        <f aca="false">F5</f>
        <v> </v>
      </c>
      <c r="AH132" s="44" t="str">
        <f aca="false">AG132</f>
        <v> </v>
      </c>
      <c r="AI132" s="37"/>
    </row>
    <row r="133" customFormat="false" ht="18.75" hidden="false" customHeight="false" outlineLevel="0" collapsed="false">
      <c r="A133" s="35" t="s">
        <v>164</v>
      </c>
      <c r="B133" s="35" t="n">
        <f aca="false">(B130*B131)+B132</f>
        <v>0</v>
      </c>
      <c r="C133" s="31" t="n">
        <f aca="false">(C130*C131/100)+C132</f>
        <v>0</v>
      </c>
      <c r="D133" s="35" t="n">
        <f aca="false">(D130*D131)+D132</f>
        <v>0</v>
      </c>
      <c r="E133" s="31" t="n">
        <f aca="false">(E130*E131/100)+E132</f>
        <v>0</v>
      </c>
      <c r="F133" s="35" t="n">
        <f aca="false">(F130*F131)+F132</f>
        <v>0</v>
      </c>
      <c r="G133" s="31" t="n">
        <f aca="false">(G130*G131/100)+G132</f>
        <v>0</v>
      </c>
      <c r="H133" s="37"/>
      <c r="J133" s="35" t="s">
        <v>164</v>
      </c>
      <c r="K133" s="35" t="n">
        <f aca="false">(K130*K131)+K132</f>
        <v>0</v>
      </c>
      <c r="L133" s="31" t="n">
        <f aca="false">(L130*L131)+L132</f>
        <v>0</v>
      </c>
      <c r="M133" s="35" t="n">
        <f aca="false">(M130*M131)+M132</f>
        <v>0</v>
      </c>
      <c r="N133" s="31" t="n">
        <f aca="false">(N130*N131)+N132</f>
        <v>0</v>
      </c>
      <c r="O133" s="35" t="e">
        <f aca="false">(O130*O131)+O132</f>
        <v>#VALUE!</v>
      </c>
      <c r="P133" s="31" t="e">
        <f aca="false">(P130*P131)+P132</f>
        <v>#VALUE!</v>
      </c>
      <c r="Q133" s="37"/>
      <c r="S133" s="35" t="s">
        <v>164</v>
      </c>
      <c r="T133" s="35" t="n">
        <f aca="false">(T130*T131)+T132</f>
        <v>0</v>
      </c>
      <c r="U133" s="31" t="n">
        <f aca="false">(U130*U131)+U132</f>
        <v>0</v>
      </c>
      <c r="V133" s="35" t="n">
        <f aca="false">(V130*V131)+V132</f>
        <v>0</v>
      </c>
      <c r="W133" s="31" t="n">
        <f aca="false">(W130*W131)+W132</f>
        <v>0</v>
      </c>
      <c r="X133" s="35" t="e">
        <f aca="false">(X130*X131)+X132</f>
        <v>#VALUE!</v>
      </c>
      <c r="Y133" s="31" t="e">
        <f aca="false">(Y130*Y131)+Y132</f>
        <v>#VALUE!</v>
      </c>
      <c r="Z133" s="37"/>
      <c r="AB133" s="35" t="s">
        <v>164</v>
      </c>
      <c r="AC133" s="35" t="n">
        <f aca="false">(AC130*AC131)+AC132</f>
        <v>0</v>
      </c>
      <c r="AD133" s="31" t="n">
        <f aca="false">(AD130*AD131)+AD132</f>
        <v>0</v>
      </c>
      <c r="AE133" s="35" t="n">
        <f aca="false">(AE130*AE131)+AE132</f>
        <v>0</v>
      </c>
      <c r="AF133" s="31" t="n">
        <f aca="false">(AF130*AF131)+AF132</f>
        <v>0</v>
      </c>
      <c r="AG133" s="35" t="e">
        <f aca="false">(AG130*AG131)+AG132</f>
        <v>#VALUE!</v>
      </c>
      <c r="AH133" s="31" t="e">
        <f aca="false">(AH130*AH131)+AH132</f>
        <v>#VALUE!</v>
      </c>
      <c r="AI133" s="37"/>
    </row>
    <row r="134" customFormat="false" ht="18.75" hidden="false" customHeight="false" outlineLevel="0" collapsed="false">
      <c r="A134" s="60" t="s">
        <v>165</v>
      </c>
      <c r="B134" s="60" t="n">
        <f aca="false">B130-B133</f>
        <v>21000</v>
      </c>
      <c r="C134" s="69" t="n">
        <f aca="false">C130-C133</f>
        <v>19583.33</v>
      </c>
      <c r="D134" s="60" t="n">
        <f aca="false">D130-D133</f>
        <v>0</v>
      </c>
      <c r="E134" s="69" t="n">
        <f aca="false">E130-E133</f>
        <v>0</v>
      </c>
      <c r="F134" s="60" t="n">
        <f aca="false">F130-F133</f>
        <v>0</v>
      </c>
      <c r="G134" s="69" t="n">
        <f aca="false">G130-G133</f>
        <v>0</v>
      </c>
      <c r="H134" s="69"/>
      <c r="J134" s="60" t="s">
        <v>165</v>
      </c>
      <c r="K134" s="60" t="n">
        <f aca="false">K130-K133</f>
        <v>0</v>
      </c>
      <c r="L134" s="69" t="n">
        <f aca="false">L130-L133</f>
        <v>28629.17</v>
      </c>
      <c r="M134" s="60" t="n">
        <f aca="false">M130-M133</f>
        <v>0</v>
      </c>
      <c r="N134" s="69" t="n">
        <f aca="false">N130-N133</f>
        <v>0</v>
      </c>
      <c r="O134" s="60" t="e">
        <f aca="false">O130-O133</f>
        <v>#VALUE!</v>
      </c>
      <c r="P134" s="69" t="e">
        <f aca="false">P130-P133</f>
        <v>#VALUE!</v>
      </c>
      <c r="Q134" s="69"/>
      <c r="S134" s="60" t="s">
        <v>165</v>
      </c>
      <c r="T134" s="60" t="n">
        <f aca="false">T130-T133</f>
        <v>0</v>
      </c>
      <c r="U134" s="69" t="n">
        <f aca="false">U130-U133</f>
        <v>0</v>
      </c>
      <c r="V134" s="60" t="n">
        <f aca="false">V130-V133</f>
        <v>0</v>
      </c>
      <c r="W134" s="69" t="n">
        <f aca="false">W130-W133</f>
        <v>0</v>
      </c>
      <c r="X134" s="60" t="e">
        <f aca="false">X130-X133</f>
        <v>#VALUE!</v>
      </c>
      <c r="Y134" s="69" t="e">
        <f aca="false">Y130-Y133</f>
        <v>#VALUE!</v>
      </c>
      <c r="Z134" s="69"/>
      <c r="AB134" s="60" t="s">
        <v>165</v>
      </c>
      <c r="AC134" s="60" t="n">
        <f aca="false">AC130-AC133</f>
        <v>0</v>
      </c>
      <c r="AD134" s="69" t="n">
        <f aca="false">AD130-AD133</f>
        <v>0</v>
      </c>
      <c r="AE134" s="60" t="n">
        <f aca="false">AE130-AE133</f>
        <v>0</v>
      </c>
      <c r="AF134" s="69" t="n">
        <f aca="false">AF130-AF133</f>
        <v>0</v>
      </c>
      <c r="AG134" s="60" t="e">
        <f aca="false">AG130-AG133</f>
        <v>#VALUE!</v>
      </c>
      <c r="AH134" s="69" t="e">
        <f aca="false">AH130-AH133</f>
        <v>#VALUE!</v>
      </c>
      <c r="AI134" s="69"/>
    </row>
    <row r="135" customFormat="false" ht="18.75" hidden="false" customHeight="false" outlineLevel="0" collapsed="false">
      <c r="A135" s="35"/>
      <c r="B135" s="36"/>
      <c r="C135" s="36"/>
      <c r="D135" s="36"/>
      <c r="E135" s="36"/>
      <c r="F135" s="36"/>
      <c r="G135" s="36"/>
      <c r="H135" s="37"/>
      <c r="J135" s="35"/>
      <c r="K135" s="36"/>
      <c r="L135" s="36"/>
      <c r="M135" s="36"/>
      <c r="N135" s="36"/>
      <c r="O135" s="36"/>
      <c r="P135" s="36"/>
      <c r="Q135" s="37"/>
      <c r="S135" s="35"/>
      <c r="T135" s="36"/>
      <c r="U135" s="36"/>
      <c r="V135" s="36"/>
      <c r="W135" s="36"/>
      <c r="X135" s="36"/>
      <c r="Y135" s="36"/>
      <c r="Z135" s="37"/>
      <c r="AB135" s="35"/>
      <c r="AC135" s="36"/>
      <c r="AD135" s="36"/>
      <c r="AE135" s="36"/>
      <c r="AF135" s="36"/>
      <c r="AG135" s="36"/>
      <c r="AH135" s="36"/>
      <c r="AI135" s="37"/>
    </row>
    <row r="136" customFormat="false" ht="19.7" hidden="false" customHeight="false" outlineLevel="0" collapsed="false">
      <c r="A136" s="127"/>
      <c r="B136" s="128"/>
      <c r="C136" s="128"/>
      <c r="D136" s="128"/>
      <c r="E136" s="128"/>
      <c r="F136" s="128"/>
      <c r="G136" s="129" t="s">
        <v>159</v>
      </c>
      <c r="H136" s="130" t="s">
        <v>160</v>
      </c>
      <c r="J136" s="127"/>
      <c r="K136" s="128"/>
      <c r="L136" s="128"/>
      <c r="M136" s="128"/>
      <c r="N136" s="128"/>
      <c r="O136" s="128"/>
      <c r="P136" s="129" t="s">
        <v>159</v>
      </c>
      <c r="Q136" s="130" t="s">
        <v>160</v>
      </c>
      <c r="S136" s="127"/>
      <c r="T136" s="128"/>
      <c r="U136" s="128"/>
      <c r="V136" s="128"/>
      <c r="W136" s="128"/>
      <c r="X136" s="128"/>
      <c r="Y136" s="129" t="s">
        <v>159</v>
      </c>
      <c r="Z136" s="130" t="s">
        <v>160</v>
      </c>
      <c r="AB136" s="127"/>
      <c r="AC136" s="128"/>
      <c r="AD136" s="128"/>
      <c r="AE136" s="128"/>
      <c r="AF136" s="128"/>
      <c r="AG136" s="128"/>
      <c r="AH136" s="129" t="s">
        <v>159</v>
      </c>
      <c r="AI136" s="130" t="s">
        <v>160</v>
      </c>
    </row>
    <row r="137" customFormat="false" ht="18.75" hidden="false" customHeight="false" outlineLevel="0" collapsed="false">
      <c r="A137" s="131" t="s">
        <v>166</v>
      </c>
      <c r="B137" s="132"/>
      <c r="C137" s="132"/>
      <c r="D137" s="132"/>
      <c r="E137" s="132"/>
      <c r="F137" s="132"/>
      <c r="G137" s="133" t="n">
        <f aca="false">H130</f>
        <v>0</v>
      </c>
      <c r="H137" s="134" t="n">
        <f aca="false">SUM(H140:H142)</f>
        <v>0</v>
      </c>
      <c r="J137" s="131" t="s">
        <v>166</v>
      </c>
      <c r="K137" s="132"/>
      <c r="L137" s="132"/>
      <c r="M137" s="132"/>
      <c r="N137" s="132"/>
      <c r="O137" s="132"/>
      <c r="P137" s="133" t="n">
        <f aca="false">Q130</f>
        <v>0</v>
      </c>
      <c r="Q137" s="134" t="n">
        <f aca="false">SUM(Q140:Q142)</f>
        <v>0</v>
      </c>
      <c r="S137" s="131" t="s">
        <v>166</v>
      </c>
      <c r="T137" s="132"/>
      <c r="U137" s="132"/>
      <c r="V137" s="132"/>
      <c r="W137" s="132"/>
      <c r="X137" s="132"/>
      <c r="Y137" s="133" t="n">
        <f aca="false">Z130</f>
        <v>0</v>
      </c>
      <c r="Z137" s="134" t="n">
        <f aca="false">SUM(Z140:Z142)</f>
        <v>0</v>
      </c>
      <c r="AB137" s="131" t="s">
        <v>166</v>
      </c>
      <c r="AC137" s="132"/>
      <c r="AD137" s="132"/>
      <c r="AE137" s="132"/>
      <c r="AF137" s="132"/>
      <c r="AG137" s="132"/>
      <c r="AH137" s="133" t="n">
        <f aca="false">AI130</f>
        <v>0</v>
      </c>
      <c r="AI137" s="134" t="n">
        <f aca="false">SUM(AI140:AI142)</f>
        <v>0</v>
      </c>
    </row>
    <row r="138" customFormat="false" ht="18.75" hidden="false" customHeight="false" outlineLevel="0" collapsed="false">
      <c r="A138" s="35"/>
      <c r="B138" s="36"/>
      <c r="C138" s="36"/>
      <c r="D138" s="36"/>
      <c r="E138" s="36"/>
      <c r="F138" s="36"/>
      <c r="G138" s="135"/>
      <c r="H138" s="136"/>
      <c r="J138" s="35"/>
      <c r="K138" s="36"/>
      <c r="L138" s="36"/>
      <c r="M138" s="36"/>
      <c r="N138" s="36"/>
      <c r="O138" s="36"/>
      <c r="P138" s="135"/>
      <c r="Q138" s="136"/>
      <c r="S138" s="35"/>
      <c r="T138" s="36"/>
      <c r="U138" s="36"/>
      <c r="V138" s="36"/>
      <c r="W138" s="36"/>
      <c r="X138" s="36"/>
      <c r="Y138" s="135"/>
      <c r="Z138" s="136"/>
      <c r="AB138" s="35"/>
      <c r="AC138" s="36"/>
      <c r="AD138" s="36"/>
      <c r="AE138" s="36"/>
      <c r="AF138" s="36"/>
      <c r="AG138" s="36"/>
      <c r="AH138" s="135"/>
      <c r="AI138" s="136"/>
    </row>
    <row r="139" customFormat="false" ht="18.75" hidden="false" customHeight="false" outlineLevel="0" collapsed="false">
      <c r="A139" s="137" t="s">
        <v>167</v>
      </c>
      <c r="B139" s="138" t="s">
        <v>168</v>
      </c>
      <c r="C139" s="138"/>
      <c r="D139" s="138" t="s">
        <v>169</v>
      </c>
      <c r="E139" s="138"/>
      <c r="F139" s="138" t="s">
        <v>163</v>
      </c>
      <c r="G139" s="138"/>
      <c r="H139" s="136" t="s">
        <v>160</v>
      </c>
      <c r="J139" s="137" t="s">
        <v>167</v>
      </c>
      <c r="K139" s="139" t="s">
        <v>168</v>
      </c>
      <c r="L139" s="139"/>
      <c r="M139" s="138" t="s">
        <v>169</v>
      </c>
      <c r="N139" s="138"/>
      <c r="O139" s="138" t="s">
        <v>163</v>
      </c>
      <c r="P139" s="138"/>
      <c r="Q139" s="136" t="s">
        <v>160</v>
      </c>
      <c r="S139" s="137" t="s">
        <v>167</v>
      </c>
      <c r="T139" s="138" t="s">
        <v>168</v>
      </c>
      <c r="U139" s="138"/>
      <c r="V139" s="138" t="s">
        <v>169</v>
      </c>
      <c r="W139" s="138"/>
      <c r="X139" s="138" t="s">
        <v>163</v>
      </c>
      <c r="Y139" s="138"/>
      <c r="Z139" s="136" t="s">
        <v>160</v>
      </c>
      <c r="AB139" s="137" t="s">
        <v>167</v>
      </c>
      <c r="AC139" s="138" t="s">
        <v>168</v>
      </c>
      <c r="AD139" s="138"/>
      <c r="AE139" s="138" t="s">
        <v>169</v>
      </c>
      <c r="AF139" s="138"/>
      <c r="AG139" s="138" t="s">
        <v>163</v>
      </c>
      <c r="AH139" s="138"/>
      <c r="AI139" s="136" t="s">
        <v>160</v>
      </c>
    </row>
    <row r="140" customFormat="false" ht="18.75" hidden="false" customHeight="false" outlineLevel="0" collapsed="false">
      <c r="A140" s="35" t="s">
        <v>170</v>
      </c>
      <c r="B140" s="140" t="n">
        <f aca="false">G137</f>
        <v>0</v>
      </c>
      <c r="C140" s="140"/>
      <c r="D140" s="141" t="n">
        <v>0</v>
      </c>
      <c r="E140" s="141"/>
      <c r="F140" s="140" t="n">
        <v>0</v>
      </c>
      <c r="G140" s="140"/>
      <c r="H140" s="142" t="n">
        <f aca="false">(B140-(B140*D140))-F140</f>
        <v>0</v>
      </c>
      <c r="J140" s="35" t="s">
        <v>170</v>
      </c>
      <c r="K140" s="140" t="n">
        <f aca="false">P137</f>
        <v>0</v>
      </c>
      <c r="L140" s="140"/>
      <c r="M140" s="141" t="n">
        <v>0</v>
      </c>
      <c r="N140" s="141"/>
      <c r="O140" s="140" t="n">
        <v>0</v>
      </c>
      <c r="P140" s="140"/>
      <c r="Q140" s="142" t="n">
        <f aca="false">(K140-(K140*M140))-O140</f>
        <v>0</v>
      </c>
      <c r="S140" s="35" t="s">
        <v>170</v>
      </c>
      <c r="T140" s="140" t="n">
        <f aca="false">Y137</f>
        <v>0</v>
      </c>
      <c r="U140" s="140"/>
      <c r="V140" s="141" t="n">
        <v>0</v>
      </c>
      <c r="W140" s="141"/>
      <c r="X140" s="140" t="n">
        <v>0</v>
      </c>
      <c r="Y140" s="140"/>
      <c r="Z140" s="142" t="n">
        <f aca="false">(T140-(T140*V140))-X140</f>
        <v>0</v>
      </c>
      <c r="AB140" s="35" t="s">
        <v>170</v>
      </c>
      <c r="AC140" s="140" t="n">
        <f aca="false">AH137</f>
        <v>0</v>
      </c>
      <c r="AD140" s="140"/>
      <c r="AE140" s="141" t="n">
        <v>0</v>
      </c>
      <c r="AF140" s="141"/>
      <c r="AG140" s="140" t="n">
        <v>0</v>
      </c>
      <c r="AH140" s="140"/>
      <c r="AI140" s="142" t="n">
        <f aca="false">(AC140-(AC140*AE140))-AG140</f>
        <v>0</v>
      </c>
    </row>
    <row r="141" customFormat="false" ht="18.75" hidden="false" customHeight="false" outlineLevel="0" collapsed="false">
      <c r="A141" s="35" t="s">
        <v>171</v>
      </c>
      <c r="B141" s="140" t="n">
        <v>0</v>
      </c>
      <c r="C141" s="140"/>
      <c r="D141" s="141" t="n">
        <v>0</v>
      </c>
      <c r="E141" s="141"/>
      <c r="F141" s="140" t="n">
        <v>0</v>
      </c>
      <c r="G141" s="140"/>
      <c r="H141" s="142" t="n">
        <f aca="false">(B141-(B141*D141))-F141</f>
        <v>0</v>
      </c>
      <c r="J141" s="35" t="s">
        <v>171</v>
      </c>
      <c r="K141" s="140" t="n">
        <v>0</v>
      </c>
      <c r="L141" s="140"/>
      <c r="M141" s="141" t="n">
        <v>0</v>
      </c>
      <c r="N141" s="141"/>
      <c r="O141" s="140" t="n">
        <v>0</v>
      </c>
      <c r="P141" s="140"/>
      <c r="Q141" s="142" t="n">
        <f aca="false">(K141-(K141*M141))-O141</f>
        <v>0</v>
      </c>
      <c r="S141" s="35" t="s">
        <v>171</v>
      </c>
      <c r="T141" s="140" t="n">
        <v>0</v>
      </c>
      <c r="U141" s="140"/>
      <c r="V141" s="141" t="n">
        <v>0</v>
      </c>
      <c r="W141" s="141"/>
      <c r="X141" s="140" t="n">
        <v>0</v>
      </c>
      <c r="Y141" s="140"/>
      <c r="Z141" s="142" t="n">
        <f aca="false">(T141-(T141*V141))-X141</f>
        <v>0</v>
      </c>
      <c r="AB141" s="35" t="s">
        <v>171</v>
      </c>
      <c r="AC141" s="140" t="n">
        <v>0</v>
      </c>
      <c r="AD141" s="140"/>
      <c r="AE141" s="141" t="n">
        <v>0</v>
      </c>
      <c r="AF141" s="141"/>
      <c r="AG141" s="140" t="n">
        <v>0</v>
      </c>
      <c r="AH141" s="140"/>
      <c r="AI141" s="142" t="n">
        <f aca="false">(AC141-(AC141*AE141))-AG141</f>
        <v>0</v>
      </c>
    </row>
    <row r="142" customFormat="false" ht="18.75" hidden="false" customHeight="false" outlineLevel="0" collapsed="false">
      <c r="A142" s="35" t="s">
        <v>172</v>
      </c>
      <c r="B142" s="140" t="n">
        <v>0</v>
      </c>
      <c r="C142" s="140"/>
      <c r="D142" s="141" t="n">
        <v>0</v>
      </c>
      <c r="E142" s="141"/>
      <c r="F142" s="140" t="n">
        <v>0</v>
      </c>
      <c r="G142" s="140"/>
      <c r="H142" s="142" t="n">
        <f aca="false">(B142-(B142*D142))-F142</f>
        <v>0</v>
      </c>
      <c r="J142" s="35" t="s">
        <v>172</v>
      </c>
      <c r="K142" s="140" t="n">
        <v>0</v>
      </c>
      <c r="L142" s="140"/>
      <c r="M142" s="141" t="n">
        <v>0</v>
      </c>
      <c r="N142" s="141"/>
      <c r="O142" s="140" t="n">
        <v>0</v>
      </c>
      <c r="P142" s="140"/>
      <c r="Q142" s="142" t="n">
        <f aca="false">(K142-(K142*M142))-O142</f>
        <v>0</v>
      </c>
      <c r="S142" s="35" t="s">
        <v>172</v>
      </c>
      <c r="T142" s="140" t="n">
        <v>0</v>
      </c>
      <c r="U142" s="140"/>
      <c r="V142" s="141" t="n">
        <v>0</v>
      </c>
      <c r="W142" s="141"/>
      <c r="X142" s="140" t="n">
        <v>0</v>
      </c>
      <c r="Y142" s="140"/>
      <c r="Z142" s="142" t="n">
        <f aca="false">(T142-(T142*V142))-X142</f>
        <v>0</v>
      </c>
      <c r="AB142" s="35" t="s">
        <v>172</v>
      </c>
      <c r="AC142" s="140" t="n">
        <v>0</v>
      </c>
      <c r="AD142" s="140"/>
      <c r="AE142" s="141" t="n">
        <v>0</v>
      </c>
      <c r="AF142" s="141"/>
      <c r="AG142" s="140" t="n">
        <v>0</v>
      </c>
      <c r="AH142" s="140"/>
      <c r="AI142" s="142" t="n">
        <f aca="false">(AC142-(AC142*AE142))-AG142</f>
        <v>0</v>
      </c>
    </row>
    <row r="143" customFormat="false" ht="18.75" hidden="false" customHeight="false" outlineLevel="0" collapsed="false">
      <c r="A143" s="35"/>
      <c r="B143" s="36"/>
      <c r="C143" s="36"/>
      <c r="D143" s="36"/>
      <c r="E143" s="36"/>
      <c r="F143" s="36"/>
      <c r="G143" s="135"/>
      <c r="H143" s="136"/>
      <c r="J143" s="35"/>
      <c r="K143" s="36"/>
      <c r="L143" s="36"/>
      <c r="M143" s="36"/>
      <c r="N143" s="36"/>
      <c r="O143" s="36"/>
      <c r="P143" s="135"/>
      <c r="Q143" s="136"/>
      <c r="S143" s="35"/>
      <c r="T143" s="36"/>
      <c r="U143" s="36"/>
      <c r="V143" s="36"/>
      <c r="W143" s="36"/>
      <c r="X143" s="36"/>
      <c r="Y143" s="135"/>
      <c r="Z143" s="136"/>
      <c r="AB143" s="35"/>
      <c r="AC143" s="36"/>
      <c r="AD143" s="36"/>
      <c r="AE143" s="36"/>
      <c r="AF143" s="36"/>
      <c r="AG143" s="36"/>
      <c r="AH143" s="135"/>
      <c r="AI143" s="136"/>
    </row>
    <row r="144" customFormat="false" ht="19.7" hidden="false" customHeight="false" outlineLevel="0" collapsed="false">
      <c r="A144" s="143" t="s">
        <v>173</v>
      </c>
      <c r="B144" s="143"/>
      <c r="C144" s="143"/>
      <c r="D144" s="143"/>
      <c r="E144" s="143"/>
      <c r="F144" s="143"/>
      <c r="G144" s="129" t="n">
        <f aca="false">E21</f>
        <v>17500</v>
      </c>
      <c r="H144" s="144" t="n">
        <f aca="false">C134+E134+G134+H137</f>
        <v>19583.33</v>
      </c>
      <c r="J144" s="143" t="s">
        <v>173</v>
      </c>
      <c r="K144" s="143"/>
      <c r="L144" s="143"/>
      <c r="M144" s="143"/>
      <c r="N144" s="143"/>
      <c r="O144" s="143"/>
      <c r="P144" s="129" t="n">
        <f aca="false">H9</f>
        <v>0</v>
      </c>
      <c r="Q144" s="144" t="e">
        <f aca="false">L134+N134+P134+Q137</f>
        <v>#VALUE!</v>
      </c>
      <c r="S144" s="143" t="s">
        <v>173</v>
      </c>
      <c r="T144" s="143"/>
      <c r="U144" s="143"/>
      <c r="V144" s="143"/>
      <c r="W144" s="143"/>
      <c r="X144" s="143"/>
      <c r="Y144" s="129" t="n">
        <f aca="false">H9</f>
        <v>0</v>
      </c>
      <c r="Z144" s="144" t="e">
        <f aca="false">U134+W134+Y134+Z137</f>
        <v>#VALUE!</v>
      </c>
      <c r="AB144" s="143" t="s">
        <v>173</v>
      </c>
      <c r="AC144" s="143"/>
      <c r="AD144" s="143"/>
      <c r="AE144" s="143"/>
      <c r="AF144" s="143"/>
      <c r="AG144" s="143"/>
      <c r="AH144" s="129" t="n">
        <f aca="false">H9</f>
        <v>0</v>
      </c>
      <c r="AI144" s="144" t="e">
        <f aca="false">AD134+AF134+AH134+AI137</f>
        <v>#VALUE!</v>
      </c>
    </row>
    <row r="145" customFormat="false" ht="18.75" hidden="false" customHeight="false" outlineLevel="0" collapsed="false">
      <c r="A145" s="145" t="s">
        <v>174</v>
      </c>
      <c r="B145" s="145"/>
      <c r="C145" s="145"/>
      <c r="D145" s="145"/>
      <c r="E145" s="145"/>
      <c r="F145" s="145"/>
      <c r="G145" s="146" t="n">
        <f aca="false">H19</f>
        <v>0</v>
      </c>
      <c r="H145" s="37" t="n">
        <f aca="false">G145</f>
        <v>0</v>
      </c>
      <c r="J145" s="145" t="s">
        <v>174</v>
      </c>
      <c r="K145" s="145"/>
      <c r="L145" s="145"/>
      <c r="M145" s="145"/>
      <c r="N145" s="145"/>
      <c r="O145" s="145"/>
      <c r="P145" s="146" t="n">
        <f aca="false">H10</f>
        <v>0</v>
      </c>
      <c r="Q145" s="37" t="n">
        <f aca="false">P145</f>
        <v>0</v>
      </c>
      <c r="S145" s="145" t="s">
        <v>174</v>
      </c>
      <c r="T145" s="145"/>
      <c r="U145" s="145"/>
      <c r="V145" s="145"/>
      <c r="W145" s="145"/>
      <c r="X145" s="145"/>
      <c r="Y145" s="146" t="n">
        <f aca="false">H10</f>
        <v>0</v>
      </c>
      <c r="Z145" s="37" t="n">
        <f aca="false">Y145</f>
        <v>0</v>
      </c>
      <c r="AB145" s="145" t="s">
        <v>174</v>
      </c>
      <c r="AC145" s="145"/>
      <c r="AD145" s="145"/>
      <c r="AE145" s="145"/>
      <c r="AF145" s="145"/>
      <c r="AG145" s="145"/>
      <c r="AH145" s="146" t="n">
        <f aca="false">H10</f>
        <v>0</v>
      </c>
      <c r="AI145" s="37" t="n">
        <f aca="false">AH145</f>
        <v>0</v>
      </c>
    </row>
    <row r="146" customFormat="false" ht="18.75" hidden="false" customHeight="false" outlineLevel="0" collapsed="false">
      <c r="A146" s="145" t="s">
        <v>175</v>
      </c>
      <c r="B146" s="145"/>
      <c r="C146" s="145"/>
      <c r="D146" s="145"/>
      <c r="E146" s="145"/>
      <c r="F146" s="145"/>
      <c r="G146" s="37" t="n">
        <f aca="false">(G144+G145)*20%</f>
        <v>3500</v>
      </c>
      <c r="H146" s="37" t="n">
        <f aca="false">(H144+H145)*20%</f>
        <v>3916.666</v>
      </c>
      <c r="J146" s="145" t="s">
        <v>175</v>
      </c>
      <c r="K146" s="145"/>
      <c r="L146" s="145"/>
      <c r="M146" s="145"/>
      <c r="N146" s="145"/>
      <c r="O146" s="145"/>
      <c r="P146" s="146" t="n">
        <f aca="false">H11</f>
        <v>0</v>
      </c>
      <c r="Q146" s="37" t="e">
        <f aca="false">(Q144+Q145)*20%</f>
        <v>#VALUE!</v>
      </c>
      <c r="S146" s="145" t="s">
        <v>175</v>
      </c>
      <c r="T146" s="145"/>
      <c r="U146" s="145"/>
      <c r="V146" s="145"/>
      <c r="W146" s="145"/>
      <c r="X146" s="145"/>
      <c r="Y146" s="146" t="n">
        <f aca="false">H11</f>
        <v>0</v>
      </c>
      <c r="Z146" s="37" t="e">
        <f aca="false">(Z144+Z145)*20%</f>
        <v>#VALUE!</v>
      </c>
      <c r="AB146" s="145" t="s">
        <v>175</v>
      </c>
      <c r="AC146" s="145"/>
      <c r="AD146" s="145"/>
      <c r="AE146" s="145"/>
      <c r="AF146" s="145"/>
      <c r="AG146" s="145"/>
      <c r="AH146" s="146" t="n">
        <f aca="false">H11</f>
        <v>0</v>
      </c>
      <c r="AI146" s="37" t="e">
        <f aca="false">(AI144+AI145)*20%</f>
        <v>#VALUE!</v>
      </c>
    </row>
    <row r="147" customFormat="false" ht="18.75" hidden="false" customHeight="false" outlineLevel="0" collapsed="false">
      <c r="A147" s="145" t="s">
        <v>176</v>
      </c>
      <c r="B147" s="145"/>
      <c r="C147" s="145"/>
      <c r="D147" s="145"/>
      <c r="E147" s="145"/>
      <c r="F147" s="145"/>
      <c r="G147" s="146" t="n">
        <f aca="false">H21</f>
        <v>0</v>
      </c>
      <c r="H147" s="37" t="n">
        <v>0</v>
      </c>
      <c r="J147" s="145" t="s">
        <v>176</v>
      </c>
      <c r="K147" s="145"/>
      <c r="L147" s="145"/>
      <c r="M147" s="145"/>
      <c r="N147" s="145"/>
      <c r="O147" s="145"/>
      <c r="P147" s="146" t="n">
        <f aca="false">H12</f>
        <v>0</v>
      </c>
      <c r="Q147" s="37" t="n">
        <f aca="false">P147</f>
        <v>0</v>
      </c>
      <c r="S147" s="145" t="s">
        <v>176</v>
      </c>
      <c r="T147" s="145"/>
      <c r="U147" s="145"/>
      <c r="V147" s="145"/>
      <c r="W147" s="145"/>
      <c r="X147" s="145"/>
      <c r="Y147" s="146" t="n">
        <f aca="false">H12</f>
        <v>0</v>
      </c>
      <c r="Z147" s="37" t="n">
        <f aca="false">Y147</f>
        <v>0</v>
      </c>
      <c r="AB147" s="145" t="s">
        <v>176</v>
      </c>
      <c r="AC147" s="145"/>
      <c r="AD147" s="145"/>
      <c r="AE147" s="145"/>
      <c r="AF147" s="145"/>
      <c r="AG147" s="145"/>
      <c r="AH147" s="146" t="n">
        <f aca="false">H12</f>
        <v>0</v>
      </c>
      <c r="AI147" s="37" t="n">
        <f aca="false">AH147</f>
        <v>0</v>
      </c>
    </row>
    <row r="148" customFormat="false" ht="18.75" hidden="false" customHeight="false" outlineLevel="0" collapsed="false">
      <c r="A148" s="145" t="s">
        <v>177</v>
      </c>
      <c r="B148" s="145"/>
      <c r="C148" s="145"/>
      <c r="D148" s="145"/>
      <c r="E148" s="145"/>
      <c r="F148" s="145"/>
      <c r="G148" s="146" t="n">
        <f aca="false">H22</f>
        <v>0</v>
      </c>
      <c r="H148" s="37" t="n">
        <f aca="false">G148</f>
        <v>0</v>
      </c>
      <c r="J148" s="145" t="s">
        <v>177</v>
      </c>
      <c r="K148" s="145"/>
      <c r="L148" s="145"/>
      <c r="M148" s="145"/>
      <c r="N148" s="145"/>
      <c r="O148" s="145"/>
      <c r="P148" s="146" t="n">
        <f aca="false">H13</f>
        <v>0</v>
      </c>
      <c r="Q148" s="37" t="n">
        <f aca="false">P148</f>
        <v>0</v>
      </c>
      <c r="S148" s="145" t="s">
        <v>177</v>
      </c>
      <c r="T148" s="145"/>
      <c r="U148" s="145"/>
      <c r="V148" s="145"/>
      <c r="W148" s="145"/>
      <c r="X148" s="145"/>
      <c r="Y148" s="146" t="n">
        <f aca="false">H13</f>
        <v>0</v>
      </c>
      <c r="Z148" s="37" t="n">
        <f aca="false">Y148</f>
        <v>0</v>
      </c>
      <c r="AB148" s="145" t="s">
        <v>177</v>
      </c>
      <c r="AC148" s="145"/>
      <c r="AD148" s="145"/>
      <c r="AE148" s="145"/>
      <c r="AF148" s="145"/>
      <c r="AG148" s="145"/>
      <c r="AH148" s="146" t="n">
        <f aca="false">H13</f>
        <v>0</v>
      </c>
      <c r="AI148" s="37" t="n">
        <f aca="false">AH148</f>
        <v>0</v>
      </c>
    </row>
    <row r="149" customFormat="false" ht="18.75" hidden="false" customHeight="false" outlineLevel="0" collapsed="false">
      <c r="A149" s="145" t="s">
        <v>178</v>
      </c>
      <c r="B149" s="145"/>
      <c r="C149" s="145"/>
      <c r="D149" s="145"/>
      <c r="E149" s="145"/>
      <c r="F149" s="145"/>
      <c r="G149" s="146" t="n">
        <f aca="false">H23</f>
        <v>0</v>
      </c>
      <c r="H149" s="37" t="n">
        <f aca="false">G149</f>
        <v>0</v>
      </c>
      <c r="J149" s="145" t="s">
        <v>178</v>
      </c>
      <c r="K149" s="145"/>
      <c r="L149" s="145"/>
      <c r="M149" s="145"/>
      <c r="N149" s="145"/>
      <c r="O149" s="145"/>
      <c r="P149" s="146" t="n">
        <f aca="false">H14</f>
        <v>0</v>
      </c>
      <c r="Q149" s="37" t="n">
        <v>55</v>
      </c>
      <c r="S149" s="145" t="s">
        <v>178</v>
      </c>
      <c r="T149" s="145"/>
      <c r="U149" s="145"/>
      <c r="V149" s="145"/>
      <c r="W149" s="145"/>
      <c r="X149" s="145"/>
      <c r="Y149" s="146" t="n">
        <f aca="false">H14</f>
        <v>0</v>
      </c>
      <c r="Z149" s="37" t="n">
        <v>55</v>
      </c>
      <c r="AB149" s="145" t="s">
        <v>178</v>
      </c>
      <c r="AC149" s="145"/>
      <c r="AD149" s="145"/>
      <c r="AE149" s="145"/>
      <c r="AF149" s="145"/>
      <c r="AG149" s="145"/>
      <c r="AH149" s="146" t="n">
        <f aca="false">H14</f>
        <v>0</v>
      </c>
      <c r="AI149" s="37" t="n">
        <v>55</v>
      </c>
    </row>
    <row r="150" customFormat="false" ht="19.7" hidden="false" customHeight="false" outlineLevel="0" collapsed="false">
      <c r="A150" s="145" t="s">
        <v>179</v>
      </c>
      <c r="B150" s="145"/>
      <c r="C150" s="145"/>
      <c r="D150" s="145"/>
      <c r="E150" s="145"/>
      <c r="F150" s="145"/>
      <c r="G150" s="147" t="n">
        <f aca="false">(G144+G145+G148+G149+G146)-G147</f>
        <v>21000</v>
      </c>
      <c r="H150" s="147" t="n">
        <f aca="false">(H144+H145+H148+H149+H146)-H147</f>
        <v>23499.996</v>
      </c>
      <c r="J150" s="145" t="s">
        <v>179</v>
      </c>
      <c r="K150" s="145"/>
      <c r="L150" s="145"/>
      <c r="M150" s="145"/>
      <c r="N150" s="145"/>
      <c r="O150" s="145"/>
      <c r="P150" s="148" t="n">
        <f aca="false">H15</f>
        <v>0</v>
      </c>
      <c r="Q150" s="147" t="e">
        <f aca="false">(Q144+Q145+Q148+Q149+Q146)-Q147</f>
        <v>#VALUE!</v>
      </c>
      <c r="S150" s="145" t="s">
        <v>179</v>
      </c>
      <c r="T150" s="145"/>
      <c r="U150" s="145"/>
      <c r="V150" s="145"/>
      <c r="W150" s="145"/>
      <c r="X150" s="145"/>
      <c r="Y150" s="148" t="n">
        <f aca="false">H15</f>
        <v>0</v>
      </c>
      <c r="Z150" s="147" t="e">
        <f aca="false">(Z144+Z145+Z148+Z149+Z146)-Z147</f>
        <v>#VALUE!</v>
      </c>
      <c r="AB150" s="145" t="s">
        <v>179</v>
      </c>
      <c r="AC150" s="145"/>
      <c r="AD150" s="145"/>
      <c r="AE150" s="145"/>
      <c r="AF150" s="145"/>
      <c r="AG150" s="145"/>
      <c r="AH150" s="148" t="n">
        <f aca="false">H15</f>
        <v>0</v>
      </c>
      <c r="AI150" s="147" t="e">
        <f aca="false">(AI144+AI145+AI148+AI149+AI146)-AI147</f>
        <v>#VALUE!</v>
      </c>
    </row>
    <row r="151" customFormat="false" ht="18.75" hidden="false" customHeight="false" outlineLevel="0" collapsed="false">
      <c r="A151" s="145" t="s">
        <v>180</v>
      </c>
      <c r="B151" s="145"/>
      <c r="C151" s="145"/>
      <c r="D151" s="145"/>
      <c r="E151" s="145"/>
      <c r="F151" s="145"/>
      <c r="G151" s="44" t="n">
        <f aca="false">F151</f>
        <v>0</v>
      </c>
      <c r="H151" s="44" t="n">
        <f aca="false">G151</f>
        <v>0</v>
      </c>
      <c r="J151" s="145" t="s">
        <v>180</v>
      </c>
      <c r="K151" s="145"/>
      <c r="L151" s="145"/>
      <c r="M151" s="145"/>
      <c r="N151" s="145"/>
      <c r="O151" s="145"/>
      <c r="P151" s="146" t="n">
        <f aca="false">H16</f>
        <v>0</v>
      </c>
      <c r="Q151" s="44" t="n">
        <f aca="false">P151</f>
        <v>0</v>
      </c>
      <c r="S151" s="145" t="s">
        <v>180</v>
      </c>
      <c r="T151" s="145"/>
      <c r="U151" s="145"/>
      <c r="V151" s="145"/>
      <c r="W151" s="145"/>
      <c r="X151" s="145"/>
      <c r="Y151" s="146" t="n">
        <f aca="false">H16</f>
        <v>0</v>
      </c>
      <c r="Z151" s="44" t="n">
        <f aca="false">Y151</f>
        <v>0</v>
      </c>
      <c r="AB151" s="145" t="s">
        <v>180</v>
      </c>
      <c r="AC151" s="145"/>
      <c r="AD151" s="145"/>
      <c r="AE151" s="145"/>
      <c r="AF151" s="145"/>
      <c r="AG151" s="145"/>
      <c r="AH151" s="146" t="n">
        <f aca="false">H16</f>
        <v>0</v>
      </c>
      <c r="AI151" s="44" t="n">
        <f aca="false">AH151</f>
        <v>0</v>
      </c>
    </row>
    <row r="152" customFormat="false" ht="18.75" hidden="false" customHeight="false" outlineLevel="0" collapsed="false">
      <c r="A152" s="113" t="s">
        <v>181</v>
      </c>
      <c r="B152" s="113"/>
      <c r="C152" s="113"/>
      <c r="D152" s="113"/>
      <c r="E152" s="113" t="n">
        <v>0</v>
      </c>
      <c r="F152" s="113"/>
      <c r="G152" s="37" t="n">
        <v>0</v>
      </c>
      <c r="H152" s="37"/>
      <c r="J152" s="149" t="s">
        <v>181</v>
      </c>
      <c r="K152" s="149"/>
      <c r="L152" s="149"/>
      <c r="M152" s="149"/>
      <c r="N152" s="149"/>
      <c r="O152" s="149"/>
      <c r="P152" s="42"/>
      <c r="Q152" s="37"/>
      <c r="S152" s="113" t="s">
        <v>181</v>
      </c>
      <c r="T152" s="113"/>
      <c r="U152" s="113"/>
      <c r="V152" s="113"/>
      <c r="W152" s="113"/>
      <c r="X152" s="113"/>
      <c r="Y152" s="42"/>
      <c r="Z152" s="37"/>
      <c r="AB152" s="113" t="s">
        <v>181</v>
      </c>
      <c r="AC152" s="113"/>
      <c r="AD152" s="113"/>
      <c r="AE152" s="113"/>
      <c r="AF152" s="113"/>
      <c r="AG152" s="113"/>
      <c r="AH152" s="42"/>
      <c r="AI152" s="37"/>
    </row>
    <row r="153" customFormat="false" ht="18.75" hidden="false" customHeight="false" outlineLevel="0" collapsed="false">
      <c r="A153" s="150" t="s">
        <v>26</v>
      </c>
      <c r="B153" s="151" t="n">
        <v>0</v>
      </c>
      <c r="C153" s="151"/>
      <c r="D153" s="151"/>
      <c r="E153" s="151"/>
      <c r="F153" s="151"/>
      <c r="G153" s="44" t="n">
        <v>0</v>
      </c>
      <c r="H153" s="44" t="n">
        <v>0</v>
      </c>
      <c r="J153" s="150" t="s">
        <v>26</v>
      </c>
      <c r="K153" s="151" t="s">
        <v>182</v>
      </c>
      <c r="L153" s="151"/>
      <c r="M153" s="151"/>
      <c r="N153" s="151"/>
      <c r="O153" s="151"/>
      <c r="P153" s="146" t="n">
        <f aca="false">H18</f>
        <v>0</v>
      </c>
      <c r="Q153" s="44" t="n">
        <f aca="false">P153</f>
        <v>0</v>
      </c>
      <c r="S153" s="150" t="s">
        <v>26</v>
      </c>
      <c r="T153" s="151" t="s">
        <v>182</v>
      </c>
      <c r="U153" s="151"/>
      <c r="V153" s="151"/>
      <c r="W153" s="151"/>
      <c r="X153" s="151"/>
      <c r="Y153" s="146" t="n">
        <f aca="false">H18</f>
        <v>0</v>
      </c>
      <c r="Z153" s="44" t="n">
        <f aca="false">Y153</f>
        <v>0</v>
      </c>
      <c r="AB153" s="150" t="s">
        <v>26</v>
      </c>
      <c r="AC153" s="151" t="s">
        <v>182</v>
      </c>
      <c r="AD153" s="151"/>
      <c r="AE153" s="151"/>
      <c r="AF153" s="151"/>
      <c r="AG153" s="151"/>
      <c r="AH153" s="146" t="n">
        <f aca="false">H18</f>
        <v>0</v>
      </c>
      <c r="AI153" s="44" t="n">
        <f aca="false">AH153</f>
        <v>0</v>
      </c>
    </row>
    <row r="154" customFormat="false" ht="18.75" hidden="false" customHeight="false" outlineLevel="0" collapsed="false">
      <c r="A154" s="150" t="s">
        <v>28</v>
      </c>
      <c r="B154" s="151" t="s">
        <v>182</v>
      </c>
      <c r="C154" s="151"/>
      <c r="D154" s="151"/>
      <c r="E154" s="151"/>
      <c r="F154" s="151"/>
      <c r="G154" s="44" t="n">
        <v>0</v>
      </c>
      <c r="H154" s="44" t="n">
        <v>0</v>
      </c>
      <c r="I154" s="6" t="n">
        <f aca="false">(G151+G154+G155+G153)</f>
        <v>0</v>
      </c>
      <c r="J154" s="150" t="s">
        <v>28</v>
      </c>
      <c r="K154" s="151" t="s">
        <v>182</v>
      </c>
      <c r="L154" s="151"/>
      <c r="M154" s="151"/>
      <c r="N154" s="151"/>
      <c r="O154" s="151"/>
      <c r="P154" s="146" t="n">
        <f aca="false">H19</f>
        <v>0</v>
      </c>
      <c r="Q154" s="44" t="n">
        <f aca="false">P154</f>
        <v>0</v>
      </c>
      <c r="S154" s="150" t="s">
        <v>28</v>
      </c>
      <c r="T154" s="151" t="s">
        <v>182</v>
      </c>
      <c r="U154" s="151"/>
      <c r="V154" s="151"/>
      <c r="W154" s="151"/>
      <c r="X154" s="151"/>
      <c r="Y154" s="146" t="n">
        <f aca="false">H19</f>
        <v>0</v>
      </c>
      <c r="Z154" s="44" t="n">
        <f aca="false">Y154</f>
        <v>0</v>
      </c>
      <c r="AB154" s="150" t="s">
        <v>28</v>
      </c>
      <c r="AC154" s="151" t="s">
        <v>182</v>
      </c>
      <c r="AD154" s="151"/>
      <c r="AE154" s="151"/>
      <c r="AF154" s="151"/>
      <c r="AG154" s="151"/>
      <c r="AH154" s="146" t="n">
        <f aca="false">H19</f>
        <v>0</v>
      </c>
      <c r="AI154" s="44" t="n">
        <f aca="false">AH154</f>
        <v>0</v>
      </c>
    </row>
    <row r="155" customFormat="false" ht="18.75" hidden="false" customHeight="false" outlineLevel="0" collapsed="false">
      <c r="A155" s="152" t="s">
        <v>29</v>
      </c>
      <c r="B155" s="153" t="s">
        <v>182</v>
      </c>
      <c r="C155" s="153"/>
      <c r="D155" s="153"/>
      <c r="E155" s="153"/>
      <c r="F155" s="153"/>
      <c r="G155" s="44" t="n">
        <v>0</v>
      </c>
      <c r="H155" s="44" t="n">
        <v>0</v>
      </c>
      <c r="I155" s="6" t="n">
        <f aca="false">(H151+H153+H154+H155)</f>
        <v>0</v>
      </c>
      <c r="J155" s="152" t="s">
        <v>29</v>
      </c>
      <c r="K155" s="153" t="s">
        <v>182</v>
      </c>
      <c r="L155" s="153"/>
      <c r="M155" s="153"/>
      <c r="N155" s="153"/>
      <c r="O155" s="153"/>
      <c r="P155" s="146" t="n">
        <f aca="false">H20</f>
        <v>0</v>
      </c>
      <c r="Q155" s="44" t="n">
        <f aca="false">P155</f>
        <v>0</v>
      </c>
      <c r="S155" s="152" t="s">
        <v>29</v>
      </c>
      <c r="T155" s="153" t="s">
        <v>182</v>
      </c>
      <c r="U155" s="153"/>
      <c r="V155" s="153"/>
      <c r="W155" s="153"/>
      <c r="X155" s="153"/>
      <c r="Y155" s="146" t="n">
        <f aca="false">H20</f>
        <v>0</v>
      </c>
      <c r="Z155" s="44" t="n">
        <f aca="false">Y155</f>
        <v>0</v>
      </c>
      <c r="AB155" s="152" t="s">
        <v>29</v>
      </c>
      <c r="AC155" s="153" t="s">
        <v>182</v>
      </c>
      <c r="AD155" s="153"/>
      <c r="AE155" s="153"/>
      <c r="AF155" s="153"/>
      <c r="AG155" s="153"/>
      <c r="AH155" s="146" t="n">
        <f aca="false">H20</f>
        <v>0</v>
      </c>
      <c r="AI155" s="44" t="n">
        <f aca="false">AH155</f>
        <v>0</v>
      </c>
    </row>
    <row r="156" customFormat="false" ht="19.7" hidden="false" customHeight="false" outlineLevel="0" collapsed="false">
      <c r="A156" s="145" t="s">
        <v>183</v>
      </c>
      <c r="B156" s="145"/>
      <c r="C156" s="145"/>
      <c r="D156" s="145"/>
      <c r="E156" s="145"/>
      <c r="F156" s="145"/>
      <c r="G156" s="154" t="n">
        <f aca="false">G150-((G153*1.2)+(G154*1.2)+(G155*1.2)+(G151*1.2))</f>
        <v>21000</v>
      </c>
      <c r="H156" s="154" t="n">
        <f aca="false">H150-((H153*1.2)+(H154*1.2)+(H155*1.2)+(H151*1.2))</f>
        <v>23499.996</v>
      </c>
      <c r="J156" s="155" t="s">
        <v>183</v>
      </c>
      <c r="K156" s="155"/>
      <c r="L156" s="155"/>
      <c r="M156" s="155"/>
      <c r="N156" s="155"/>
      <c r="O156" s="155"/>
      <c r="P156" s="148" t="n">
        <f aca="false">P150-((P153*1.2)+(P154*1.2)+(P155*1.2)+(P151*1.2))</f>
        <v>0</v>
      </c>
      <c r="Q156" s="154" t="e">
        <f aca="false">Q150-((Q153*1.2)+(Q154*1.2)+(Q155*1.2)+(Q151*1.2))</f>
        <v>#VALUE!</v>
      </c>
      <c r="S156" s="145" t="s">
        <v>183</v>
      </c>
      <c r="T156" s="145"/>
      <c r="U156" s="145"/>
      <c r="V156" s="145"/>
      <c r="W156" s="145"/>
      <c r="X156" s="145"/>
      <c r="Y156" s="148" t="n">
        <f aca="false">Y150-((Y153*1.2)+(Y154*1.2)+(Y155*1.2)+(Y151*1.2))</f>
        <v>0</v>
      </c>
      <c r="Z156" s="154" t="e">
        <f aca="false">Z150-((Z153*1.2)+(Z154*1.2)+(Z155*1.2)+(Z151*1.2))</f>
        <v>#VALUE!</v>
      </c>
      <c r="AB156" s="145" t="s">
        <v>183</v>
      </c>
      <c r="AC156" s="145"/>
      <c r="AD156" s="145"/>
      <c r="AE156" s="145"/>
      <c r="AF156" s="145"/>
      <c r="AG156" s="145"/>
      <c r="AH156" s="148" t="n">
        <f aca="false">AH150-((AH153*1.2)+(AH154*1.2)+(AH155*1.2)+(AH151*1.2))</f>
        <v>0</v>
      </c>
      <c r="AI156" s="154" t="e">
        <f aca="false">AI150-((AI153*1.2)+(AI154*1.2)+(AI155*1.2)+(AI151*1.2))</f>
        <v>#VALUE!</v>
      </c>
    </row>
    <row r="157" customFormat="false" ht="18.75" hidden="false" customHeight="false" outlineLevel="0" collapsed="false">
      <c r="A157" s="145" t="s">
        <v>184</v>
      </c>
      <c r="B157" s="145"/>
      <c r="C157" s="145"/>
      <c r="D157" s="145"/>
      <c r="E157" s="145"/>
      <c r="F157" s="145"/>
      <c r="G157" s="146"/>
      <c r="H157" s="44" t="n">
        <f aca="false">((H156-G156)-(H146-G146))+((I155-I154)*0.2)</f>
        <v>2083.33</v>
      </c>
      <c r="I157" s="6" t="n">
        <f aca="false">(H157-G90)/1.2</f>
        <v>-14930.5583333333</v>
      </c>
      <c r="J157" s="145" t="s">
        <v>184</v>
      </c>
      <c r="K157" s="145"/>
      <c r="L157" s="145"/>
      <c r="M157" s="145"/>
      <c r="N157" s="145"/>
      <c r="O157" s="145"/>
      <c r="P157" s="146"/>
      <c r="Q157" s="44" t="e">
        <f aca="false">Q156-P156</f>
        <v>#VALUE!</v>
      </c>
      <c r="S157" s="145" t="s">
        <v>184</v>
      </c>
      <c r="T157" s="145"/>
      <c r="U157" s="145"/>
      <c r="V157" s="145"/>
      <c r="W157" s="145"/>
      <c r="X157" s="145"/>
      <c r="Y157" s="146"/>
      <c r="Z157" s="44" t="e">
        <f aca="false">Z156-Y156</f>
        <v>#VALUE!</v>
      </c>
      <c r="AB157" s="145" t="s">
        <v>184</v>
      </c>
      <c r="AC157" s="145"/>
      <c r="AD157" s="145"/>
      <c r="AE157" s="145"/>
      <c r="AF157" s="145"/>
      <c r="AG157" s="145"/>
      <c r="AH157" s="146"/>
      <c r="AI157" s="44" t="e">
        <f aca="false">AI156-AH156</f>
        <v>#VALUE!</v>
      </c>
    </row>
    <row r="158" customFormat="false" ht="18.75" hidden="false" customHeight="false" outlineLevel="0" collapsed="false">
      <c r="A158" s="35"/>
      <c r="B158" s="36"/>
      <c r="C158" s="36"/>
      <c r="D158" s="36"/>
      <c r="E158" s="27"/>
      <c r="F158" s="27"/>
      <c r="G158" s="27"/>
      <c r="H158" s="37"/>
      <c r="J158" s="35"/>
      <c r="K158" s="36"/>
      <c r="L158" s="36"/>
      <c r="M158" s="36"/>
      <c r="N158" s="27"/>
      <c r="O158" s="27"/>
      <c r="P158" s="27"/>
      <c r="Q158" s="37"/>
      <c r="S158" s="35"/>
      <c r="T158" s="36"/>
      <c r="U158" s="36"/>
      <c r="V158" s="36"/>
      <c r="W158" s="27"/>
      <c r="X158" s="27"/>
      <c r="Y158" s="27"/>
      <c r="Z158" s="37"/>
      <c r="AB158" s="35"/>
      <c r="AC158" s="36"/>
      <c r="AD158" s="36"/>
      <c r="AE158" s="36"/>
      <c r="AF158" s="27"/>
      <c r="AG158" s="27"/>
      <c r="AH158" s="27"/>
      <c r="AI158" s="37"/>
    </row>
    <row r="159" customFormat="false" ht="22.05" hidden="false" customHeight="false" outlineLevel="0" collapsed="false">
      <c r="A159" s="32" t="s">
        <v>185</v>
      </c>
      <c r="B159" s="32"/>
      <c r="C159" s="32"/>
      <c r="D159" s="32"/>
      <c r="E159" s="32"/>
      <c r="F159" s="32"/>
      <c r="G159" s="32"/>
      <c r="H159" s="32"/>
      <c r="J159" s="32" t="s">
        <v>185</v>
      </c>
      <c r="K159" s="32"/>
      <c r="L159" s="32"/>
      <c r="M159" s="32"/>
      <c r="N159" s="32"/>
      <c r="O159" s="32"/>
      <c r="P159" s="32"/>
      <c r="Q159" s="32"/>
      <c r="S159" s="32" t="s">
        <v>185</v>
      </c>
      <c r="T159" s="32"/>
      <c r="U159" s="32"/>
      <c r="V159" s="32"/>
      <c r="W159" s="32"/>
      <c r="X159" s="32"/>
      <c r="Y159" s="32"/>
      <c r="Z159" s="32"/>
      <c r="AB159" s="32" t="s">
        <v>185</v>
      </c>
      <c r="AC159" s="32"/>
      <c r="AD159" s="32"/>
      <c r="AE159" s="32"/>
      <c r="AF159" s="32"/>
      <c r="AG159" s="32"/>
      <c r="AH159" s="32"/>
      <c r="AI159" s="32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 t="s">
        <v>186</v>
      </c>
      <c r="B161" s="36"/>
      <c r="C161" s="36"/>
      <c r="D161" s="27"/>
      <c r="E161" s="109" t="n">
        <v>0</v>
      </c>
      <c r="F161" s="109"/>
      <c r="G161" s="109" t="n">
        <v>0</v>
      </c>
      <c r="H161" s="109"/>
      <c r="J161" s="35" t="s">
        <v>186</v>
      </c>
      <c r="K161" s="36"/>
      <c r="L161" s="36"/>
      <c r="M161" s="27"/>
      <c r="N161" s="109" t="n">
        <v>10000</v>
      </c>
      <c r="O161" s="109"/>
      <c r="P161" s="109" t="n">
        <v>5000</v>
      </c>
      <c r="Q161" s="109"/>
      <c r="S161" s="35" t="s">
        <v>186</v>
      </c>
      <c r="T161" s="36"/>
      <c r="U161" s="36"/>
      <c r="V161" s="27"/>
      <c r="W161" s="109" t="n">
        <v>10000</v>
      </c>
      <c r="X161" s="109"/>
      <c r="Y161" s="109" t="n">
        <v>5000</v>
      </c>
      <c r="Z161" s="109"/>
      <c r="AB161" s="35" t="s">
        <v>186</v>
      </c>
      <c r="AC161" s="36"/>
      <c r="AD161" s="36"/>
      <c r="AE161" s="27"/>
      <c r="AF161" s="109" t="n">
        <v>10000</v>
      </c>
      <c r="AG161" s="109"/>
      <c r="AH161" s="109" t="n">
        <v>5000</v>
      </c>
      <c r="AI161" s="109"/>
    </row>
    <row r="162" customFormat="false" ht="18.75" hidden="false" customHeight="false" outlineLevel="0" collapsed="false">
      <c r="A162" s="35" t="s">
        <v>187</v>
      </c>
      <c r="B162" s="36"/>
      <c r="C162" s="36"/>
      <c r="D162" s="27"/>
      <c r="E162" s="156" t="n">
        <f aca="false">G162</f>
        <v>0</v>
      </c>
      <c r="F162" s="156"/>
      <c r="G162" s="109" t="n">
        <v>0</v>
      </c>
      <c r="H162" s="109"/>
      <c r="J162" s="35" t="s">
        <v>187</v>
      </c>
      <c r="K162" s="36"/>
      <c r="L162" s="36"/>
      <c r="M162" s="27"/>
      <c r="N162" s="156" t="n">
        <f aca="false">P162</f>
        <v>7000</v>
      </c>
      <c r="O162" s="156"/>
      <c r="P162" s="109" t="n">
        <v>7000</v>
      </c>
      <c r="Q162" s="109"/>
      <c r="S162" s="35" t="s">
        <v>187</v>
      </c>
      <c r="T162" s="36"/>
      <c r="U162" s="36"/>
      <c r="V162" s="27"/>
      <c r="W162" s="156" t="n">
        <f aca="false">Y162</f>
        <v>7000</v>
      </c>
      <c r="X162" s="156"/>
      <c r="Y162" s="109" t="n">
        <v>7000</v>
      </c>
      <c r="Z162" s="109"/>
      <c r="AB162" s="35" t="s">
        <v>187</v>
      </c>
      <c r="AC162" s="36"/>
      <c r="AD162" s="36"/>
      <c r="AE162" s="27"/>
      <c r="AF162" s="156" t="n">
        <f aca="false">AH162</f>
        <v>7000</v>
      </c>
      <c r="AG162" s="156"/>
      <c r="AH162" s="109" t="n">
        <v>7000</v>
      </c>
      <c r="AI162" s="109"/>
    </row>
    <row r="163" customFormat="false" ht="18.75" hidden="false" customHeight="false" outlineLevel="0" collapsed="false">
      <c r="A163" s="35" t="s">
        <v>188</v>
      </c>
      <c r="B163" s="36"/>
      <c r="C163" s="36"/>
      <c r="D163" s="27"/>
      <c r="E163" s="156" t="n">
        <f aca="false">E161-E162</f>
        <v>0</v>
      </c>
      <c r="F163" s="156"/>
      <c r="G163" s="157" t="n">
        <f aca="false">G161-G162</f>
        <v>0</v>
      </c>
      <c r="H163" s="157"/>
      <c r="J163" s="35" t="s">
        <v>188</v>
      </c>
      <c r="K163" s="36"/>
      <c r="L163" s="36"/>
      <c r="M163" s="27"/>
      <c r="N163" s="156" t="n">
        <f aca="false">N161-N162</f>
        <v>3000</v>
      </c>
      <c r="O163" s="156"/>
      <c r="P163" s="157" t="n">
        <f aca="false">P161-P162</f>
        <v>-2000</v>
      </c>
      <c r="Q163" s="157"/>
      <c r="S163" s="35" t="s">
        <v>188</v>
      </c>
      <c r="T163" s="36"/>
      <c r="U163" s="36"/>
      <c r="V163" s="27"/>
      <c r="W163" s="156" t="n">
        <f aca="false">W161-W162</f>
        <v>3000</v>
      </c>
      <c r="X163" s="156"/>
      <c r="Y163" s="157" t="n">
        <f aca="false">Y161-Y162</f>
        <v>-2000</v>
      </c>
      <c r="Z163" s="157"/>
      <c r="AB163" s="35" t="s">
        <v>188</v>
      </c>
      <c r="AC163" s="36"/>
      <c r="AD163" s="36"/>
      <c r="AE163" s="27"/>
      <c r="AF163" s="156" t="n">
        <f aca="false">AF161-AF162</f>
        <v>3000</v>
      </c>
      <c r="AG163" s="156"/>
      <c r="AH163" s="157" t="n">
        <f aca="false">AH161-AH162</f>
        <v>-2000</v>
      </c>
      <c r="AI163" s="157"/>
    </row>
    <row r="164" customFormat="false" ht="18.75" hidden="false" customHeight="false" outlineLevel="0" collapsed="false">
      <c r="A164" s="35" t="s">
        <v>189</v>
      </c>
      <c r="B164" s="36"/>
      <c r="C164" s="36"/>
      <c r="D164" s="27"/>
      <c r="E164" s="156" t="n">
        <f aca="false">E163-G163</f>
        <v>0</v>
      </c>
      <c r="F164" s="156"/>
      <c r="G164" s="27"/>
      <c r="H164" s="37"/>
      <c r="J164" s="35" t="s">
        <v>189</v>
      </c>
      <c r="K164" s="36"/>
      <c r="L164" s="36"/>
      <c r="M164" s="27"/>
      <c r="N164" s="156" t="n">
        <f aca="false">N163-P163</f>
        <v>5000</v>
      </c>
      <c r="O164" s="156"/>
      <c r="P164" s="27"/>
      <c r="Q164" s="37"/>
      <c r="S164" s="35" t="s">
        <v>189</v>
      </c>
      <c r="T164" s="36"/>
      <c r="U164" s="36"/>
      <c r="V164" s="27"/>
      <c r="W164" s="156" t="n">
        <f aca="false">W163-Y163</f>
        <v>5000</v>
      </c>
      <c r="X164" s="156"/>
      <c r="Y164" s="27"/>
      <c r="Z164" s="37"/>
      <c r="AB164" s="35" t="s">
        <v>189</v>
      </c>
      <c r="AC164" s="36"/>
      <c r="AD164" s="36"/>
      <c r="AE164" s="27"/>
      <c r="AF164" s="156" t="n">
        <f aca="false">AF163-AH163</f>
        <v>5000</v>
      </c>
      <c r="AG164" s="156"/>
      <c r="AH164" s="27"/>
      <c r="AI164" s="37"/>
    </row>
    <row r="165" customFormat="false" ht="18.75" hidden="false" customHeight="false" outlineLevel="0" collapsed="false">
      <c r="A165" s="29" t="s">
        <v>190</v>
      </c>
      <c r="B165" s="30"/>
      <c r="C165" s="30"/>
      <c r="D165" s="79"/>
      <c r="E165" s="30"/>
      <c r="F165" s="79"/>
      <c r="G165" s="158" t="s">
        <v>10</v>
      </c>
      <c r="H165" s="44" t="n">
        <v>1400</v>
      </c>
      <c r="J165" s="35"/>
      <c r="K165" s="36"/>
      <c r="L165" s="36"/>
      <c r="M165" s="27"/>
      <c r="N165" s="36"/>
      <c r="O165" s="27"/>
      <c r="P165" s="27"/>
      <c r="Q165" s="37"/>
      <c r="S165" s="35"/>
      <c r="T165" s="36"/>
      <c r="U165" s="36"/>
      <c r="V165" s="27"/>
      <c r="W165" s="36"/>
      <c r="X165" s="27"/>
      <c r="Y165" s="27"/>
      <c r="Z165" s="37"/>
      <c r="AB165" s="35"/>
      <c r="AC165" s="36"/>
      <c r="AD165" s="36"/>
      <c r="AE165" s="27"/>
      <c r="AF165" s="36"/>
      <c r="AG165" s="27"/>
      <c r="AH165" s="27"/>
      <c r="AI165" s="37"/>
    </row>
    <row r="166" customFormat="false" ht="18.75" hidden="false" customHeight="false" outlineLevel="0" collapsed="false">
      <c r="A166" s="29" t="s">
        <v>191</v>
      </c>
      <c r="B166" s="30"/>
      <c r="C166" s="30"/>
      <c r="D166" s="79"/>
      <c r="E166" s="30"/>
      <c r="F166" s="79"/>
      <c r="G166" s="158" t="n">
        <f aca="false">B120</f>
        <v>0</v>
      </c>
      <c r="H166" s="158"/>
      <c r="J166" s="29" t="s">
        <v>191</v>
      </c>
      <c r="K166" s="30"/>
      <c r="L166" s="30"/>
      <c r="M166" s="79"/>
      <c r="N166" s="30"/>
      <c r="O166" s="79"/>
      <c r="P166" s="158" t="n">
        <f aca="false">K120</f>
        <v>1000</v>
      </c>
      <c r="Q166" s="158"/>
      <c r="S166" s="29" t="s">
        <v>191</v>
      </c>
      <c r="T166" s="30"/>
      <c r="U166" s="30"/>
      <c r="V166" s="79"/>
      <c r="W166" s="30"/>
      <c r="X166" s="79"/>
      <c r="Y166" s="158" t="n">
        <f aca="false">T120</f>
        <v>1000</v>
      </c>
      <c r="Z166" s="158"/>
      <c r="AB166" s="29" t="s">
        <v>191</v>
      </c>
      <c r="AC166" s="30"/>
      <c r="AD166" s="30"/>
      <c r="AE166" s="79"/>
      <c r="AF166" s="30"/>
      <c r="AG166" s="79"/>
      <c r="AH166" s="158" t="n">
        <f aca="false">AC120</f>
        <v>1000</v>
      </c>
      <c r="AI166" s="158"/>
    </row>
    <row r="167" customFormat="false" ht="19.7" hidden="false" customHeight="false" outlineLevel="0" collapsed="false">
      <c r="A167" s="159" t="s">
        <v>192</v>
      </c>
      <c r="B167" s="36"/>
      <c r="C167" s="36"/>
      <c r="D167" s="27"/>
      <c r="E167" s="36"/>
      <c r="F167" s="27"/>
      <c r="G167" s="160" t="n">
        <f aca="false">H156-G163-G166+H165</f>
        <v>24899.996</v>
      </c>
      <c r="H167" s="160"/>
      <c r="J167" s="159" t="s">
        <v>192</v>
      </c>
      <c r="K167" s="36"/>
      <c r="L167" s="36"/>
      <c r="M167" s="27"/>
      <c r="N167" s="36"/>
      <c r="O167" s="27"/>
      <c r="P167" s="160" t="e">
        <f aca="false">Q156-P163-P166</f>
        <v>#VALUE!</v>
      </c>
      <c r="Q167" s="160"/>
      <c r="S167" s="159" t="s">
        <v>192</v>
      </c>
      <c r="T167" s="36"/>
      <c r="U167" s="36"/>
      <c r="V167" s="27"/>
      <c r="W167" s="36"/>
      <c r="X167" s="27"/>
      <c r="Y167" s="160" t="e">
        <f aca="false">Z156-Y163-Y166</f>
        <v>#VALUE!</v>
      </c>
      <c r="Z167" s="160"/>
      <c r="AB167" s="159" t="s">
        <v>192</v>
      </c>
      <c r="AC167" s="36"/>
      <c r="AD167" s="36"/>
      <c r="AE167" s="27"/>
      <c r="AF167" s="36"/>
      <c r="AG167" s="27"/>
      <c r="AH167" s="160" t="e">
        <f aca="false">AI156-AH163-AH166</f>
        <v>#VALUE!</v>
      </c>
      <c r="AI167" s="160"/>
    </row>
    <row r="168" customFormat="false" ht="18.75" hidden="false" customHeight="false" outlineLevel="0" collapsed="false">
      <c r="A168" s="60" t="s">
        <v>66</v>
      </c>
      <c r="B168" s="61"/>
      <c r="C168" s="61"/>
      <c r="D168" s="101"/>
      <c r="E168" s="61"/>
      <c r="F168" s="101"/>
      <c r="G168" s="161" t="n">
        <f aca="false">B123</f>
        <v>199.991666666667</v>
      </c>
      <c r="H168" s="161"/>
      <c r="J168" s="60" t="s">
        <v>66</v>
      </c>
      <c r="K168" s="61"/>
      <c r="L168" s="61"/>
      <c r="M168" s="101"/>
      <c r="N168" s="61"/>
      <c r="O168" s="101"/>
      <c r="P168" s="161" t="n">
        <f aca="false">K123</f>
        <v>239.99</v>
      </c>
      <c r="Q168" s="161"/>
      <c r="S168" s="60" t="s">
        <v>66</v>
      </c>
      <c r="T168" s="61"/>
      <c r="U168" s="61"/>
      <c r="V168" s="101"/>
      <c r="W168" s="61"/>
      <c r="X168" s="101"/>
      <c r="Y168" s="161" t="n">
        <f aca="false">T123</f>
        <v>199.99</v>
      </c>
      <c r="Z168" s="161"/>
      <c r="AB168" s="60" t="s">
        <v>66</v>
      </c>
      <c r="AC168" s="61"/>
      <c r="AD168" s="61"/>
      <c r="AE168" s="101"/>
      <c r="AF168" s="61"/>
      <c r="AG168" s="101"/>
      <c r="AH168" s="161" t="n">
        <f aca="false">AC123</f>
        <v>239.99</v>
      </c>
      <c r="AI168" s="161"/>
    </row>
    <row r="169" customFormat="false" ht="18.75" hidden="false" customHeight="false" outlineLevel="0" collapsed="false">
      <c r="A169" s="35"/>
      <c r="B169" s="36"/>
      <c r="C169" s="36"/>
      <c r="D169" s="36"/>
      <c r="E169" s="27"/>
      <c r="F169" s="27"/>
      <c r="G169" s="27"/>
      <c r="H169" s="37"/>
      <c r="J169" s="35"/>
      <c r="K169" s="36"/>
      <c r="L169" s="36"/>
      <c r="M169" s="36"/>
      <c r="N169" s="27"/>
      <c r="O169" s="27"/>
      <c r="P169" s="27"/>
      <c r="Q169" s="37"/>
      <c r="S169" s="35"/>
      <c r="T169" s="36"/>
      <c r="U169" s="36"/>
      <c r="V169" s="36"/>
      <c r="W169" s="27"/>
      <c r="X169" s="27"/>
      <c r="Y169" s="27"/>
      <c r="Z169" s="37"/>
      <c r="AB169" s="35"/>
      <c r="AC169" s="36"/>
      <c r="AD169" s="36"/>
      <c r="AE169" s="36"/>
      <c r="AF169" s="27"/>
      <c r="AG169" s="27"/>
      <c r="AH169" s="27"/>
      <c r="AI169" s="37"/>
    </row>
    <row r="170" customFormat="false" ht="18.75" hidden="false" customHeight="false" outlineLevel="0" collapsed="false">
      <c r="A170" s="35"/>
      <c r="B170" s="36"/>
      <c r="C170" s="36"/>
      <c r="D170" s="36"/>
      <c r="E170" s="27" t="n">
        <v>6000</v>
      </c>
      <c r="F170" s="27"/>
      <c r="G170" s="27"/>
      <c r="H170" s="37"/>
      <c r="J170" s="35"/>
      <c r="K170" s="36"/>
      <c r="L170" s="36"/>
      <c r="M170" s="36"/>
      <c r="N170" s="27"/>
      <c r="O170" s="27"/>
      <c r="P170" s="27"/>
      <c r="Q170" s="37"/>
      <c r="S170" s="35"/>
      <c r="T170" s="36"/>
      <c r="U170" s="36"/>
      <c r="V170" s="36"/>
      <c r="W170" s="27"/>
      <c r="X170" s="27"/>
      <c r="Y170" s="27"/>
      <c r="Z170" s="37"/>
      <c r="AB170" s="35"/>
      <c r="AC170" s="36"/>
      <c r="AD170" s="36"/>
      <c r="AE170" s="36"/>
      <c r="AF170" s="27"/>
      <c r="AG170" s="27"/>
      <c r="AH170" s="27"/>
      <c r="AI170" s="37"/>
    </row>
    <row r="171" customFormat="false" ht="22.05" hidden="false" customHeight="false" outlineLevel="0" collapsed="false">
      <c r="A171" s="32" t="s">
        <v>193</v>
      </c>
      <c r="B171" s="32"/>
      <c r="C171" s="32"/>
      <c r="D171" s="32"/>
      <c r="E171" s="32"/>
      <c r="F171" s="32"/>
      <c r="G171" s="32"/>
      <c r="H171" s="32"/>
      <c r="J171" s="32" t="s">
        <v>193</v>
      </c>
      <c r="K171" s="32"/>
      <c r="L171" s="32"/>
      <c r="M171" s="32"/>
      <c r="N171" s="32"/>
      <c r="O171" s="32"/>
      <c r="P171" s="32"/>
      <c r="Q171" s="32"/>
      <c r="S171" s="32" t="s">
        <v>193</v>
      </c>
      <c r="T171" s="32"/>
      <c r="U171" s="32"/>
      <c r="V171" s="32"/>
      <c r="W171" s="32"/>
      <c r="X171" s="32"/>
      <c r="Y171" s="32"/>
      <c r="Z171" s="32"/>
      <c r="AB171" s="32" t="s">
        <v>193</v>
      </c>
      <c r="AC171" s="32"/>
      <c r="AD171" s="32"/>
      <c r="AE171" s="32"/>
      <c r="AF171" s="32"/>
      <c r="AG171" s="32"/>
      <c r="AH171" s="32"/>
      <c r="AI171" s="32"/>
    </row>
    <row r="172" customFormat="false" ht="18.75" hidden="false" customHeight="false" outlineLevel="0" collapsed="false">
      <c r="A172" s="35"/>
      <c r="B172" s="36"/>
      <c r="C172" s="36"/>
      <c r="D172" s="36"/>
      <c r="E172" s="27"/>
      <c r="F172" s="27"/>
      <c r="G172" s="27"/>
      <c r="H172" s="37"/>
      <c r="J172" s="35"/>
      <c r="K172" s="36"/>
      <c r="L172" s="36"/>
      <c r="M172" s="36"/>
      <c r="N172" s="27"/>
      <c r="O172" s="27"/>
      <c r="P172" s="27"/>
      <c r="Q172" s="37"/>
      <c r="S172" s="35"/>
      <c r="T172" s="36"/>
      <c r="U172" s="36"/>
      <c r="V172" s="36"/>
      <c r="W172" s="27"/>
      <c r="X172" s="27"/>
      <c r="Y172" s="27"/>
      <c r="Z172" s="37"/>
      <c r="AB172" s="35"/>
      <c r="AC172" s="36"/>
      <c r="AD172" s="36"/>
      <c r="AE172" s="36"/>
      <c r="AF172" s="27"/>
      <c r="AG172" s="27"/>
      <c r="AH172" s="27"/>
      <c r="AI172" s="37"/>
    </row>
    <row r="173" customFormat="false" ht="18.75" hidden="false" customHeight="false" outlineLevel="0" collapsed="false">
      <c r="A173" s="35" t="s">
        <v>194</v>
      </c>
      <c r="B173" s="162" t="n">
        <v>0</v>
      </c>
      <c r="C173" s="162"/>
      <c r="D173" s="36"/>
      <c r="E173" s="27"/>
      <c r="F173" s="27"/>
      <c r="G173" s="27"/>
      <c r="H173" s="37"/>
      <c r="J173" s="35" t="s">
        <v>194</v>
      </c>
      <c r="K173" s="162" t="n">
        <v>0</v>
      </c>
      <c r="L173" s="162"/>
      <c r="M173" s="36"/>
      <c r="N173" s="27"/>
      <c r="O173" s="27"/>
      <c r="P173" s="27"/>
      <c r="Q173" s="37"/>
      <c r="S173" s="35" t="s">
        <v>194</v>
      </c>
      <c r="T173" s="162" t="n">
        <v>0</v>
      </c>
      <c r="U173" s="162"/>
      <c r="V173" s="36"/>
      <c r="W173" s="27"/>
      <c r="X173" s="27"/>
      <c r="Y173" s="27"/>
      <c r="Z173" s="37"/>
      <c r="AB173" s="35" t="s">
        <v>194</v>
      </c>
      <c r="AC173" s="162" t="n">
        <v>0</v>
      </c>
      <c r="AD173" s="162"/>
      <c r="AE173" s="36"/>
      <c r="AF173" s="27"/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36"/>
      <c r="E174" s="27"/>
      <c r="F174" s="27"/>
      <c r="G174" s="27"/>
      <c r="H174" s="37"/>
      <c r="J174" s="35"/>
      <c r="K174" s="36"/>
      <c r="L174" s="36"/>
      <c r="M174" s="36"/>
      <c r="N174" s="27"/>
      <c r="O174" s="27"/>
      <c r="P174" s="27"/>
      <c r="Q174" s="37"/>
      <c r="S174" s="35"/>
      <c r="T174" s="36"/>
      <c r="U174" s="36"/>
      <c r="V174" s="36"/>
      <c r="W174" s="27"/>
      <c r="X174" s="27"/>
      <c r="Y174" s="27"/>
      <c r="Z174" s="37"/>
      <c r="AB174" s="35"/>
      <c r="AC174" s="36"/>
      <c r="AD174" s="36"/>
      <c r="AE174" s="36"/>
      <c r="AF174" s="27"/>
      <c r="AG174" s="27"/>
      <c r="AH174" s="27"/>
      <c r="AI174" s="37"/>
    </row>
    <row r="175" customFormat="false" ht="18.75" hidden="false" customHeight="false" outlineLevel="0" collapsed="false">
      <c r="A175" s="163" t="s">
        <v>195</v>
      </c>
      <c r="B175" s="164" t="s">
        <v>196</v>
      </c>
      <c r="C175" s="164"/>
      <c r="D175" s="164"/>
      <c r="E175" s="164" t="s">
        <v>197</v>
      </c>
      <c r="F175" s="27"/>
      <c r="G175" s="27" t="s">
        <v>198</v>
      </c>
      <c r="H175" s="37"/>
      <c r="J175" s="163" t="s">
        <v>195</v>
      </c>
      <c r="K175" s="164" t="s">
        <v>196</v>
      </c>
      <c r="L175" s="164"/>
      <c r="M175" s="164"/>
      <c r="N175" s="164" t="s">
        <v>197</v>
      </c>
      <c r="O175" s="27"/>
      <c r="P175" s="27"/>
      <c r="Q175" s="37"/>
      <c r="S175" s="163" t="s">
        <v>195</v>
      </c>
      <c r="T175" s="164" t="s">
        <v>196</v>
      </c>
      <c r="U175" s="164"/>
      <c r="V175" s="164"/>
      <c r="W175" s="164" t="s">
        <v>197</v>
      </c>
      <c r="X175" s="27"/>
      <c r="Y175" s="27"/>
      <c r="Z175" s="37"/>
      <c r="AB175" s="163" t="s">
        <v>195</v>
      </c>
      <c r="AC175" s="164" t="s">
        <v>196</v>
      </c>
      <c r="AD175" s="164"/>
      <c r="AE175" s="164"/>
      <c r="AF175" s="164" t="s">
        <v>197</v>
      </c>
      <c r="AG175" s="27"/>
      <c r="AH175" s="27"/>
      <c r="AI175" s="37"/>
    </row>
    <row r="176" customFormat="false" ht="18.75" hidden="false" customHeight="false" outlineLevel="0" collapsed="false">
      <c r="A176" s="165" t="n">
        <f aca="false">B104</f>
        <v>1422.08187454149</v>
      </c>
      <c r="B176" s="166" t="n">
        <f aca="false">B103</f>
        <v>0</v>
      </c>
      <c r="C176" s="164"/>
      <c r="D176" s="164"/>
      <c r="E176" s="166" t="n">
        <f aca="false">B105</f>
        <v>1422.08187454149</v>
      </c>
      <c r="F176" s="27"/>
      <c r="G176" s="27" t="n">
        <f aca="false">ROUND(G104,2)</f>
        <v>1349.82</v>
      </c>
      <c r="H176" s="37"/>
      <c r="J176" s="165" t="e">
        <f aca="false">K104</f>
        <v>#VALUE!</v>
      </c>
      <c r="K176" s="166" t="n">
        <f aca="false">K103</f>
        <v>0</v>
      </c>
      <c r="L176" s="164"/>
      <c r="M176" s="164"/>
      <c r="N176" s="166" t="e">
        <f aca="false">K105</f>
        <v>#VALUE!</v>
      </c>
      <c r="O176" s="27"/>
      <c r="P176" s="27"/>
      <c r="Q176" s="37"/>
      <c r="S176" s="165" t="e">
        <f aca="false">T104</f>
        <v>#VALUE!</v>
      </c>
      <c r="T176" s="166" t="n">
        <f aca="false">T103</f>
        <v>0</v>
      </c>
      <c r="U176" s="164"/>
      <c r="V176" s="164"/>
      <c r="W176" s="166" t="e">
        <f aca="false">T105</f>
        <v>#VALUE!</v>
      </c>
      <c r="X176" s="27"/>
      <c r="Y176" s="27"/>
      <c r="Z176" s="37"/>
      <c r="AB176" s="165" t="e">
        <f aca="false">AC104</f>
        <v>#VALUE!</v>
      </c>
      <c r="AC176" s="166" t="n">
        <f aca="false">AC103</f>
        <v>0</v>
      </c>
      <c r="AD176" s="164"/>
      <c r="AE176" s="164"/>
      <c r="AF176" s="166" t="e">
        <f aca="false">AC105</f>
        <v>#VALUE!</v>
      </c>
      <c r="AG176" s="27"/>
      <c r="AH176" s="27"/>
      <c r="AI176" s="37"/>
    </row>
    <row r="177" customFormat="false" ht="18.75" hidden="false" customHeight="false" outlineLevel="0" collapsed="false">
      <c r="A177" s="35"/>
      <c r="B177" s="36"/>
      <c r="C177" s="36"/>
      <c r="D177" s="36"/>
      <c r="E177" s="27"/>
      <c r="F177" s="27"/>
      <c r="G177" s="27"/>
      <c r="H177" s="37"/>
      <c r="J177" s="35"/>
      <c r="K177" s="36"/>
      <c r="L177" s="36"/>
      <c r="M177" s="36"/>
      <c r="N177" s="27"/>
      <c r="O177" s="27"/>
      <c r="P177" s="27"/>
      <c r="Q177" s="37"/>
      <c r="S177" s="35"/>
      <c r="T177" s="36"/>
      <c r="U177" s="36"/>
      <c r="V177" s="36"/>
      <c r="W177" s="27"/>
      <c r="X177" s="27"/>
      <c r="Y177" s="27"/>
      <c r="Z177" s="37"/>
      <c r="AB177" s="35"/>
      <c r="AC177" s="36"/>
      <c r="AD177" s="36"/>
      <c r="AE177" s="36"/>
      <c r="AF177" s="27"/>
      <c r="AG177" s="27"/>
      <c r="AH177" s="27"/>
      <c r="AI177" s="37"/>
    </row>
    <row r="178" customFormat="false" ht="18.75" hidden="false" customHeight="false" outlineLevel="0" collapsed="false">
      <c r="A178" s="35" t="s">
        <v>95</v>
      </c>
      <c r="B178" s="36" t="s">
        <v>96</v>
      </c>
      <c r="C178" s="36"/>
      <c r="D178" s="27"/>
      <c r="E178" s="36" t="s">
        <v>199</v>
      </c>
      <c r="F178" s="27"/>
      <c r="G178" s="27"/>
      <c r="H178" s="37"/>
      <c r="J178" s="35" t="s">
        <v>95</v>
      </c>
      <c r="K178" s="36" t="s">
        <v>96</v>
      </c>
      <c r="L178" s="36"/>
      <c r="M178" s="27"/>
      <c r="N178" s="36" t="s">
        <v>199</v>
      </c>
      <c r="O178" s="27"/>
      <c r="P178" s="27"/>
      <c r="Q178" s="37"/>
      <c r="S178" s="35" t="s">
        <v>95</v>
      </c>
      <c r="T178" s="36" t="s">
        <v>96</v>
      </c>
      <c r="U178" s="36"/>
      <c r="V178" s="27"/>
      <c r="W178" s="36" t="s">
        <v>199</v>
      </c>
      <c r="X178" s="27"/>
      <c r="Y178" s="27"/>
      <c r="Z178" s="37"/>
      <c r="AB178" s="35" t="s">
        <v>95</v>
      </c>
      <c r="AC178" s="36" t="s">
        <v>96</v>
      </c>
      <c r="AD178" s="36"/>
      <c r="AE178" s="27"/>
      <c r="AF178" s="36" t="s">
        <v>199</v>
      </c>
      <c r="AG178" s="27"/>
      <c r="AH178" s="27"/>
      <c r="AI178" s="37"/>
    </row>
    <row r="179" customFormat="false" ht="18.75" hidden="false" customHeight="false" outlineLevel="0" collapsed="false">
      <c r="A179" s="167" t="str">
        <f aca="false">K29</f>
        <v>12</v>
      </c>
      <c r="B179" s="168" t="str">
        <f aca="false">K30</f>
        <v>5000</v>
      </c>
      <c r="C179" s="169"/>
      <c r="D179" s="27"/>
      <c r="E179" s="170" t="n">
        <f aca="false">B91</f>
        <v>6000</v>
      </c>
      <c r="F179" s="27"/>
      <c r="G179" s="27"/>
      <c r="H179" s="37"/>
      <c r="J179" s="167" t="str">
        <f aca="false">K29</f>
        <v>12</v>
      </c>
      <c r="K179" s="168" t="str">
        <f aca="false">K30</f>
        <v>5000</v>
      </c>
      <c r="L179" s="169"/>
      <c r="M179" s="27"/>
      <c r="N179" s="170" t="str">
        <f aca="false">IF(A120="YES",A40,0)</f>
        <v>12</v>
      </c>
      <c r="O179" s="27"/>
      <c r="P179" s="27"/>
      <c r="Q179" s="37"/>
      <c r="S179" s="167" t="str">
        <f aca="false">K29</f>
        <v>12</v>
      </c>
      <c r="T179" s="168" t="str">
        <f aca="false">K30</f>
        <v>5000</v>
      </c>
      <c r="U179" s="169"/>
      <c r="V179" s="27"/>
      <c r="W179" s="170" t="str">
        <f aca="false">IF(A120="YES",A40,0)</f>
        <v>12</v>
      </c>
      <c r="X179" s="27"/>
      <c r="Y179" s="27"/>
      <c r="Z179" s="37"/>
      <c r="AB179" s="167" t="str">
        <f aca="false">K29</f>
        <v>12</v>
      </c>
      <c r="AC179" s="168" t="str">
        <f aca="false">K30</f>
        <v>5000</v>
      </c>
      <c r="AD179" s="169"/>
      <c r="AE179" s="27"/>
      <c r="AF179" s="170" t="str">
        <f aca="false">IF(A120="YES",A40,0)</f>
        <v>12</v>
      </c>
      <c r="AG179" s="27"/>
      <c r="AH179" s="27"/>
      <c r="AI179" s="3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200</v>
      </c>
      <c r="B181" s="36" t="s">
        <v>201</v>
      </c>
      <c r="C181" s="36"/>
      <c r="D181" s="27"/>
      <c r="E181" s="36" t="s">
        <v>202</v>
      </c>
      <c r="F181" s="27"/>
      <c r="G181" s="27"/>
      <c r="H181" s="37"/>
      <c r="J181" s="35" t="s">
        <v>200</v>
      </c>
      <c r="K181" s="36" t="s">
        <v>201</v>
      </c>
      <c r="L181" s="36"/>
      <c r="M181" s="27"/>
      <c r="N181" s="36" t="s">
        <v>202</v>
      </c>
      <c r="O181" s="27"/>
      <c r="P181" s="27"/>
      <c r="Q181" s="37"/>
      <c r="S181" s="35" t="s">
        <v>200</v>
      </c>
      <c r="T181" s="36" t="s">
        <v>201</v>
      </c>
      <c r="U181" s="36"/>
      <c r="V181" s="27"/>
      <c r="W181" s="36" t="s">
        <v>202</v>
      </c>
      <c r="X181" s="27"/>
      <c r="Y181" s="27"/>
      <c r="Z181" s="37"/>
      <c r="AB181" s="35" t="s">
        <v>200</v>
      </c>
      <c r="AC181" s="36" t="s">
        <v>201</v>
      </c>
      <c r="AD181" s="36"/>
      <c r="AE181" s="27"/>
      <c r="AF181" s="36" t="s">
        <v>202</v>
      </c>
      <c r="AG181" s="27"/>
      <c r="AH181" s="27"/>
      <c r="AI181" s="37"/>
    </row>
    <row r="182" customFormat="false" ht="18.75" hidden="false" customHeight="false" outlineLevel="0" collapsed="false">
      <c r="A182" s="171" t="n">
        <f aca="false">H150-H146-H148-H149</f>
        <v>19583.33</v>
      </c>
      <c r="B182" s="42" t="n">
        <f aca="false">H146</f>
        <v>3916.666</v>
      </c>
      <c r="C182" s="47"/>
      <c r="D182" s="27"/>
      <c r="E182" s="170" t="n">
        <f aca="false">H148+H149</f>
        <v>0</v>
      </c>
      <c r="F182" s="27"/>
      <c r="G182" s="27"/>
      <c r="H182" s="37"/>
      <c r="J182" s="171" t="e">
        <f aca="false">Q150-Q146-Q148-Q149</f>
        <v>#VALUE!</v>
      </c>
      <c r="K182" s="42" t="e">
        <f aca="false">Q146</f>
        <v>#VALUE!</v>
      </c>
      <c r="L182" s="47"/>
      <c r="M182" s="27"/>
      <c r="N182" s="170" t="n">
        <f aca="false">Q148+Q149</f>
        <v>55</v>
      </c>
      <c r="O182" s="27"/>
      <c r="P182" s="27"/>
      <c r="Q182" s="37"/>
      <c r="S182" s="171" t="e">
        <f aca="false">Z150-Z146-Z148-Z149</f>
        <v>#VALUE!</v>
      </c>
      <c r="T182" s="42" t="e">
        <f aca="false">Z146</f>
        <v>#VALUE!</v>
      </c>
      <c r="U182" s="47"/>
      <c r="V182" s="27"/>
      <c r="W182" s="170" t="n">
        <f aca="false">Z148+Z149</f>
        <v>55</v>
      </c>
      <c r="X182" s="27"/>
      <c r="Y182" s="27"/>
      <c r="Z182" s="37"/>
      <c r="AB182" s="171" t="e">
        <f aca="false">AI150-AI146-AI148-AI149</f>
        <v>#VALUE!</v>
      </c>
      <c r="AC182" s="42" t="e">
        <f aca="false">AI146</f>
        <v>#VALUE!</v>
      </c>
      <c r="AD182" s="47"/>
      <c r="AE182" s="27"/>
      <c r="AF182" s="170" t="n">
        <f aca="false">AI148+AI149</f>
        <v>55</v>
      </c>
      <c r="AG182" s="27"/>
      <c r="AH182" s="27"/>
      <c r="AI182" s="3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203</v>
      </c>
      <c r="B184" s="36" t="s">
        <v>149</v>
      </c>
      <c r="C184" s="36"/>
      <c r="D184" s="27"/>
      <c r="E184" s="36" t="s">
        <v>150</v>
      </c>
      <c r="F184" s="27"/>
      <c r="G184" s="27"/>
      <c r="H184" s="37"/>
      <c r="J184" s="35" t="s">
        <v>203</v>
      </c>
      <c r="K184" s="36" t="s">
        <v>149</v>
      </c>
      <c r="L184" s="36"/>
      <c r="M184" s="27"/>
      <c r="N184" s="36" t="s">
        <v>150</v>
      </c>
      <c r="O184" s="27"/>
      <c r="P184" s="27"/>
      <c r="Q184" s="37"/>
      <c r="S184" s="35" t="s">
        <v>203</v>
      </c>
      <c r="T184" s="36" t="s">
        <v>149</v>
      </c>
      <c r="U184" s="36"/>
      <c r="V184" s="27"/>
      <c r="W184" s="36" t="s">
        <v>150</v>
      </c>
      <c r="X184" s="27"/>
      <c r="Y184" s="27"/>
      <c r="Z184" s="37"/>
      <c r="AB184" s="35" t="s">
        <v>203</v>
      </c>
      <c r="AC184" s="36" t="s">
        <v>149</v>
      </c>
      <c r="AD184" s="36"/>
      <c r="AE184" s="27"/>
      <c r="AF184" s="36" t="s">
        <v>150</v>
      </c>
      <c r="AG184" s="27"/>
      <c r="AH184" s="27"/>
      <c r="AI184" s="37"/>
    </row>
    <row r="185" customFormat="false" ht="18.75" hidden="false" customHeight="false" outlineLevel="0" collapsed="false">
      <c r="A185" s="171" t="n">
        <f aca="false">H150</f>
        <v>23499.996</v>
      </c>
      <c r="B185" s="42" t="n">
        <f aca="false">B120</f>
        <v>0</v>
      </c>
      <c r="C185" s="42"/>
      <c r="D185" s="27"/>
      <c r="E185" s="42" t="n">
        <f aca="false">E120</f>
        <v>0</v>
      </c>
      <c r="F185" s="27"/>
      <c r="G185" s="27"/>
      <c r="H185" s="107"/>
      <c r="J185" s="171" t="e">
        <f aca="false">Q150</f>
        <v>#VALUE!</v>
      </c>
      <c r="K185" s="42" t="n">
        <f aca="false">K120</f>
        <v>1000</v>
      </c>
      <c r="L185" s="42"/>
      <c r="M185" s="27"/>
      <c r="N185" s="42" t="n">
        <f aca="false">N120</f>
        <v>0</v>
      </c>
      <c r="O185" s="27"/>
      <c r="P185" s="27"/>
      <c r="Q185" s="107"/>
      <c r="S185" s="171" t="e">
        <f aca="false">Z150</f>
        <v>#VALUE!</v>
      </c>
      <c r="T185" s="42" t="n">
        <f aca="false">T120</f>
        <v>1000</v>
      </c>
      <c r="U185" s="42"/>
      <c r="V185" s="27"/>
      <c r="W185" s="42" t="n">
        <f aca="false">W120</f>
        <v>0</v>
      </c>
      <c r="X185" s="27"/>
      <c r="Y185" s="27"/>
      <c r="Z185" s="107"/>
      <c r="AB185" s="171" t="e">
        <f aca="false">AI150</f>
        <v>#VALUE!</v>
      </c>
      <c r="AC185" s="42" t="n">
        <f aca="false">AC120</f>
        <v>1000</v>
      </c>
      <c r="AD185" s="42"/>
      <c r="AE185" s="27"/>
      <c r="AF185" s="42" t="n">
        <f aca="false">AF120</f>
        <v>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27"/>
      <c r="E186" s="36"/>
      <c r="F186" s="27"/>
      <c r="G186" s="27"/>
      <c r="H186" s="37"/>
      <c r="J186" s="35"/>
      <c r="K186" s="36"/>
      <c r="L186" s="36"/>
      <c r="M186" s="27"/>
      <c r="N186" s="36"/>
      <c r="O186" s="27"/>
      <c r="P186" s="27"/>
      <c r="Q186" s="37"/>
      <c r="S186" s="35"/>
      <c r="T186" s="36"/>
      <c r="U186" s="36"/>
      <c r="V186" s="27"/>
      <c r="W186" s="36"/>
      <c r="X186" s="27"/>
      <c r="Y186" s="27"/>
      <c r="Z186" s="37"/>
      <c r="AB186" s="35"/>
      <c r="AC186" s="36"/>
      <c r="AD186" s="36"/>
      <c r="AE186" s="27"/>
      <c r="AF186" s="36"/>
      <c r="AG186" s="27"/>
      <c r="AH186" s="27"/>
      <c r="AI186" s="37"/>
    </row>
    <row r="187" customFormat="false" ht="18.75" hidden="false" customHeight="false" outlineLevel="0" collapsed="false">
      <c r="A187" s="35" t="s">
        <v>151</v>
      </c>
      <c r="B187" s="36" t="s">
        <v>186</v>
      </c>
      <c r="C187" s="36"/>
      <c r="D187" s="27"/>
      <c r="E187" s="36" t="s">
        <v>192</v>
      </c>
      <c r="F187" s="27"/>
      <c r="G187" s="27"/>
      <c r="H187" s="37"/>
      <c r="J187" s="35" t="s">
        <v>151</v>
      </c>
      <c r="K187" s="36" t="s">
        <v>186</v>
      </c>
      <c r="L187" s="36"/>
      <c r="M187" s="27"/>
      <c r="N187" s="36" t="s">
        <v>192</v>
      </c>
      <c r="O187" s="27"/>
      <c r="P187" s="27"/>
      <c r="Q187" s="37"/>
      <c r="S187" s="35" t="s">
        <v>151</v>
      </c>
      <c r="T187" s="36" t="s">
        <v>186</v>
      </c>
      <c r="U187" s="36"/>
      <c r="V187" s="27"/>
      <c r="W187" s="36" t="s">
        <v>192</v>
      </c>
      <c r="X187" s="27"/>
      <c r="Y187" s="27"/>
      <c r="Z187" s="37"/>
      <c r="AB187" s="35" t="s">
        <v>151</v>
      </c>
      <c r="AC187" s="36" t="s">
        <v>186</v>
      </c>
      <c r="AD187" s="36"/>
      <c r="AE187" s="27"/>
      <c r="AF187" s="36" t="s">
        <v>192</v>
      </c>
      <c r="AG187" s="27"/>
      <c r="AH187" s="27"/>
      <c r="AI187" s="37"/>
    </row>
    <row r="188" customFormat="false" ht="18.75" hidden="false" customHeight="false" outlineLevel="0" collapsed="false">
      <c r="A188" s="113" t="n">
        <f aca="false">B185+E185</f>
        <v>0</v>
      </c>
      <c r="B188" s="42" t="n">
        <f aca="false">G163</f>
        <v>0</v>
      </c>
      <c r="C188" s="42"/>
      <c r="D188" s="27"/>
      <c r="E188" s="42" t="n">
        <f aca="false">G167</f>
        <v>24899.996</v>
      </c>
      <c r="F188" s="27"/>
      <c r="G188" s="27"/>
      <c r="H188" s="107"/>
      <c r="J188" s="113" t="n">
        <f aca="false">K185+N185</f>
        <v>1000</v>
      </c>
      <c r="K188" s="42" t="n">
        <f aca="false">P163</f>
        <v>-2000</v>
      </c>
      <c r="L188" s="42"/>
      <c r="M188" s="27"/>
      <c r="N188" s="42" t="e">
        <f aca="false">J185-J188-K188</f>
        <v>#VALUE!</v>
      </c>
      <c r="O188" s="27"/>
      <c r="P188" s="27"/>
      <c r="Q188" s="107"/>
      <c r="S188" s="113" t="n">
        <f aca="false">T185+W185</f>
        <v>1000</v>
      </c>
      <c r="T188" s="42" t="n">
        <f aca="false">Y163</f>
        <v>-2000</v>
      </c>
      <c r="U188" s="42"/>
      <c r="V188" s="27"/>
      <c r="W188" s="42" t="e">
        <f aca="false">S185-S188-T188</f>
        <v>#VALUE!</v>
      </c>
      <c r="X188" s="27"/>
      <c r="Y188" s="27"/>
      <c r="Z188" s="107"/>
      <c r="AB188" s="113" t="n">
        <f aca="false">AC185+AF185</f>
        <v>1000</v>
      </c>
      <c r="AC188" s="42" t="n">
        <f aca="false">AH163</f>
        <v>-2000</v>
      </c>
      <c r="AD188" s="42"/>
      <c r="AE188" s="27"/>
      <c r="AF188" s="42" t="e">
        <f aca="false">AB185-AB188-AC188</f>
        <v>#VALUE!</v>
      </c>
      <c r="AG188" s="27"/>
      <c r="AH188" s="27"/>
      <c r="AI188" s="107"/>
    </row>
    <row r="189" customFormat="false" ht="18.75" hidden="false" customHeight="false" outlineLevel="0" collapsed="false">
      <c r="A189" s="35"/>
      <c r="B189" s="36"/>
      <c r="C189" s="36"/>
      <c r="D189" s="27"/>
      <c r="E189" s="36"/>
      <c r="F189" s="27"/>
      <c r="G189" s="27"/>
      <c r="H189" s="37"/>
      <c r="J189" s="35"/>
      <c r="K189" s="36"/>
      <c r="L189" s="36"/>
      <c r="M189" s="27"/>
      <c r="N189" s="36"/>
      <c r="O189" s="27"/>
      <c r="P189" s="27"/>
      <c r="Q189" s="37"/>
      <c r="S189" s="35"/>
      <c r="T189" s="36"/>
      <c r="U189" s="36"/>
      <c r="V189" s="27"/>
      <c r="W189" s="36"/>
      <c r="X189" s="27"/>
      <c r="Y189" s="27"/>
      <c r="Z189" s="37"/>
      <c r="AB189" s="35"/>
      <c r="AC189" s="36"/>
      <c r="AD189" s="36"/>
      <c r="AE189" s="27"/>
      <c r="AF189" s="36"/>
      <c r="AG189" s="27"/>
      <c r="AH189" s="27"/>
      <c r="AI189" s="37"/>
    </row>
    <row r="190" customFormat="false" ht="18.75" hidden="false" customHeight="false" outlineLevel="0" collapsed="false">
      <c r="A190" s="35" t="s">
        <v>204</v>
      </c>
      <c r="B190" s="36" t="s">
        <v>66</v>
      </c>
      <c r="C190" s="36"/>
      <c r="D190" s="27"/>
      <c r="E190" s="36" t="s">
        <v>205</v>
      </c>
      <c r="F190" s="27"/>
      <c r="G190" s="27"/>
      <c r="H190" s="37"/>
      <c r="J190" s="35" t="s">
        <v>204</v>
      </c>
      <c r="K190" s="36" t="s">
        <v>66</v>
      </c>
      <c r="L190" s="36"/>
      <c r="M190" s="27"/>
      <c r="N190" s="36" t="s">
        <v>205</v>
      </c>
      <c r="O190" s="27"/>
      <c r="P190" s="27"/>
      <c r="Q190" s="37"/>
      <c r="S190" s="35" t="s">
        <v>204</v>
      </c>
      <c r="T190" s="36" t="s">
        <v>66</v>
      </c>
      <c r="U190" s="36"/>
      <c r="V190" s="27"/>
      <c r="W190" s="36" t="s">
        <v>205</v>
      </c>
      <c r="X190" s="27"/>
      <c r="Y190" s="27"/>
      <c r="Z190" s="37"/>
      <c r="AB190" s="35" t="s">
        <v>204</v>
      </c>
      <c r="AC190" s="36" t="s">
        <v>66</v>
      </c>
      <c r="AD190" s="36"/>
      <c r="AE190" s="27"/>
      <c r="AF190" s="36" t="s">
        <v>205</v>
      </c>
      <c r="AG190" s="27"/>
      <c r="AH190" s="27"/>
      <c r="AI190" s="37"/>
    </row>
    <row r="191" customFormat="false" ht="18.75" hidden="false" customHeight="false" outlineLevel="0" collapsed="false">
      <c r="A191" s="113" t="n">
        <f aca="false">(A176*B68)+E194-E188-A194</f>
        <v>-3257.09538004367</v>
      </c>
      <c r="B191" s="42" t="n">
        <f aca="false">B123</f>
        <v>199.991666666667</v>
      </c>
      <c r="C191" s="42"/>
      <c r="D191" s="27"/>
      <c r="E191" s="42" t="n">
        <f aca="false">E188+A191+(B191*1.2)+A194</f>
        <v>21907.8906199563</v>
      </c>
      <c r="F191" s="27"/>
      <c r="G191" s="27"/>
      <c r="H191" s="107"/>
      <c r="J191" s="113" t="e">
        <f aca="false">(J176*K68)+N194-N188-J194</f>
        <v>#VALUE!</v>
      </c>
      <c r="K191" s="42" t="n">
        <f aca="false">K123</f>
        <v>239.99</v>
      </c>
      <c r="L191" s="42"/>
      <c r="M191" s="27"/>
      <c r="N191" s="42" t="e">
        <f aca="false">N188+J191+K191+J194</f>
        <v>#VALUE!</v>
      </c>
      <c r="O191" s="27"/>
      <c r="P191" s="27"/>
      <c r="Q191" s="107"/>
      <c r="S191" s="113" t="e">
        <f aca="false">(S176*T68)+W194-W188-S194</f>
        <v>#VALUE!</v>
      </c>
      <c r="T191" s="42" t="n">
        <f aca="false">T123</f>
        <v>199.99</v>
      </c>
      <c r="U191" s="42"/>
      <c r="V191" s="27"/>
      <c r="W191" s="42" t="e">
        <f aca="false">W188+S191+T191+S194</f>
        <v>#VALUE!</v>
      </c>
      <c r="X191" s="27"/>
      <c r="Y191" s="27"/>
      <c r="Z191" s="107"/>
      <c r="AB191" s="113" t="e">
        <f aca="false">(AB176*AC68)+AF194-AF188-AB194</f>
        <v>#VALUE!</v>
      </c>
      <c r="AC191" s="42" t="n">
        <f aca="false">AC123</f>
        <v>239.99</v>
      </c>
      <c r="AD191" s="42"/>
      <c r="AE191" s="27"/>
      <c r="AF191" s="42" t="e">
        <f aca="false">AF188+AB191+AC191+AB194</f>
        <v>#VALUE!</v>
      </c>
      <c r="AG191" s="27"/>
      <c r="AH191" s="27"/>
      <c r="AI191" s="107"/>
    </row>
    <row r="192" customFormat="false" ht="18.75" hidden="false" customHeight="false" outlineLevel="0" collapsed="false">
      <c r="A192" s="35"/>
      <c r="B192" s="36"/>
      <c r="C192" s="36"/>
      <c r="D192" s="27"/>
      <c r="E192" s="36"/>
      <c r="F192" s="27"/>
      <c r="G192" s="27"/>
      <c r="H192" s="37"/>
      <c r="J192" s="35"/>
      <c r="K192" s="36"/>
      <c r="L192" s="36"/>
      <c r="M192" s="27"/>
      <c r="N192" s="36"/>
      <c r="O192" s="27"/>
      <c r="P192" s="27"/>
      <c r="Q192" s="37"/>
      <c r="S192" s="35"/>
      <c r="T192" s="36"/>
      <c r="U192" s="36"/>
      <c r="V192" s="27"/>
      <c r="W192" s="36"/>
      <c r="X192" s="27"/>
      <c r="Y192" s="27"/>
      <c r="Z192" s="37"/>
      <c r="AB192" s="35"/>
      <c r="AC192" s="36"/>
      <c r="AD192" s="36"/>
      <c r="AE192" s="27"/>
      <c r="AF192" s="36"/>
      <c r="AG192" s="27"/>
      <c r="AH192" s="27"/>
      <c r="AI192" s="37"/>
    </row>
    <row r="193" customFormat="false" ht="18.75" hidden="false" customHeight="false" outlineLevel="0" collapsed="false">
      <c r="A193" s="35" t="s">
        <v>206</v>
      </c>
      <c r="B193" s="36" t="s">
        <v>207</v>
      </c>
      <c r="C193" s="36"/>
      <c r="D193" s="27"/>
      <c r="E193" s="36" t="s">
        <v>208</v>
      </c>
      <c r="F193" s="27"/>
      <c r="G193" s="27"/>
      <c r="H193" s="37"/>
      <c r="J193" s="35" t="s">
        <v>206</v>
      </c>
      <c r="K193" s="36" t="s">
        <v>207</v>
      </c>
      <c r="L193" s="36"/>
      <c r="M193" s="27"/>
      <c r="N193" s="36" t="s">
        <v>208</v>
      </c>
      <c r="O193" s="27"/>
      <c r="P193" s="27"/>
      <c r="Q193" s="37"/>
      <c r="S193" s="35" t="s">
        <v>206</v>
      </c>
      <c r="T193" s="36" t="s">
        <v>207</v>
      </c>
      <c r="U193" s="36"/>
      <c r="V193" s="27"/>
      <c r="W193" s="36" t="s">
        <v>208</v>
      </c>
      <c r="X193" s="27"/>
      <c r="Y193" s="27"/>
      <c r="Z193" s="37"/>
      <c r="AB193" s="35" t="s">
        <v>206</v>
      </c>
      <c r="AC193" s="36" t="s">
        <v>207</v>
      </c>
      <c r="AD193" s="36"/>
      <c r="AE193" s="27"/>
      <c r="AF193" s="36" t="s">
        <v>208</v>
      </c>
      <c r="AG193" s="27"/>
      <c r="AH193" s="27"/>
      <c r="AI193" s="37"/>
    </row>
    <row r="194" customFormat="false" ht="18.75" hidden="false" customHeight="false" outlineLevel="0" collapsed="false">
      <c r="A194" s="113" t="n">
        <f aca="false">B69</f>
        <v>25</v>
      </c>
      <c r="B194" s="42" t="n">
        <f aca="false">A188+B191*1.2</f>
        <v>239.99</v>
      </c>
      <c r="C194" s="42"/>
      <c r="D194" s="27"/>
      <c r="E194" s="42" t="n">
        <f aca="false">IF( E179=0, A194+E176, E179+A194)</f>
        <v>6025</v>
      </c>
      <c r="F194" s="27"/>
      <c r="G194" s="27"/>
      <c r="H194" s="107"/>
      <c r="J194" s="113" t="n">
        <f aca="false">K69</f>
        <v>20</v>
      </c>
      <c r="K194" s="42" t="n">
        <f aca="false">J188+K191</f>
        <v>1239.99</v>
      </c>
      <c r="L194" s="42"/>
      <c r="M194" s="27"/>
      <c r="N194" s="42" t="n">
        <f aca="false">N179+J194</f>
        <v>32</v>
      </c>
      <c r="O194" s="27"/>
      <c r="P194" s="27"/>
      <c r="Q194" s="107"/>
      <c r="S194" s="113" t="n">
        <f aca="false">T69</f>
        <v>10</v>
      </c>
      <c r="T194" s="42" t="n">
        <f aca="false">S188+T191</f>
        <v>1199.99</v>
      </c>
      <c r="U194" s="42"/>
      <c r="V194" s="27"/>
      <c r="W194" s="42" t="n">
        <f aca="false">W179+S194</f>
        <v>22</v>
      </c>
      <c r="X194" s="27"/>
      <c r="Y194" s="27"/>
      <c r="Z194" s="107"/>
      <c r="AB194" s="113" t="n">
        <f aca="false">AC69</f>
        <v>10</v>
      </c>
      <c r="AC194" s="42" t="n">
        <f aca="false">AB188+AC191</f>
        <v>1239.99</v>
      </c>
      <c r="AD194" s="42"/>
      <c r="AE194" s="27"/>
      <c r="AF194" s="42" t="n">
        <f aca="false">AF179+AB194</f>
        <v>22</v>
      </c>
      <c r="AG194" s="27"/>
      <c r="AH194" s="27"/>
      <c r="AI194" s="107"/>
    </row>
    <row r="195" customFormat="false" ht="18.75" hidden="false" customHeight="false" outlineLevel="0" collapsed="false">
      <c r="A195" s="35"/>
      <c r="B195" s="36"/>
      <c r="C195" s="36"/>
      <c r="D195" s="36"/>
      <c r="E195" s="27"/>
      <c r="F195" s="27"/>
      <c r="G195" s="27"/>
      <c r="H195" s="37"/>
      <c r="J195" s="35"/>
      <c r="K195" s="36"/>
      <c r="L195" s="36"/>
      <c r="M195" s="36"/>
      <c r="N195" s="27"/>
      <c r="O195" s="27"/>
      <c r="P195" s="27"/>
      <c r="Q195" s="37"/>
      <c r="S195" s="35"/>
      <c r="T195" s="36"/>
      <c r="U195" s="36"/>
      <c r="V195" s="36"/>
      <c r="W195" s="27"/>
      <c r="X195" s="36"/>
      <c r="Y195" s="36"/>
      <c r="Z195" s="37"/>
      <c r="AB195" s="35"/>
      <c r="AC195" s="36"/>
      <c r="AD195" s="36"/>
      <c r="AE195" s="36"/>
      <c r="AF195" s="27"/>
      <c r="AG195" s="27"/>
      <c r="AH195" s="27"/>
      <c r="AI195" s="37"/>
    </row>
    <row r="196" customFormat="false" ht="18.75" hidden="false" customHeight="false" outlineLevel="0" collapsed="false">
      <c r="A196" s="35" t="s">
        <v>209</v>
      </c>
      <c r="B196" s="36" t="s">
        <v>210</v>
      </c>
      <c r="C196" s="36"/>
      <c r="D196" s="36"/>
      <c r="E196" s="43" t="s">
        <v>211</v>
      </c>
      <c r="F196" s="27"/>
      <c r="G196" s="27"/>
      <c r="H196" s="37"/>
      <c r="J196" s="35" t="s">
        <v>209</v>
      </c>
      <c r="K196" s="36" t="s">
        <v>210</v>
      </c>
      <c r="L196" s="36"/>
      <c r="M196" s="36"/>
      <c r="N196" s="43" t="s">
        <v>211</v>
      </c>
      <c r="O196" s="27"/>
      <c r="P196" s="27"/>
      <c r="Q196" s="37"/>
      <c r="S196" s="35" t="s">
        <v>209</v>
      </c>
      <c r="T196" s="36" t="s">
        <v>210</v>
      </c>
      <c r="U196" s="36"/>
      <c r="V196" s="36"/>
      <c r="W196" s="43" t="s">
        <v>211</v>
      </c>
      <c r="X196" s="36"/>
      <c r="Y196" s="36"/>
      <c r="Z196" s="37"/>
      <c r="AB196" s="35" t="s">
        <v>209</v>
      </c>
      <c r="AC196" s="36" t="s">
        <v>210</v>
      </c>
      <c r="AD196" s="36"/>
      <c r="AE196" s="36"/>
      <c r="AF196" s="43" t="s">
        <v>211</v>
      </c>
      <c r="AG196" s="36"/>
      <c r="AH196" s="36"/>
      <c r="AI196" s="37"/>
    </row>
    <row r="197" customFormat="false" ht="18.75" hidden="false" customHeight="false" outlineLevel="0" collapsed="false">
      <c r="A197" s="113" t="n">
        <f aca="false">J18*0.000002*100</f>
        <v>7.4808</v>
      </c>
      <c r="B197" s="42" t="n">
        <f aca="false">(G167*B76)</f>
        <v>186.74997</v>
      </c>
      <c r="C197" s="36"/>
      <c r="D197" s="36"/>
      <c r="E197" s="42" t="n">
        <f aca="false">K55*A117*0.1</f>
        <v>0</v>
      </c>
      <c r="F197" s="27"/>
      <c r="G197" s="27"/>
      <c r="H197" s="37"/>
      <c r="J197" s="113" t="n">
        <f aca="false">IF(N114="YES",H15*0.000002,0)</f>
        <v>0</v>
      </c>
      <c r="K197" s="42" t="e">
        <f aca="false">(P167*K76)/1.2</f>
        <v>#VALUE!</v>
      </c>
      <c r="L197" s="36"/>
      <c r="M197" s="36"/>
      <c r="N197" s="42" t="n">
        <f aca="false">(E40*J117)*0.1</f>
        <v>0</v>
      </c>
      <c r="O197" s="27"/>
      <c r="P197" s="27"/>
      <c r="Q197" s="37"/>
      <c r="S197" s="113" t="n">
        <f aca="false">IF(W114="YES",Z15*0.000002,0)</f>
        <v>0</v>
      </c>
      <c r="T197" s="42" t="e">
        <f aca="false">(Y167*T76)/1.2</f>
        <v>#VALUE!</v>
      </c>
      <c r="U197" s="36"/>
      <c r="V197" s="36"/>
      <c r="W197" s="42" t="n">
        <f aca="false">(E40*S117)*0.1</f>
        <v>0</v>
      </c>
      <c r="X197" s="36"/>
      <c r="Y197" s="36"/>
      <c r="Z197" s="37"/>
      <c r="AB197" s="113" t="n">
        <f aca="false">IF(AF114="YES",AI15*0.000002,0)</f>
        <v>0</v>
      </c>
      <c r="AC197" s="42" t="e">
        <f aca="false">(AH167*AC76)/1.2</f>
        <v>#VALUE!</v>
      </c>
      <c r="AD197" s="36"/>
      <c r="AE197" s="36"/>
      <c r="AF197" s="42" t="n">
        <f aca="false">(E40*AB117)*0.1</f>
        <v>0</v>
      </c>
      <c r="AG197" s="36"/>
      <c r="AH197" s="36"/>
      <c r="AI197" s="37"/>
    </row>
    <row r="198" customFormat="false" ht="18.75" hidden="false" customHeight="false" outlineLevel="0" collapsed="false">
      <c r="A198" s="113"/>
      <c r="B198" s="42"/>
      <c r="C198" s="36"/>
      <c r="D198" s="36"/>
      <c r="E198" s="27"/>
      <c r="F198" s="27"/>
      <c r="G198" s="27"/>
      <c r="H198" s="37"/>
      <c r="J198" s="113"/>
      <c r="K198" s="42"/>
      <c r="L198" s="36"/>
      <c r="M198" s="36"/>
      <c r="N198" s="27"/>
      <c r="O198" s="27"/>
      <c r="P198" s="27"/>
      <c r="Q198" s="37"/>
      <c r="S198" s="113"/>
      <c r="T198" s="42"/>
      <c r="U198" s="36"/>
      <c r="V198" s="36"/>
      <c r="W198" s="27"/>
      <c r="X198" s="36"/>
      <c r="Y198" s="36"/>
      <c r="Z198" s="37"/>
      <c r="AB198" s="113"/>
      <c r="AC198" s="42"/>
      <c r="AD198" s="36"/>
      <c r="AE198" s="36"/>
      <c r="AF198" s="27"/>
      <c r="AG198" s="36"/>
      <c r="AH198" s="36"/>
      <c r="AI198" s="37"/>
    </row>
    <row r="199" customFormat="false" ht="18.75" hidden="false" customHeight="false" outlineLevel="0" collapsed="false">
      <c r="A199" s="64" t="s">
        <v>212</v>
      </c>
      <c r="B199" s="43" t="s">
        <v>213</v>
      </c>
      <c r="C199" s="36"/>
      <c r="D199" s="36"/>
      <c r="E199" s="43" t="s">
        <v>214</v>
      </c>
      <c r="F199" s="27"/>
      <c r="G199" s="27"/>
      <c r="H199" s="37"/>
      <c r="J199" s="64" t="s">
        <v>212</v>
      </c>
      <c r="K199" s="43" t="s">
        <v>213</v>
      </c>
      <c r="L199" s="36"/>
      <c r="M199" s="36"/>
      <c r="N199" s="43" t="s">
        <v>214</v>
      </c>
      <c r="O199" s="27"/>
      <c r="P199" s="27"/>
      <c r="Q199" s="37"/>
      <c r="S199" s="64" t="s">
        <v>212</v>
      </c>
      <c r="T199" s="43" t="s">
        <v>213</v>
      </c>
      <c r="U199" s="36"/>
      <c r="V199" s="36"/>
      <c r="W199" s="43" t="s">
        <v>214</v>
      </c>
      <c r="X199" s="36"/>
      <c r="Y199" s="36"/>
      <c r="Z199" s="37"/>
      <c r="AB199" s="64" t="s">
        <v>212</v>
      </c>
      <c r="AC199" s="43" t="s">
        <v>213</v>
      </c>
      <c r="AD199" s="36"/>
      <c r="AE199" s="36"/>
      <c r="AF199" s="43" t="s">
        <v>214</v>
      </c>
      <c r="AG199" s="36"/>
      <c r="AH199" s="36"/>
      <c r="AI199" s="37"/>
    </row>
    <row r="200" customFormat="false" ht="18.75" hidden="false" customHeight="false" outlineLevel="0" collapsed="false">
      <c r="A200" s="113" t="n">
        <v>20</v>
      </c>
      <c r="B200" s="42" t="n">
        <f aca="false">B197+E197+A200</f>
        <v>206.74997</v>
      </c>
      <c r="C200" s="36"/>
      <c r="D200" s="36"/>
      <c r="E200" s="42" t="n">
        <f aca="false">H157</f>
        <v>2083.33</v>
      </c>
      <c r="F200" s="27"/>
      <c r="G200" s="27"/>
      <c r="H200" s="37"/>
      <c r="J200" s="113" t="n">
        <f aca="false">K194-100</f>
        <v>1139.99</v>
      </c>
      <c r="K200" s="42" t="e">
        <f aca="false">K197+N197+J200</f>
        <v>#VALUE!</v>
      </c>
      <c r="L200" s="36"/>
      <c r="M200" s="36"/>
      <c r="N200" s="42" t="e">
        <f aca="false">Q157</f>
        <v>#VALUE!</v>
      </c>
      <c r="O200" s="27"/>
      <c r="P200" s="27"/>
      <c r="Q200" s="37"/>
      <c r="S200" s="113" t="n">
        <f aca="false">T194-100</f>
        <v>1099.99</v>
      </c>
      <c r="T200" s="42" t="e">
        <f aca="false">T197+W197+S200</f>
        <v>#VALUE!</v>
      </c>
      <c r="U200" s="36"/>
      <c r="V200" s="36"/>
      <c r="W200" s="42" t="e">
        <f aca="false">Z157</f>
        <v>#VALUE!</v>
      </c>
      <c r="X200" s="36"/>
      <c r="Y200" s="36"/>
      <c r="Z200" s="37"/>
      <c r="AB200" s="113" t="n">
        <f aca="false">AC194-100</f>
        <v>1139.99</v>
      </c>
      <c r="AC200" s="42" t="e">
        <f aca="false">AC197+AF197+AB200</f>
        <v>#VALUE!</v>
      </c>
      <c r="AD200" s="36"/>
      <c r="AE200" s="36"/>
      <c r="AF200" s="42" t="e">
        <f aca="false">AI157</f>
        <v>#VALUE!</v>
      </c>
      <c r="AG200" s="36"/>
      <c r="AH200" s="36"/>
      <c r="AI200" s="37"/>
    </row>
    <row r="201" customFormat="false" ht="18.75" hidden="false" customHeight="false" outlineLevel="0" collapsed="false">
      <c r="A201" s="35"/>
      <c r="B201" s="36"/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70" t="s">
        <v>215</v>
      </c>
      <c r="B202" s="36"/>
      <c r="C202" s="36"/>
      <c r="D202" s="71"/>
      <c r="E202" s="71"/>
      <c r="F202" s="71"/>
      <c r="G202" s="71"/>
      <c r="H202" s="72"/>
      <c r="J202" s="70" t="s">
        <v>215</v>
      </c>
      <c r="K202" s="36"/>
      <c r="L202" s="36"/>
      <c r="M202" s="71"/>
      <c r="N202" s="71"/>
      <c r="O202" s="71"/>
      <c r="P202" s="71"/>
      <c r="Q202" s="72"/>
      <c r="S202" s="70" t="s">
        <v>215</v>
      </c>
      <c r="T202" s="36"/>
      <c r="U202" s="36"/>
      <c r="V202" s="71"/>
      <c r="W202" s="71"/>
      <c r="X202" s="71"/>
      <c r="Y202" s="71"/>
      <c r="Z202" s="72"/>
      <c r="AB202" s="70" t="s">
        <v>215</v>
      </c>
      <c r="AC202" s="36"/>
      <c r="AD202" s="36"/>
      <c r="AE202" s="71"/>
      <c r="AF202" s="71"/>
      <c r="AG202" s="71"/>
      <c r="AH202" s="71"/>
      <c r="AI202" s="72"/>
    </row>
    <row r="203" customFormat="false" ht="18.75" hidden="false" customHeight="false" outlineLevel="0" collapsed="false">
      <c r="A203" s="35"/>
      <c r="B203" s="73"/>
      <c r="C203" s="73"/>
      <c r="D203" s="36"/>
      <c r="E203" s="27"/>
      <c r="F203" s="27"/>
      <c r="G203" s="27"/>
      <c r="H203" s="37"/>
      <c r="J203" s="35"/>
      <c r="K203" s="73"/>
      <c r="L203" s="73"/>
      <c r="M203" s="36"/>
      <c r="N203" s="27"/>
      <c r="O203" s="27"/>
      <c r="P203" s="27"/>
      <c r="Q203" s="37"/>
      <c r="S203" s="35"/>
      <c r="T203" s="73"/>
      <c r="U203" s="73"/>
      <c r="V203" s="36"/>
      <c r="W203" s="27"/>
      <c r="X203" s="27"/>
      <c r="Y203" s="27"/>
      <c r="Z203" s="37"/>
      <c r="AB203" s="35"/>
      <c r="AC203" s="73"/>
      <c r="AD203" s="73"/>
      <c r="AE203" s="36"/>
      <c r="AF203" s="27"/>
      <c r="AG203" s="27"/>
      <c r="AH203" s="27"/>
      <c r="AI203" s="37"/>
    </row>
    <row r="204" customFormat="false" ht="19.7" hidden="false" customHeight="false" outlineLevel="0" collapsed="false">
      <c r="A204" s="172" t="s">
        <v>95</v>
      </c>
      <c r="B204" s="75" t="s">
        <v>96</v>
      </c>
      <c r="C204" s="75"/>
      <c r="D204" s="75"/>
      <c r="E204" s="27"/>
      <c r="F204" s="27"/>
      <c r="G204" s="27"/>
      <c r="H204" s="37"/>
      <c r="J204" s="172" t="s">
        <v>95</v>
      </c>
      <c r="K204" s="173" t="s">
        <v>96</v>
      </c>
      <c r="L204" s="173"/>
      <c r="M204" s="173"/>
      <c r="N204" s="27"/>
      <c r="O204" s="27"/>
      <c r="P204" s="27"/>
      <c r="Q204" s="37"/>
      <c r="S204" s="172" t="s">
        <v>95</v>
      </c>
      <c r="T204" s="75" t="s">
        <v>96</v>
      </c>
      <c r="U204" s="75"/>
      <c r="V204" s="75"/>
      <c r="W204" s="27"/>
      <c r="X204" s="27"/>
      <c r="Y204" s="27"/>
      <c r="Z204" s="37"/>
      <c r="AB204" s="172" t="s">
        <v>95</v>
      </c>
      <c r="AC204" s="75" t="s">
        <v>96</v>
      </c>
      <c r="AD204" s="75"/>
      <c r="AE204" s="75"/>
      <c r="AF204" s="27"/>
      <c r="AG204" s="27"/>
      <c r="AH204" s="27"/>
      <c r="AI204" s="37"/>
    </row>
    <row r="205" customFormat="false" ht="19.5" hidden="false" customHeight="true" outlineLevel="0" collapsed="false">
      <c r="A205" s="172"/>
      <c r="B205" s="76" t="str">
        <f aca="false">K30</f>
        <v>5000</v>
      </c>
      <c r="C205" s="76"/>
      <c r="D205" s="76"/>
      <c r="E205" s="27"/>
      <c r="F205" s="27"/>
      <c r="G205" s="27"/>
      <c r="H205" s="37"/>
      <c r="J205" s="172"/>
      <c r="K205" s="174" t="str">
        <f aca="false">K30</f>
        <v>5000</v>
      </c>
      <c r="L205" s="174"/>
      <c r="M205" s="174"/>
      <c r="N205" s="27"/>
      <c r="O205" s="27"/>
      <c r="P205" s="27"/>
      <c r="Q205" s="37"/>
      <c r="S205" s="172"/>
      <c r="T205" s="76" t="str">
        <f aca="false">K30</f>
        <v>5000</v>
      </c>
      <c r="U205" s="76"/>
      <c r="V205" s="76"/>
      <c r="W205" s="27"/>
      <c r="X205" s="27"/>
      <c r="Y205" s="27"/>
      <c r="Z205" s="37"/>
      <c r="AB205" s="172"/>
      <c r="AC205" s="76" t="str">
        <f aca="false">K30</f>
        <v>5000</v>
      </c>
      <c r="AD205" s="76"/>
      <c r="AE205" s="76"/>
      <c r="AF205" s="27"/>
      <c r="AG205" s="27"/>
      <c r="AH205" s="27"/>
      <c r="AI205" s="37"/>
    </row>
    <row r="206" customFormat="false" ht="18.75" hidden="false" customHeight="false" outlineLevel="0" collapsed="false">
      <c r="A206" s="77" t="str">
        <f aca="false">K29</f>
        <v>12</v>
      </c>
      <c r="B206" s="78" t="n">
        <f aca="false">B105</f>
        <v>1422.08187454149</v>
      </c>
      <c r="C206" s="78"/>
      <c r="D206" s="78"/>
      <c r="E206" s="27"/>
      <c r="F206" s="27"/>
      <c r="G206" s="27"/>
      <c r="H206" s="37"/>
      <c r="J206" s="77" t="str">
        <f aca="false">K29</f>
        <v>12</v>
      </c>
      <c r="K206" s="78" t="e">
        <f aca="false">K105</f>
        <v>#VALUE!</v>
      </c>
      <c r="L206" s="78"/>
      <c r="M206" s="78"/>
      <c r="N206" s="27"/>
      <c r="O206" s="27"/>
      <c r="P206" s="27"/>
      <c r="Q206" s="37"/>
      <c r="S206" s="77" t="str">
        <f aca="false">K29</f>
        <v>12</v>
      </c>
      <c r="T206" s="78" t="e">
        <f aca="false">T105</f>
        <v>#VALUE!</v>
      </c>
      <c r="U206" s="78"/>
      <c r="V206" s="78"/>
      <c r="W206" s="27"/>
      <c r="X206" s="27"/>
      <c r="Y206" s="27"/>
      <c r="Z206" s="37"/>
      <c r="AB206" s="77" t="str">
        <f aca="false">K29</f>
        <v>12</v>
      </c>
      <c r="AC206" s="78" t="e">
        <f aca="false">AC105</f>
        <v>#VALUE!</v>
      </c>
      <c r="AD206" s="78"/>
      <c r="AE206" s="78"/>
      <c r="AF206" s="27"/>
      <c r="AG206" s="27"/>
      <c r="AH206" s="27"/>
      <c r="AI206" s="37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  <c r="J207" s="35"/>
      <c r="K207" s="36"/>
      <c r="L207" s="36"/>
      <c r="M207" s="36"/>
      <c r="N207" s="27"/>
      <c r="O207" s="27"/>
      <c r="P207" s="27"/>
      <c r="Q207" s="37"/>
      <c r="S207" s="35"/>
      <c r="T207" s="36"/>
      <c r="U207" s="36"/>
      <c r="V207" s="36"/>
      <c r="W207" s="27"/>
      <c r="X207" s="27"/>
      <c r="Y207" s="27"/>
      <c r="Z207" s="37"/>
      <c r="AB207" s="35"/>
      <c r="AC207" s="36"/>
      <c r="AD207" s="36"/>
      <c r="AE207" s="36"/>
      <c r="AF207" s="27"/>
      <c r="AG207" s="27"/>
      <c r="AH207" s="27"/>
      <c r="AI207" s="37"/>
    </row>
    <row r="208" customFormat="false" ht="18.75" hidden="false" customHeight="false" outlineLevel="0" collapsed="false">
      <c r="A208" s="35"/>
      <c r="B208" s="36"/>
      <c r="C208" s="36"/>
      <c r="D208" s="36"/>
      <c r="E208" s="27"/>
      <c r="F208" s="27"/>
      <c r="G208" s="27"/>
      <c r="H208" s="37"/>
      <c r="J208" s="35"/>
      <c r="K208" s="36"/>
      <c r="L208" s="36"/>
      <c r="M208" s="36"/>
      <c r="N208" s="27"/>
      <c r="O208" s="27"/>
      <c r="P208" s="27"/>
      <c r="Q208" s="37"/>
      <c r="S208" s="35"/>
      <c r="T208" s="36"/>
      <c r="U208" s="36"/>
      <c r="V208" s="36"/>
      <c r="W208" s="27"/>
      <c r="X208" s="27"/>
      <c r="Y208" s="27"/>
      <c r="Z208" s="37"/>
      <c r="AB208" s="35"/>
      <c r="AC208" s="36"/>
      <c r="AD208" s="36"/>
      <c r="AE208" s="36"/>
      <c r="AF208" s="27"/>
      <c r="AG208" s="27"/>
      <c r="AH208" s="27"/>
      <c r="AI208" s="37"/>
    </row>
    <row r="209" customFormat="false" ht="18.75" hidden="false" customHeight="false" outlineLevel="0" collapsed="false">
      <c r="A209" s="35" t="s">
        <v>216</v>
      </c>
      <c r="B209" s="36" t="s">
        <v>217</v>
      </c>
      <c r="C209" s="36"/>
      <c r="D209" s="36"/>
      <c r="E209" s="27"/>
      <c r="F209" s="27"/>
      <c r="G209" s="27"/>
      <c r="H209" s="37"/>
      <c r="J209" s="35"/>
      <c r="K209" s="36"/>
      <c r="L209" s="36"/>
      <c r="M209" s="36"/>
      <c r="N209" s="27"/>
      <c r="O209" s="27"/>
      <c r="P209" s="27"/>
      <c r="Q209" s="37"/>
      <c r="S209" s="35"/>
      <c r="T209" s="36"/>
      <c r="U209" s="36"/>
      <c r="V209" s="36"/>
      <c r="W209" s="27"/>
      <c r="X209" s="27"/>
      <c r="Y209" s="27"/>
      <c r="Z209" s="37"/>
      <c r="AB209" s="35"/>
      <c r="AC209" s="36"/>
      <c r="AD209" s="36"/>
      <c r="AE209" s="36"/>
      <c r="AF209" s="27"/>
      <c r="AG209" s="27"/>
      <c r="AH209" s="27"/>
      <c r="AI209" s="37"/>
    </row>
    <row r="210" customFormat="false" ht="18.75" hidden="false" customHeight="false" outlineLevel="0" collapsed="false">
      <c r="A210" s="40" t="n">
        <f aca="false">IF(A49=0,((G176*(B68+1))-E188),((G176*B68)+E194-E188-A194))</f>
        <v>-4051.97600000001</v>
      </c>
      <c r="B210" s="47" t="n">
        <f aca="false">E188+A210+(B191*1.2)+A194</f>
        <v>21113.01</v>
      </c>
      <c r="C210" s="36"/>
      <c r="D210" s="36"/>
      <c r="E210" s="27"/>
      <c r="F210" s="27"/>
      <c r="G210" s="27"/>
      <c r="H210" s="37"/>
      <c r="J210" s="35"/>
      <c r="K210" s="36"/>
      <c r="L210" s="36"/>
      <c r="M210" s="36"/>
      <c r="N210" s="27"/>
      <c r="O210" s="27"/>
      <c r="P210" s="27"/>
      <c r="Q210" s="37"/>
      <c r="S210" s="35"/>
      <c r="T210" s="36"/>
      <c r="U210" s="36"/>
      <c r="V210" s="36"/>
      <c r="W210" s="27"/>
      <c r="X210" s="27"/>
      <c r="Y210" s="27"/>
      <c r="Z210" s="37"/>
      <c r="AB210" s="35"/>
      <c r="AC210" s="36"/>
      <c r="AD210" s="36"/>
      <c r="AE210" s="36"/>
      <c r="AF210" s="27"/>
      <c r="AG210" s="27"/>
      <c r="AH210" s="27"/>
      <c r="AI210" s="37"/>
    </row>
    <row r="211" customFormat="false" ht="18.75" hidden="false" customHeight="false" outlineLevel="0" collapsed="false">
      <c r="A211" s="60"/>
      <c r="B211" s="61"/>
      <c r="C211" s="61"/>
      <c r="D211" s="61"/>
      <c r="E211" s="61"/>
      <c r="F211" s="61"/>
      <c r="G211" s="61"/>
      <c r="H211" s="69"/>
      <c r="J211" s="60"/>
      <c r="K211" s="61"/>
      <c r="L211" s="61"/>
      <c r="M211" s="61"/>
      <c r="N211" s="61"/>
      <c r="O211" s="61"/>
      <c r="P211" s="61"/>
      <c r="Q211" s="69"/>
      <c r="S211" s="60"/>
      <c r="T211" s="61"/>
      <c r="U211" s="61"/>
      <c r="V211" s="61"/>
      <c r="W211" s="61"/>
      <c r="X211" s="61"/>
      <c r="Y211" s="61"/>
      <c r="Z211" s="69"/>
      <c r="AB211" s="60"/>
      <c r="AC211" s="61"/>
      <c r="AD211" s="61"/>
      <c r="AE211" s="61"/>
      <c r="AF211" s="61"/>
      <c r="AG211" s="61"/>
      <c r="AH211" s="61"/>
      <c r="AI211" s="69"/>
    </row>
    <row r="215" customFormat="false" ht="22.05" hidden="false" customHeight="false" outlineLevel="0" collapsed="false">
      <c r="A215" s="175" t="s">
        <v>193</v>
      </c>
      <c r="B215" s="175"/>
      <c r="C215" s="175"/>
      <c r="D215" s="175"/>
      <c r="E215" s="175"/>
      <c r="F215" s="175"/>
      <c r="G215" s="175"/>
      <c r="H215" s="175"/>
    </row>
    <row r="216" customFormat="false" ht="18.75" hidden="false" customHeight="false" outlineLevel="0" collapsed="false">
      <c r="A216" s="35"/>
      <c r="B216" s="36"/>
      <c r="C216" s="36"/>
      <c r="D216" s="36"/>
      <c r="E216" s="27"/>
      <c r="F216" s="27"/>
      <c r="G216" s="27"/>
      <c r="H216" s="37"/>
    </row>
    <row r="217" customFormat="false" ht="18.75" hidden="false" customHeight="false" outlineLevel="0" collapsed="false">
      <c r="A217" s="176" t="s">
        <v>138</v>
      </c>
      <c r="B217" s="177" t="s">
        <v>52</v>
      </c>
      <c r="C217" s="177"/>
      <c r="D217" s="177"/>
      <c r="E217" s="177" t="s">
        <v>53</v>
      </c>
      <c r="F217" s="178"/>
      <c r="G217" s="27"/>
      <c r="H217" s="37"/>
    </row>
    <row r="218" customFormat="false" ht="18.75" hidden="false" customHeight="false" outlineLevel="0" collapsed="false">
      <c r="A218" s="179" t="s">
        <v>218</v>
      </c>
      <c r="B218" s="164" t="str">
        <f aca="false">A206</f>
        <v>12</v>
      </c>
      <c r="C218" s="164"/>
      <c r="D218" s="164"/>
      <c r="E218" s="164" t="str">
        <f aca="false">B205</f>
        <v>5000</v>
      </c>
      <c r="F218" s="178"/>
      <c r="G218" s="27"/>
      <c r="H218" s="37"/>
    </row>
    <row r="219" customFormat="false" ht="18.75" hidden="false" customHeight="false" outlineLevel="0" collapsed="false">
      <c r="A219" s="35"/>
      <c r="B219" s="36"/>
      <c r="C219" s="36"/>
      <c r="D219" s="36"/>
      <c r="E219" s="27"/>
      <c r="F219" s="27"/>
      <c r="G219" s="27"/>
      <c r="H219" s="37"/>
    </row>
    <row r="220" customFormat="false" ht="18.75" hidden="false" customHeight="false" outlineLevel="0" collapsed="false">
      <c r="A220" s="176" t="s">
        <v>195</v>
      </c>
      <c r="B220" s="177" t="s">
        <v>196</v>
      </c>
      <c r="C220" s="177"/>
      <c r="D220" s="177"/>
      <c r="E220" s="177" t="s">
        <v>197</v>
      </c>
      <c r="F220" s="27"/>
      <c r="G220" s="27"/>
      <c r="H220" s="37"/>
    </row>
    <row r="221" customFormat="false" ht="18.75" hidden="false" customHeight="false" outlineLevel="0" collapsed="false">
      <c r="A221" s="165" t="n">
        <f aca="false">A176</f>
        <v>1422.08187454149</v>
      </c>
      <c r="B221" s="166" t="n">
        <f aca="false">B176</f>
        <v>0</v>
      </c>
      <c r="C221" s="164"/>
      <c r="D221" s="164"/>
      <c r="E221" s="166" t="n">
        <f aca="false">E176</f>
        <v>1422.08187454149</v>
      </c>
      <c r="F221" s="27"/>
      <c r="G221" s="27"/>
      <c r="H221" s="37"/>
    </row>
    <row r="222" customFormat="false" ht="18.75" hidden="false" customHeight="false" outlineLevel="0" collapsed="false">
      <c r="A222" s="35"/>
      <c r="B222" s="36"/>
      <c r="C222" s="36"/>
      <c r="D222" s="36"/>
      <c r="E222" s="27"/>
      <c r="F222" s="27"/>
      <c r="G222" s="27"/>
      <c r="H222" s="37"/>
    </row>
    <row r="223" customFormat="false" ht="18.75" hidden="false" customHeight="false" outlineLevel="0" collapsed="false">
      <c r="A223" s="35" t="s">
        <v>200</v>
      </c>
      <c r="B223" s="36" t="s">
        <v>201</v>
      </c>
      <c r="C223" s="36"/>
      <c r="D223" s="27"/>
      <c r="E223" s="36" t="s">
        <v>202</v>
      </c>
      <c r="F223" s="27"/>
      <c r="G223" s="27"/>
      <c r="H223" s="37"/>
    </row>
    <row r="224" customFormat="false" ht="18.75" hidden="false" customHeight="false" outlineLevel="0" collapsed="false">
      <c r="A224" s="171" t="n">
        <f aca="false">A182</f>
        <v>19583.33</v>
      </c>
      <c r="B224" s="42" t="n">
        <f aca="false">B182</f>
        <v>3916.666</v>
      </c>
      <c r="C224" s="47"/>
      <c r="D224" s="27"/>
      <c r="E224" s="170" t="n">
        <f aca="false">E182</f>
        <v>0</v>
      </c>
      <c r="F224" s="27"/>
      <c r="G224" s="27"/>
      <c r="H224" s="3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203</v>
      </c>
      <c r="B226" s="36" t="s">
        <v>149</v>
      </c>
      <c r="C226" s="36"/>
      <c r="D226" s="27"/>
      <c r="E226" s="36" t="s">
        <v>150</v>
      </c>
      <c r="F226" s="27"/>
      <c r="G226" s="27"/>
      <c r="H226" s="37"/>
    </row>
    <row r="227" customFormat="false" ht="18.75" hidden="false" customHeight="false" outlineLevel="0" collapsed="false">
      <c r="A227" s="171" t="n">
        <f aca="false">A185</f>
        <v>23499.996</v>
      </c>
      <c r="B227" s="42" t="n">
        <f aca="false">B185</f>
        <v>0</v>
      </c>
      <c r="C227" s="42"/>
      <c r="D227" s="27"/>
      <c r="E227" s="42" t="n">
        <f aca="false">E185</f>
        <v>0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27"/>
      <c r="E228" s="36"/>
      <c r="F228" s="27"/>
      <c r="G228" s="27"/>
      <c r="H228" s="37"/>
    </row>
    <row r="229" customFormat="false" ht="18.75" hidden="false" customHeight="false" outlineLevel="0" collapsed="false">
      <c r="A229" s="35" t="s">
        <v>151</v>
      </c>
      <c r="B229" s="36" t="s">
        <v>186</v>
      </c>
      <c r="C229" s="36"/>
      <c r="D229" s="27"/>
      <c r="E229" s="36" t="s">
        <v>192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A188</f>
        <v>0</v>
      </c>
      <c r="B230" s="42" t="n">
        <f aca="false">B188</f>
        <v>0</v>
      </c>
      <c r="C230" s="42"/>
      <c r="D230" s="27"/>
      <c r="E230" s="42" t="n">
        <f aca="false">E188</f>
        <v>24899.996</v>
      </c>
      <c r="F230" s="27"/>
      <c r="G230" s="27"/>
      <c r="H230" s="107"/>
    </row>
    <row r="231" customFormat="false" ht="18.75" hidden="false" customHeight="false" outlineLevel="0" collapsed="false">
      <c r="A231" s="35"/>
      <c r="B231" s="36"/>
      <c r="C231" s="36"/>
      <c r="D231" s="27"/>
      <c r="E231" s="36"/>
      <c r="F231" s="27"/>
      <c r="G231" s="27"/>
      <c r="H231" s="37"/>
    </row>
    <row r="232" customFormat="false" ht="18.75" hidden="false" customHeight="false" outlineLevel="0" collapsed="false">
      <c r="A232" s="35" t="s">
        <v>204</v>
      </c>
      <c r="B232" s="36" t="s">
        <v>66</v>
      </c>
      <c r="C232" s="36"/>
      <c r="D232" s="27"/>
      <c r="E232" s="36" t="s">
        <v>205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A191</f>
        <v>-3257.09538004367</v>
      </c>
      <c r="B233" s="42" t="n">
        <f aca="false">B191</f>
        <v>199.991666666667</v>
      </c>
      <c r="C233" s="42"/>
      <c r="D233" s="27"/>
      <c r="E233" s="42" t="n">
        <f aca="false">E191</f>
        <v>21907.8906199563</v>
      </c>
      <c r="F233" s="27"/>
      <c r="G233" s="27"/>
      <c r="H233" s="107"/>
    </row>
    <row r="234" customFormat="false" ht="18.75" hidden="false" customHeight="false" outlineLevel="0" collapsed="false">
      <c r="A234" s="35"/>
      <c r="B234" s="36"/>
      <c r="C234" s="36"/>
      <c r="D234" s="27"/>
      <c r="E234" s="36"/>
      <c r="F234" s="27"/>
      <c r="G234" s="27"/>
      <c r="H234" s="37"/>
    </row>
    <row r="235" customFormat="false" ht="18.75" hidden="false" customHeight="false" outlineLevel="0" collapsed="false">
      <c r="A235" s="35" t="s">
        <v>206</v>
      </c>
      <c r="B235" s="36" t="s">
        <v>207</v>
      </c>
      <c r="C235" s="36"/>
      <c r="D235" s="27"/>
      <c r="E235" s="36" t="s">
        <v>219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A194</f>
        <v>25</v>
      </c>
      <c r="B236" s="42" t="n">
        <f aca="false">B194</f>
        <v>239.99</v>
      </c>
      <c r="C236" s="42"/>
      <c r="D236" s="27"/>
      <c r="E236" s="42" t="n">
        <f aca="false">B68</f>
        <v>11</v>
      </c>
      <c r="F236" s="27"/>
      <c r="G236" s="27"/>
      <c r="H236" s="107"/>
    </row>
    <row r="237" customFormat="false" ht="18.75" hidden="false" customHeight="false" outlineLevel="0" collapsed="false">
      <c r="A237" s="35"/>
      <c r="B237" s="36"/>
      <c r="C237" s="36"/>
      <c r="D237" s="36"/>
      <c r="E237" s="27"/>
      <c r="F237" s="27"/>
      <c r="G237" s="27"/>
      <c r="H237" s="37"/>
    </row>
    <row r="238" customFormat="false" ht="18.75" hidden="false" customHeight="false" outlineLevel="0" collapsed="false">
      <c r="A238" s="35" t="s">
        <v>195</v>
      </c>
      <c r="B238" s="36" t="s">
        <v>196</v>
      </c>
      <c r="C238" s="36"/>
      <c r="D238" s="36"/>
      <c r="E238" s="36" t="s">
        <v>197</v>
      </c>
      <c r="F238" s="27"/>
      <c r="G238" s="27"/>
      <c r="H238" s="37"/>
    </row>
    <row r="239" customFormat="false" ht="18.75" hidden="false" customHeight="false" outlineLevel="0" collapsed="false">
      <c r="A239" s="113" t="n">
        <f aca="false">A176</f>
        <v>1422.08187454149</v>
      </c>
      <c r="B239" s="42" t="n">
        <f aca="false">B176</f>
        <v>0</v>
      </c>
      <c r="C239" s="47"/>
      <c r="D239" s="47"/>
      <c r="E239" s="42" t="n">
        <f aca="false">E176</f>
        <v>1422.08187454149</v>
      </c>
      <c r="F239" s="27"/>
      <c r="G239" s="27"/>
      <c r="H239" s="37"/>
    </row>
    <row r="240" customFormat="false" ht="18.75" hidden="false" customHeight="false" outlineLevel="0" collapsed="false">
      <c r="A240" s="35"/>
      <c r="B240" s="36"/>
      <c r="C240" s="36"/>
      <c r="D240" s="36"/>
      <c r="E240" s="27"/>
      <c r="F240" s="27"/>
      <c r="G240" s="27"/>
      <c r="H240" s="37"/>
    </row>
    <row r="241" customFormat="false" ht="18.75" hidden="false" customHeight="false" outlineLevel="0" collapsed="false">
      <c r="A241" s="35" t="s">
        <v>220</v>
      </c>
      <c r="B241" s="36" t="s">
        <v>221</v>
      </c>
      <c r="C241" s="36"/>
      <c r="D241" s="36"/>
      <c r="E241" s="36" t="s">
        <v>80</v>
      </c>
      <c r="F241" s="27"/>
      <c r="G241" s="27"/>
      <c r="H241" s="37"/>
    </row>
    <row r="242" customFormat="false" ht="18.75" hidden="false" customHeight="false" outlineLevel="0" collapsed="false">
      <c r="A242" s="113" t="n">
        <f aca="false">E179</f>
        <v>6000</v>
      </c>
      <c r="B242" s="42" t="n">
        <f aca="false">E194</f>
        <v>6025</v>
      </c>
      <c r="C242" s="36"/>
      <c r="D242" s="36"/>
      <c r="E242" s="42" t="n">
        <f aca="false">J18*0.000006*100</f>
        <v>22.4424</v>
      </c>
      <c r="F242" s="27"/>
      <c r="G242" s="27"/>
      <c r="H242" s="37"/>
    </row>
    <row r="243" customFormat="false" ht="18.75" hidden="false" customHeight="false" outlineLevel="0" collapsed="false">
      <c r="A243" s="113"/>
      <c r="B243" s="42"/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64" t="s">
        <v>222</v>
      </c>
      <c r="B244" s="43" t="s">
        <v>85</v>
      </c>
      <c r="C244" s="36"/>
      <c r="D244" s="36"/>
      <c r="E244" s="43" t="s">
        <v>143</v>
      </c>
      <c r="F244" s="27"/>
      <c r="G244" s="27"/>
      <c r="H244" s="37"/>
    </row>
    <row r="245" customFormat="false" ht="18.75" hidden="false" customHeight="false" outlineLevel="0" collapsed="false">
      <c r="A245" s="113" t="n">
        <f aca="false">A197</f>
        <v>7.4808</v>
      </c>
      <c r="B245" s="42" t="n">
        <f aca="false">E242+A245</f>
        <v>29.9232</v>
      </c>
      <c r="C245" s="36"/>
      <c r="D245" s="36"/>
      <c r="E245" s="42"/>
      <c r="F245" s="27"/>
      <c r="G245" s="27"/>
      <c r="H245" s="37"/>
    </row>
    <row r="246" customFormat="false" ht="18.75" hidden="false" customHeight="false" outlineLevel="0" collapsed="false">
      <c r="A246" s="113"/>
      <c r="B246" s="42"/>
      <c r="C246" s="36"/>
      <c r="D246" s="36"/>
      <c r="E246" s="42"/>
      <c r="F246" s="27"/>
      <c r="G246" s="27"/>
      <c r="H246" s="37"/>
    </row>
    <row r="247" customFormat="false" ht="22.05" hidden="false" customHeight="false" outlineLevel="0" collapsed="false">
      <c r="A247" s="180" t="s">
        <v>223</v>
      </c>
      <c r="B247" s="180"/>
      <c r="C247" s="180"/>
      <c r="D247" s="180"/>
      <c r="E247" s="180"/>
      <c r="F247" s="180"/>
      <c r="G247" s="180"/>
      <c r="H247" s="180"/>
    </row>
    <row r="248" customFormat="false" ht="18.75" hidden="false" customHeight="false" outlineLevel="0" collapsed="false">
      <c r="A248" s="35" t="s">
        <v>224</v>
      </c>
      <c r="B248" s="36" t="s">
        <v>210</v>
      </c>
      <c r="C248" s="36"/>
      <c r="D248" s="36"/>
      <c r="E248" s="43" t="s">
        <v>211</v>
      </c>
      <c r="F248" s="27"/>
      <c r="G248" s="27"/>
      <c r="H248" s="37"/>
    </row>
    <row r="249" customFormat="false" ht="18.75" hidden="false" customHeight="false" outlineLevel="0" collapsed="false">
      <c r="A249" s="113" t="n">
        <f aca="false">H157</f>
        <v>2083.33</v>
      </c>
      <c r="B249" s="42" t="n">
        <f aca="false">B197</f>
        <v>186.74997</v>
      </c>
      <c r="C249" s="36"/>
      <c r="D249" s="36"/>
      <c r="E249" s="42" t="n">
        <f aca="false">E197</f>
        <v>0</v>
      </c>
      <c r="F249" s="27"/>
      <c r="G249" s="27"/>
      <c r="H249" s="37"/>
    </row>
    <row r="250" customFormat="false" ht="18.75" hidden="false" customHeight="false" outlineLevel="0" collapsed="false">
      <c r="A250" s="113"/>
      <c r="B250" s="42"/>
      <c r="C250" s="36"/>
      <c r="D250" s="36"/>
      <c r="E250" s="27"/>
      <c r="F250" s="27"/>
      <c r="G250" s="27"/>
      <c r="H250" s="37"/>
    </row>
    <row r="251" customFormat="false" ht="18.75" hidden="false" customHeight="false" outlineLevel="0" collapsed="false">
      <c r="A251" s="64" t="s">
        <v>212</v>
      </c>
      <c r="B251" s="43" t="s">
        <v>213</v>
      </c>
      <c r="C251" s="36"/>
      <c r="D251" s="36"/>
      <c r="E251" s="43"/>
      <c r="F251" s="27"/>
      <c r="G251" s="27"/>
      <c r="H251" s="37"/>
    </row>
    <row r="252" customFormat="false" ht="18.75" hidden="false" customHeight="false" outlineLevel="0" collapsed="false">
      <c r="A252" s="113" t="n">
        <f aca="false">A200</f>
        <v>20</v>
      </c>
      <c r="B252" s="42" t="n">
        <f aca="false">B249+E249+A252+A249-H165</f>
        <v>890.079970000002</v>
      </c>
      <c r="C252" s="36"/>
      <c r="D252" s="36"/>
      <c r="E252" s="42"/>
      <c r="F252" s="27"/>
      <c r="G252" s="27"/>
      <c r="H252" s="37"/>
    </row>
    <row r="253" customFormat="false" ht="18.75" hidden="false" customHeight="false" outlineLevel="0" collapsed="false">
      <c r="A253" s="35"/>
      <c r="B253" s="36"/>
      <c r="C253" s="36"/>
      <c r="D253" s="36"/>
      <c r="E253" s="27"/>
      <c r="F253" s="27"/>
      <c r="G253" s="27"/>
      <c r="H253" s="37"/>
    </row>
    <row r="254" customFormat="false" ht="18.75" hidden="false" customHeight="false" outlineLevel="0" collapsed="false">
      <c r="A254" s="60"/>
      <c r="B254" s="61"/>
      <c r="C254" s="61"/>
      <c r="D254" s="61"/>
      <c r="E254" s="61"/>
      <c r="F254" s="61"/>
      <c r="G254" s="61"/>
      <c r="H254" s="69"/>
    </row>
    <row r="260" customFormat="false" ht="22.05" hidden="false" customHeight="false" outlineLevel="0" collapsed="false">
      <c r="A260" s="175" t="s">
        <v>225</v>
      </c>
      <c r="B260" s="175"/>
      <c r="C260" s="175"/>
      <c r="D260" s="175"/>
      <c r="E260" s="175"/>
      <c r="F260" s="175"/>
      <c r="G260" s="175"/>
      <c r="H260" s="175"/>
    </row>
    <row r="261" customFormat="false" ht="18.75" hidden="false" customHeight="false" outlineLevel="0" collapsed="false">
      <c r="A261" s="35"/>
      <c r="B261" s="36"/>
      <c r="C261" s="36"/>
      <c r="D261" s="36"/>
      <c r="E261" s="27"/>
      <c r="F261" s="27"/>
      <c r="G261" s="27"/>
      <c r="H261" s="37"/>
    </row>
    <row r="262" customFormat="false" ht="18.75" hidden="false" customHeight="false" outlineLevel="0" collapsed="false">
      <c r="A262" s="176" t="s">
        <v>226</v>
      </c>
      <c r="B262" s="181" t="n">
        <f aca="false">B72</f>
        <v>0.065</v>
      </c>
      <c r="C262" s="182"/>
      <c r="D262" s="183" t="s">
        <v>227</v>
      </c>
      <c r="E262" s="183"/>
      <c r="F262" s="181" t="n">
        <f aca="false">B92</f>
        <v>0.1255</v>
      </c>
      <c r="G262" s="27"/>
      <c r="H262" s="37"/>
    </row>
    <row r="263" customFormat="false" ht="18.75" hidden="false" customHeight="false" outlineLevel="0" collapsed="false">
      <c r="A263" s="176" t="s">
        <v>228</v>
      </c>
      <c r="B263" s="185" t="n">
        <f aca="false">(E191-B191)-(B210-B191-A194)</f>
        <v>819.880619956341</v>
      </c>
      <c r="C263" s="182"/>
      <c r="D263" s="183" t="s">
        <v>229</v>
      </c>
      <c r="E263" s="183"/>
      <c r="F263" s="185" t="n">
        <f aca="false">F270+F276+F278+B279+B280</f>
        <v>186.74997</v>
      </c>
      <c r="G263" s="27"/>
      <c r="H263" s="37"/>
    </row>
    <row r="264" customFormat="false" ht="18.75" hidden="false" customHeight="false" outlineLevel="0" collapsed="false">
      <c r="A264" s="176" t="s">
        <v>230</v>
      </c>
      <c r="B264" s="185" t="n">
        <f aca="false">F271+B272</f>
        <v>20</v>
      </c>
      <c r="C264" s="182"/>
      <c r="D264" s="183" t="s">
        <v>231</v>
      </c>
      <c r="E264" s="183"/>
      <c r="F264" s="185" t="n">
        <f aca="false">(B263-F263)+B264</f>
        <v>653.13064995634</v>
      </c>
      <c r="G264" s="27"/>
      <c r="H264" s="37"/>
    </row>
    <row r="265" customFormat="false" ht="18.75" hidden="false" customHeight="false" outlineLevel="0" collapsed="false">
      <c r="A265" s="186"/>
      <c r="B265" s="182"/>
      <c r="C265" s="187"/>
      <c r="D265" s="187"/>
      <c r="E265" s="187"/>
      <c r="F265" s="187"/>
      <c r="G265" s="188"/>
      <c r="H265" s="189"/>
    </row>
    <row r="266" customFormat="false" ht="18.75" hidden="false" customHeight="false" outlineLevel="0" collapsed="false">
      <c r="A266" s="35" t="s">
        <v>226</v>
      </c>
      <c r="B266" s="190" t="n">
        <f aca="false">B262</f>
        <v>0.065</v>
      </c>
      <c r="C266" s="182"/>
      <c r="D266" s="182"/>
      <c r="E266" s="182"/>
      <c r="F266" s="182"/>
      <c r="G266" s="27"/>
      <c r="H266" s="37"/>
    </row>
    <row r="267" customFormat="false" ht="18.75" hidden="false" customHeight="false" outlineLevel="0" collapsed="false">
      <c r="A267" s="191"/>
      <c r="B267" s="192"/>
      <c r="C267" s="193"/>
      <c r="D267" s="193"/>
      <c r="E267" s="188"/>
      <c r="F267" s="188"/>
      <c r="G267" s="188"/>
      <c r="H267" s="189"/>
    </row>
    <row r="268" customFormat="false" ht="18.75" hidden="false" customHeight="false" outlineLevel="0" collapsed="false">
      <c r="A268" s="35" t="s">
        <v>232</v>
      </c>
      <c r="B268" s="190" t="n">
        <f aca="false">B73</f>
        <v>0.05</v>
      </c>
      <c r="C268" s="36"/>
      <c r="D268" s="156" t="s">
        <v>233</v>
      </c>
      <c r="E268" s="156"/>
      <c r="F268" s="190" t="n">
        <v>0</v>
      </c>
      <c r="G268" s="27"/>
      <c r="H268" s="37"/>
    </row>
    <row r="269" customFormat="false" ht="18.75" hidden="false" customHeight="false" outlineLevel="0" collapsed="false">
      <c r="A269" s="112" t="s">
        <v>227</v>
      </c>
      <c r="B269" s="194" t="n">
        <f aca="false">B92</f>
        <v>0.1255</v>
      </c>
      <c r="C269" s="47"/>
      <c r="D269" s="156" t="s">
        <v>228</v>
      </c>
      <c r="E269" s="156"/>
      <c r="F269" s="135" t="n">
        <f aca="false">B263</f>
        <v>819.880619956341</v>
      </c>
      <c r="G269" s="27"/>
      <c r="H269" s="37"/>
    </row>
    <row r="270" customFormat="false" ht="18.75" hidden="false" customHeight="false" outlineLevel="0" collapsed="false">
      <c r="A270" s="35" t="s">
        <v>234</v>
      </c>
      <c r="B270" s="194" t="n">
        <f aca="false">B76</f>
        <v>0.0075</v>
      </c>
      <c r="C270" s="36"/>
      <c r="D270" s="156" t="s">
        <v>234</v>
      </c>
      <c r="E270" s="156"/>
      <c r="F270" s="142" t="n">
        <f aca="false">B77</f>
        <v>186.74997</v>
      </c>
      <c r="G270" s="27"/>
      <c r="H270" s="37"/>
    </row>
    <row r="271" customFormat="false" ht="18.75" hidden="false" customHeight="false" outlineLevel="0" collapsed="false">
      <c r="A271" s="35" t="s">
        <v>235</v>
      </c>
      <c r="B271" s="190" t="n">
        <f aca="false">A117</f>
        <v>0.2</v>
      </c>
      <c r="C271" s="36"/>
      <c r="D271" s="156" t="s">
        <v>235</v>
      </c>
      <c r="E271" s="156"/>
      <c r="F271" s="135" t="n">
        <f aca="false">E249*10</f>
        <v>0</v>
      </c>
      <c r="G271" s="27"/>
      <c r="H271" s="37"/>
    </row>
    <row r="272" customFormat="false" ht="18.75" hidden="false" customHeight="false" outlineLevel="0" collapsed="false">
      <c r="A272" s="35" t="s">
        <v>236</v>
      </c>
      <c r="B272" s="135" t="n">
        <f aca="false">A252</f>
        <v>20</v>
      </c>
      <c r="C272" s="36"/>
      <c r="D272" s="43" t="s">
        <v>231</v>
      </c>
      <c r="E272" s="43"/>
      <c r="F272" s="135" t="n">
        <f aca="false">(B263-F263)+B264</f>
        <v>653.13064995634</v>
      </c>
      <c r="G272" s="27"/>
      <c r="H272" s="37"/>
    </row>
    <row r="273" customFormat="false" ht="18.75" hidden="false" customHeight="false" outlineLevel="0" collapsed="false">
      <c r="A273" s="113"/>
      <c r="B273" s="42"/>
      <c r="C273" s="36"/>
      <c r="D273" s="36"/>
      <c r="E273" s="42"/>
      <c r="F273" s="27"/>
      <c r="G273" s="27"/>
      <c r="H273" s="37"/>
    </row>
    <row r="274" customFormat="false" ht="22.05" hidden="false" customHeight="false" outlineLevel="0" collapsed="false">
      <c r="A274" s="180" t="s">
        <v>237</v>
      </c>
      <c r="B274" s="180"/>
      <c r="C274" s="180"/>
      <c r="D274" s="180"/>
      <c r="E274" s="180"/>
      <c r="F274" s="180"/>
      <c r="G274" s="180"/>
      <c r="H274" s="180"/>
    </row>
    <row r="275" customFormat="false" ht="18.75" hidden="false" customHeight="false" outlineLevel="0" collapsed="false">
      <c r="A275" s="35" t="s">
        <v>238</v>
      </c>
      <c r="B275" s="142" t="n">
        <v>0</v>
      </c>
      <c r="C275" s="36"/>
      <c r="D275" s="195" t="s">
        <v>239</v>
      </c>
      <c r="E275" s="195"/>
      <c r="F275" s="142" t="n">
        <v>0</v>
      </c>
      <c r="G275" s="27"/>
      <c r="H275" s="37"/>
    </row>
    <row r="276" customFormat="false" ht="18.75" hidden="false" customHeight="false" outlineLevel="0" collapsed="false">
      <c r="A276" s="113"/>
      <c r="B276" s="135"/>
      <c r="C276" s="36"/>
      <c r="D276" s="156" t="s">
        <v>240</v>
      </c>
      <c r="E276" s="156"/>
      <c r="F276" s="135" t="n">
        <f aca="false">B275+F275*B218</f>
        <v>0</v>
      </c>
      <c r="G276" s="27"/>
      <c r="H276" s="37"/>
    </row>
    <row r="277" customFormat="false" ht="18.75" hidden="false" customHeight="false" outlineLevel="0" collapsed="false">
      <c r="A277" s="64" t="s">
        <v>241</v>
      </c>
      <c r="B277" s="196" t="s">
        <v>10</v>
      </c>
      <c r="C277" s="36"/>
      <c r="D277" s="156" t="s">
        <v>242</v>
      </c>
      <c r="E277" s="156"/>
      <c r="F277" s="196" t="n">
        <f aca="false">B79</f>
        <v>0</v>
      </c>
      <c r="G277" s="27"/>
      <c r="H277" s="37"/>
    </row>
    <row r="278" customFormat="false" ht="18.75" hidden="false" customHeight="false" outlineLevel="0" collapsed="false">
      <c r="A278" s="64"/>
      <c r="B278" s="146"/>
      <c r="C278" s="36"/>
      <c r="D278" s="156" t="s">
        <v>243</v>
      </c>
      <c r="E278" s="156"/>
      <c r="F278" s="135" t="n">
        <f aca="false">B100</f>
        <v>0</v>
      </c>
      <c r="G278" s="27"/>
      <c r="H278" s="37"/>
    </row>
    <row r="279" customFormat="false" ht="18.75" hidden="false" customHeight="false" outlineLevel="0" collapsed="false">
      <c r="A279" s="64" t="s">
        <v>244</v>
      </c>
      <c r="B279" s="142" t="n">
        <v>0</v>
      </c>
      <c r="C279" s="36"/>
      <c r="D279" s="36"/>
      <c r="E279" s="42"/>
      <c r="F279" s="27"/>
      <c r="G279" s="27"/>
      <c r="H279" s="37"/>
    </row>
    <row r="280" customFormat="false" ht="18.75" hidden="false" customHeight="false" outlineLevel="0" collapsed="false">
      <c r="A280" s="35" t="s">
        <v>245</v>
      </c>
      <c r="B280" s="142" t="n">
        <v>0</v>
      </c>
      <c r="C280" s="36"/>
      <c r="D280" s="36"/>
      <c r="E280" s="27"/>
      <c r="F280" s="27"/>
      <c r="G280" s="27"/>
      <c r="H280" s="37"/>
    </row>
    <row r="281" customFormat="false" ht="18.75" hidden="false" customHeight="false" outlineLevel="0" collapsed="false">
      <c r="A281" s="60"/>
      <c r="B281" s="61"/>
      <c r="C281" s="61"/>
      <c r="D281" s="61"/>
      <c r="E281" s="61"/>
      <c r="F281" s="61"/>
      <c r="G281" s="61"/>
      <c r="H281" s="69"/>
    </row>
  </sheetData>
  <mergeCells count="267">
    <mergeCell ref="A1:F1"/>
    <mergeCell ref="D7:E18"/>
    <mergeCell ref="A16:C18"/>
    <mergeCell ref="A19:D19"/>
    <mergeCell ref="A21:D21"/>
    <mergeCell ref="A24:H24"/>
    <mergeCell ref="A26:H26"/>
    <mergeCell ref="C31:D31"/>
    <mergeCell ref="F31:G31"/>
    <mergeCell ref="C34:D34"/>
    <mergeCell ref="F34:G34"/>
    <mergeCell ref="C37:D37"/>
    <mergeCell ref="J38:K38"/>
    <mergeCell ref="C40:D40"/>
    <mergeCell ref="F40:G40"/>
    <mergeCell ref="C43:D43"/>
    <mergeCell ref="F43:G43"/>
    <mergeCell ref="C46:D46"/>
    <mergeCell ref="F46:G46"/>
    <mergeCell ref="C53:E53"/>
    <mergeCell ref="A58:A59"/>
    <mergeCell ref="B58:D58"/>
    <mergeCell ref="B59:D59"/>
    <mergeCell ref="B60:D60"/>
    <mergeCell ref="A109:H109"/>
    <mergeCell ref="J109:Q109"/>
    <mergeCell ref="S109:Z109"/>
    <mergeCell ref="AB109:AI109"/>
    <mergeCell ref="A111:H111"/>
    <mergeCell ref="J111:Q111"/>
    <mergeCell ref="S111:Z111"/>
    <mergeCell ref="AB111:AI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B117:D117"/>
    <mergeCell ref="E117:G117"/>
    <mergeCell ref="K117:M117"/>
    <mergeCell ref="N117:P117"/>
    <mergeCell ref="T117:V117"/>
    <mergeCell ref="W117:Y117"/>
    <mergeCell ref="AC117:AE117"/>
    <mergeCell ref="AF117:AH117"/>
    <mergeCell ref="B120:D120"/>
    <mergeCell ref="E120:G120"/>
    <mergeCell ref="K120:M120"/>
    <mergeCell ref="N120:P120"/>
    <mergeCell ref="T120:V120"/>
    <mergeCell ref="W120:Y120"/>
    <mergeCell ref="AC120:AE120"/>
    <mergeCell ref="AF120:AH120"/>
    <mergeCell ref="B123:D123"/>
    <mergeCell ref="E123:G123"/>
    <mergeCell ref="K123:M123"/>
    <mergeCell ref="N123:P123"/>
    <mergeCell ref="T123:V123"/>
    <mergeCell ref="W123:Y123"/>
    <mergeCell ref="AC123:AE123"/>
    <mergeCell ref="AF123:AH123"/>
    <mergeCell ref="A126:H126"/>
    <mergeCell ref="J126:Q126"/>
    <mergeCell ref="S126:Z126"/>
    <mergeCell ref="AB126:AI126"/>
    <mergeCell ref="B128:C128"/>
    <mergeCell ref="D128:E128"/>
    <mergeCell ref="F128:G128"/>
    <mergeCell ref="K128:L128"/>
    <mergeCell ref="M128:N128"/>
    <mergeCell ref="O128:P128"/>
    <mergeCell ref="T128:U128"/>
    <mergeCell ref="V128:W128"/>
    <mergeCell ref="X128:Y128"/>
    <mergeCell ref="AC128:AD128"/>
    <mergeCell ref="AE128:AF128"/>
    <mergeCell ref="AG128:AH128"/>
    <mergeCell ref="B139:C139"/>
    <mergeCell ref="D139:E139"/>
    <mergeCell ref="F139:G139"/>
    <mergeCell ref="K139:L139"/>
    <mergeCell ref="M139:N139"/>
    <mergeCell ref="O139:P139"/>
    <mergeCell ref="T139:U139"/>
    <mergeCell ref="V139:W139"/>
    <mergeCell ref="X139:Y139"/>
    <mergeCell ref="AC139:AD139"/>
    <mergeCell ref="AE139:AF139"/>
    <mergeCell ref="AG139:AH139"/>
    <mergeCell ref="B140:C140"/>
    <mergeCell ref="D140:E140"/>
    <mergeCell ref="F140:G140"/>
    <mergeCell ref="K140:L140"/>
    <mergeCell ref="M140:N140"/>
    <mergeCell ref="O140:P140"/>
    <mergeCell ref="T140:U140"/>
    <mergeCell ref="V140:W140"/>
    <mergeCell ref="X140:Y140"/>
    <mergeCell ref="AC140:AD140"/>
    <mergeCell ref="AE140:AF140"/>
    <mergeCell ref="AG140:AH140"/>
    <mergeCell ref="B141:C141"/>
    <mergeCell ref="D141:E141"/>
    <mergeCell ref="F141:G141"/>
    <mergeCell ref="K141:L141"/>
    <mergeCell ref="M141:N141"/>
    <mergeCell ref="O141:P141"/>
    <mergeCell ref="T141:U141"/>
    <mergeCell ref="V141:W141"/>
    <mergeCell ref="X141:Y141"/>
    <mergeCell ref="AC141:AD141"/>
    <mergeCell ref="AE141:AF141"/>
    <mergeCell ref="AG141:AH141"/>
    <mergeCell ref="B142:C142"/>
    <mergeCell ref="D142:E142"/>
    <mergeCell ref="F142:G142"/>
    <mergeCell ref="K142:L142"/>
    <mergeCell ref="M142:N142"/>
    <mergeCell ref="O142:P142"/>
    <mergeCell ref="T142:U142"/>
    <mergeCell ref="V142:W142"/>
    <mergeCell ref="X142:Y142"/>
    <mergeCell ref="AC142:AD142"/>
    <mergeCell ref="AE142:AF142"/>
    <mergeCell ref="AG142:AH142"/>
    <mergeCell ref="A144:F144"/>
    <mergeCell ref="J144:O144"/>
    <mergeCell ref="S144:X144"/>
    <mergeCell ref="AB144:AG144"/>
    <mergeCell ref="A145:F145"/>
    <mergeCell ref="J145:O145"/>
    <mergeCell ref="S145:X145"/>
    <mergeCell ref="AB145:AG145"/>
    <mergeCell ref="A146:F146"/>
    <mergeCell ref="J146:O146"/>
    <mergeCell ref="S146:X146"/>
    <mergeCell ref="AB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49:F149"/>
    <mergeCell ref="J149:O149"/>
    <mergeCell ref="S149:X149"/>
    <mergeCell ref="AB149:AG149"/>
    <mergeCell ref="A150:F150"/>
    <mergeCell ref="J150:O150"/>
    <mergeCell ref="S150:X150"/>
    <mergeCell ref="AB150:AG150"/>
    <mergeCell ref="A151:F151"/>
    <mergeCell ref="J151:O151"/>
    <mergeCell ref="S151:X151"/>
    <mergeCell ref="AB151:AG151"/>
    <mergeCell ref="A152:F152"/>
    <mergeCell ref="J152:O152"/>
    <mergeCell ref="S152:X152"/>
    <mergeCell ref="AB152:AG152"/>
    <mergeCell ref="B153:F153"/>
    <mergeCell ref="K153:O153"/>
    <mergeCell ref="T153:X153"/>
    <mergeCell ref="AC153:AG153"/>
    <mergeCell ref="B154:F154"/>
    <mergeCell ref="K154:O154"/>
    <mergeCell ref="T154:X154"/>
    <mergeCell ref="AC154:AG154"/>
    <mergeCell ref="B155:F155"/>
    <mergeCell ref="K155:O155"/>
    <mergeCell ref="T155:X155"/>
    <mergeCell ref="AC155:AG155"/>
    <mergeCell ref="A156:F156"/>
    <mergeCell ref="J156:O156"/>
    <mergeCell ref="S156:X156"/>
    <mergeCell ref="AB156:AG156"/>
    <mergeCell ref="A157:F157"/>
    <mergeCell ref="J157:O157"/>
    <mergeCell ref="S157:X157"/>
    <mergeCell ref="AB157:AG157"/>
    <mergeCell ref="A159:H159"/>
    <mergeCell ref="J159:Q159"/>
    <mergeCell ref="S159:Z159"/>
    <mergeCell ref="AB159:AI159"/>
    <mergeCell ref="E161:F161"/>
    <mergeCell ref="G161:H161"/>
    <mergeCell ref="N161:O161"/>
    <mergeCell ref="P161:Q161"/>
    <mergeCell ref="W161:X161"/>
    <mergeCell ref="Y161:Z161"/>
    <mergeCell ref="AF161:AG161"/>
    <mergeCell ref="AH161:AI161"/>
    <mergeCell ref="E162:F162"/>
    <mergeCell ref="G162:H162"/>
    <mergeCell ref="N162:O162"/>
    <mergeCell ref="P162:Q162"/>
    <mergeCell ref="W162:X162"/>
    <mergeCell ref="Y162:Z162"/>
    <mergeCell ref="AF162:AG162"/>
    <mergeCell ref="AH162:AI162"/>
    <mergeCell ref="E163:F163"/>
    <mergeCell ref="G163:H163"/>
    <mergeCell ref="N163:O163"/>
    <mergeCell ref="P163:Q163"/>
    <mergeCell ref="W163:X163"/>
    <mergeCell ref="Y163:Z163"/>
    <mergeCell ref="AF163:AG163"/>
    <mergeCell ref="AH163:AI163"/>
    <mergeCell ref="E164:F164"/>
    <mergeCell ref="N164:O164"/>
    <mergeCell ref="W164:X164"/>
    <mergeCell ref="AF164:AG164"/>
    <mergeCell ref="G166:H166"/>
    <mergeCell ref="P166:Q166"/>
    <mergeCell ref="Y166:Z166"/>
    <mergeCell ref="AH166:AI166"/>
    <mergeCell ref="G167:H167"/>
    <mergeCell ref="P167:Q167"/>
    <mergeCell ref="Y167:Z167"/>
    <mergeCell ref="AH167:AI167"/>
    <mergeCell ref="G168:H168"/>
    <mergeCell ref="P168:Q168"/>
    <mergeCell ref="Y168:Z168"/>
    <mergeCell ref="AH168:AI168"/>
    <mergeCell ref="A171:H171"/>
    <mergeCell ref="J171:Q171"/>
    <mergeCell ref="S171:Z171"/>
    <mergeCell ref="AB171:AI171"/>
    <mergeCell ref="B173:C173"/>
    <mergeCell ref="K173:L173"/>
    <mergeCell ref="T173:U173"/>
    <mergeCell ref="AC173:AD173"/>
    <mergeCell ref="A204:A205"/>
    <mergeCell ref="B204:D204"/>
    <mergeCell ref="J204:J205"/>
    <mergeCell ref="K204:M204"/>
    <mergeCell ref="S204:S205"/>
    <mergeCell ref="T204:V204"/>
    <mergeCell ref="AB204:AB205"/>
    <mergeCell ref="AC204:AE204"/>
    <mergeCell ref="B205:D205"/>
    <mergeCell ref="K205:M205"/>
    <mergeCell ref="T205:V205"/>
    <mergeCell ref="AC205:AE205"/>
    <mergeCell ref="B206:D206"/>
    <mergeCell ref="K206:M206"/>
    <mergeCell ref="T206:V206"/>
    <mergeCell ref="AC206:AE206"/>
    <mergeCell ref="A215:H215"/>
    <mergeCell ref="A247:H247"/>
    <mergeCell ref="A260:H260"/>
    <mergeCell ref="D262:E262"/>
    <mergeCell ref="D263:E263"/>
    <mergeCell ref="D264:E264"/>
    <mergeCell ref="D268:E268"/>
    <mergeCell ref="D269:E269"/>
    <mergeCell ref="D270:E270"/>
    <mergeCell ref="D271:E271"/>
    <mergeCell ref="A274:H274"/>
    <mergeCell ref="D275:E275"/>
    <mergeCell ref="D276:E276"/>
    <mergeCell ref="D277:E277"/>
    <mergeCell ref="D278:E278"/>
  </mergeCells>
  <dataValidations count="5">
    <dataValidation allowBlank="true" errorStyle="stop" operator="between" showDropDown="false" showErrorMessage="true" showInputMessage="true" sqref="B114 K114 T114 AC114" type="list">
      <formula1>$Y$136:$Y$145</formula1>
      <formula2>0</formula2>
    </dataValidation>
    <dataValidation allowBlank="true" errorStyle="stop" operator="between" showDropDown="false" showErrorMessage="true" showInputMessage="true" sqref="E114 N114 W114 AF114 A120 J120 S120 AB120" type="list">
      <formula1>$Z$19:$Z$20</formula1>
      <formula2>0</formula2>
    </dataValidation>
    <dataValidation allowBlank="true" errorStyle="stop" operator="between" showDropDown="false" showErrorMessage="true" showInputMessage="true" sqref="B117:D117 K117:M117 T117:V117 AC117:AE117" type="list">
      <formula1>$AP$117:$AP$118</formula1>
      <formula2>0</formula2>
    </dataValidation>
    <dataValidation allowBlank="true" errorStyle="stop" operator="between" showDropDown="false" showErrorMessage="true" showInputMessage="true" sqref="A153:A155" type="list">
      <formula1>#ref!</formula1>
      <formula2>0</formula2>
    </dataValidation>
    <dataValidation allowBlank="true" errorStyle="stop" operator="between" showDropDown="false" showErrorMessage="true" showInputMessage="true" sqref="J153:J155 S153:S155 AB153:AB155" type="list">
      <formula1>$AB$16:$AB$18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42" colorId="64" zoomScale="100" zoomScaleNormal="100" zoomScalePageLayoutView="100" workbookViewId="0">
      <selection pane="topLeft" activeCell="F261" activeCellId="0" sqref="F261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21000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/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17708.33</v>
      </c>
      <c r="C9" s="14" t="n">
        <f aca="false">B9*0.2</f>
        <v>3500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37404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33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49" t="s">
        <v>390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259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0.095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n">
        <v>0</v>
      </c>
      <c r="J36" s="48" t="s">
        <v>64</v>
      </c>
      <c r="K36" s="56" t="n">
        <f aca="false">K32-K34</f>
        <v>20000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13750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500.363636363636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500.363636363636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500.363636363636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236" t="s">
        <v>10</v>
      </c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33</v>
      </c>
      <c r="B53" s="78" t="n">
        <f aca="false">H45</f>
        <v>500.363636363636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32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37404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0.095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18842.7778597998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0.015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0.015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373.79994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500.363636363636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20000</v>
      </c>
      <c r="C81" s="36"/>
      <c r="D81" s="36"/>
      <c r="E81" s="27"/>
      <c r="F81" s="29" t="s">
        <v>118</v>
      </c>
      <c r="G81" s="31" t="n">
        <f aca="false">B81</f>
        <v>20000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</f>
        <v>6000</v>
      </c>
      <c r="C82" s="36"/>
      <c r="D82" s="36"/>
      <c r="E82" s="27"/>
      <c r="F82" s="35" t="s">
        <v>119</v>
      </c>
      <c r="G82" s="37" t="n">
        <f aca="false">IF(A111="YES",D41,0)</f>
        <v>6000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0.145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0.0120833333333333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32</v>
      </c>
      <c r="C85" s="36"/>
      <c r="D85" s="36"/>
      <c r="E85" s="27"/>
      <c r="F85" s="35" t="s">
        <v>122</v>
      </c>
      <c r="G85" s="37" t="n">
        <f aca="false">IF(G82=0,(B59+B58),(B59))</f>
        <v>32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4036.58626654823</v>
      </c>
      <c r="C86" s="36" t="n">
        <f aca="false">(B82/((1+B84)^(B85+1)))</f>
        <v>4036.58626654823</v>
      </c>
      <c r="D86" s="36"/>
      <c r="E86" s="27"/>
      <c r="F86" s="35" t="s">
        <v>123</v>
      </c>
      <c r="G86" s="37" t="n">
        <f aca="false">(G82/((1+G84)^(G85+1)))</f>
        <v>4625.28577473023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26.4088043595077</v>
      </c>
      <c r="C87" s="36" t="n">
        <f aca="false">((1-(1/((1+B84)^B85)))/B84)</f>
        <v>26.4088043595077</v>
      </c>
      <c r="D87" s="36"/>
      <c r="E87" s="27"/>
      <c r="F87" s="35" t="s">
        <v>124</v>
      </c>
      <c r="G87" s="37" t="n">
        <f aca="false">((1-(1/((1+G84)^G85)))/G84)</f>
        <v>28.1704711484875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15963.4137334518</v>
      </c>
      <c r="C88" s="36" t="n">
        <f aca="false">B81-B86</f>
        <v>15963.4137334518</v>
      </c>
      <c r="D88" s="36"/>
      <c r="E88" s="27"/>
      <c r="F88" s="35" t="s">
        <v>125</v>
      </c>
      <c r="G88" s="37" t="n">
        <f aca="false">G81-G86</f>
        <v>15374.7142252698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604.473171755109</v>
      </c>
      <c r="C89" s="36" t="n">
        <f aca="false">(B88/B87)</f>
        <v>604.473171755109</v>
      </c>
      <c r="D89" s="36"/>
      <c r="E89" s="27"/>
      <c r="F89" s="35" t="s">
        <v>126</v>
      </c>
      <c r="G89" s="37" t="n">
        <f aca="false">(G88/G87)</f>
        <v>545.774124409533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19343.1414961635</v>
      </c>
      <c r="C90" s="36"/>
      <c r="D90" s="36"/>
      <c r="E90" s="27"/>
      <c r="F90" s="35" t="s">
        <v>127</v>
      </c>
      <c r="G90" s="37" t="n">
        <f aca="false">((G89*(G85))+G77)</f>
        <v>17464.7719811051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19343.1414961635</v>
      </c>
      <c r="C92" s="36"/>
      <c r="D92" s="36"/>
      <c r="E92" s="27"/>
      <c r="F92" s="60" t="s">
        <v>129</v>
      </c>
      <c r="G92" s="69" t="n">
        <f aca="false">(G90+G91)</f>
        <v>17464.7719811051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IF(B38="YES",((H36/B85)*(1+A108)*1.2),"0")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604.473171755109</v>
      </c>
      <c r="C95" s="36"/>
      <c r="D95" s="36"/>
      <c r="E95" s="27"/>
      <c r="F95" s="97" t="s">
        <v>131</v>
      </c>
      <c r="G95" s="98" t="n">
        <f aca="false">G92/(G85)</f>
        <v>545.774124409533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604.473171755109</v>
      </c>
      <c r="C96" s="36"/>
      <c r="D96" s="36"/>
      <c r="E96" s="27"/>
      <c r="F96" s="99" t="s">
        <v>132</v>
      </c>
      <c r="G96" s="100" t="n">
        <f aca="false">G94+G95</f>
        <v>545.774124409533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135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32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12</v>
      </c>
      <c r="C108" s="109"/>
      <c r="D108" s="109" t="n">
        <v>0</v>
      </c>
      <c r="E108" s="110" t="n">
        <f aca="false">B83</f>
        <v>0.145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E19</f>
        <v>21000</v>
      </c>
      <c r="C121" s="44" t="n">
        <v>19791.67</v>
      </c>
      <c r="D121" s="29" t="n">
        <f aca="false">D3</f>
        <v>0</v>
      </c>
      <c r="E121" s="44" t="n">
        <f aca="false">D121</f>
        <v>0</v>
      </c>
      <c r="F121" s="29" t="n"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f aca="false">B122</f>
        <v>0</v>
      </c>
      <c r="D122" s="122" t="n">
        <v>0</v>
      </c>
      <c r="E122" s="123" t="n">
        <f aca="false">D122</f>
        <v>0</v>
      </c>
      <c r="F122" s="122" t="n"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f aca="false">B123</f>
        <v>0</v>
      </c>
      <c r="D123" s="35" t="n">
        <v>0</v>
      </c>
      <c r="E123" s="44" t="n">
        <f aca="false">D123</f>
        <v>0</v>
      </c>
      <c r="F123" s="35" t="n"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21000</v>
      </c>
      <c r="C125" s="69" t="n">
        <f aca="false">C121-C124</f>
        <v>19583.33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E21</f>
        <v>17500</v>
      </c>
      <c r="H135" s="144" t="n">
        <f aca="false">C125+E125+G125+H128</f>
        <v>19583.33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3500</v>
      </c>
      <c r="H137" s="37" t="n">
        <f aca="false">(H135+H136)*20%</f>
        <v>3916.666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21000</v>
      </c>
      <c r="H141" s="147" t="n">
        <f aca="false">(H135+H136+H139+H140+H137)-H138</f>
        <v>23499.996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44" t="n">
        <f aca="false">F142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37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44" t="n"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44" t="n"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44" t="n"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54" t="n">
        <f aca="false">G141-((G144*1.2)+(G145*1.2)+(G146*1.2)+(G142*1.2))</f>
        <v>21000</v>
      </c>
      <c r="H147" s="154" t="n">
        <f aca="false">H141-((H144*1.2)+(H145*1.2)+(H146*1.2)+(H142*1.2))</f>
        <v>23499.996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-14930.5583333333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24919.996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165" t="n">
        <f aca="false">B95</f>
        <v>604.473171755109</v>
      </c>
      <c r="B167" s="166" t="str">
        <f aca="false">B94</f>
        <v>0</v>
      </c>
      <c r="C167" s="164"/>
      <c r="D167" s="164"/>
      <c r="E167" s="166" t="n">
        <f aca="false">B96</f>
        <v>604.473171755109</v>
      </c>
      <c r="F167" s="27"/>
      <c r="G167" s="27" t="n">
        <f aca="false">ROUND(G95,2)</f>
        <v>545.77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n">
        <f aca="false">B29</f>
        <v>12345</v>
      </c>
      <c r="B170" s="168" t="n">
        <f aca="false">B30</f>
        <v>0</v>
      </c>
      <c r="C170" s="169"/>
      <c r="D170" s="27"/>
      <c r="E170" s="170" t="n">
        <v>6000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19583.33</v>
      </c>
      <c r="B173" s="42" t="n">
        <f aca="false">H137</f>
        <v>3916.666</v>
      </c>
      <c r="C173" s="47"/>
      <c r="D173" s="27"/>
      <c r="E173" s="170" t="n">
        <f aca="false">H139+H140</f>
        <v>0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H141</f>
        <v>23499.996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24919.996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423.145496163474</v>
      </c>
      <c r="B182" s="42" t="n">
        <f aca="false">B114</f>
        <v>239.99</v>
      </c>
      <c r="C182" s="42"/>
      <c r="D182" s="27"/>
      <c r="E182" s="42" t="n">
        <f aca="false">E179+A182+B182+A185</f>
        <v>25608.1314961635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A179+B182</f>
        <v>239.99</v>
      </c>
      <c r="C185" s="42"/>
      <c r="D185" s="27"/>
      <c r="E185" s="42" t="n">
        <f aca="false">IF( E170=0, A185+E167, E170+A185)</f>
        <v>6025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J18*0.000002*100*1.2</f>
        <v>8.97696</v>
      </c>
      <c r="B188" s="42" t="n">
        <f aca="false">(G158*B67)</f>
        <v>373.79994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393.79994</v>
      </c>
      <c r="C191" s="36"/>
      <c r="D191" s="36"/>
      <c r="E191" s="42" t="n">
        <f aca="false">H148</f>
        <v>2083.33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33</v>
      </c>
      <c r="B197" s="78" t="n">
        <f aca="false">B96</f>
        <v>604.473171755109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-1455.356</v>
      </c>
      <c r="B201" s="47" t="n">
        <f aca="false">E179+A201+B182+A185</f>
        <v>23729.63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str">
        <f aca="false">A197</f>
        <v>33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604.473171755109</v>
      </c>
      <c r="B212" s="166" t="str">
        <f aca="false">B167</f>
        <v>0</v>
      </c>
      <c r="C212" s="164"/>
      <c r="D212" s="164"/>
      <c r="E212" s="166" t="n">
        <f aca="false">E167</f>
        <v>604.473171755109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19583.33</v>
      </c>
      <c r="B215" s="42" t="n">
        <f aca="false">B173</f>
        <v>3916.666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23499.996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24919.996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423.145496163474</v>
      </c>
      <c r="B224" s="42" t="n">
        <f aca="false">B182</f>
        <v>239.99</v>
      </c>
      <c r="C224" s="42"/>
      <c r="D224" s="27"/>
      <c r="E224" s="42" t="n">
        <f aca="false">E182</f>
        <v>25608.1314961635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239.99</v>
      </c>
      <c r="C227" s="42"/>
      <c r="D227" s="27"/>
      <c r="E227" s="42" t="n">
        <f aca="false">B59</f>
        <v>32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604.473171755109</v>
      </c>
      <c r="B230" s="42" t="str">
        <f aca="false">B167</f>
        <v>0</v>
      </c>
      <c r="C230" s="47"/>
      <c r="D230" s="47"/>
      <c r="E230" s="42" t="n">
        <f aca="false">E167</f>
        <v>604.473171755109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6000</v>
      </c>
      <c r="B233" s="42" t="n">
        <f aca="false">E185</f>
        <v>6025</v>
      </c>
      <c r="C233" s="36"/>
      <c r="D233" s="36"/>
      <c r="E233" s="42" t="n">
        <f aca="false">J18*0.000006*100*1.2</f>
        <v>26.93088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A188</f>
        <v>8.97696</v>
      </c>
      <c r="B236" s="42" t="n">
        <f aca="false">E233+A236</f>
        <v>35.90784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B188</f>
        <v>373.79994</v>
      </c>
      <c r="C240" s="36"/>
      <c r="D240" s="36"/>
      <c r="E240" s="42" t="n">
        <f aca="false">IF(E105="YES",(H36*A108)*0.1,0)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1057.12994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0.095</v>
      </c>
      <c r="C253" s="182"/>
      <c r="D253" s="183" t="s">
        <v>227</v>
      </c>
      <c r="E253" s="183"/>
      <c r="F253" s="181" t="n">
        <f aca="false">B83</f>
        <v>0.145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1903.50149616348</v>
      </c>
      <c r="C254" s="182"/>
      <c r="D254" s="183" t="s">
        <v>229</v>
      </c>
      <c r="E254" s="183"/>
      <c r="F254" s="185" t="n">
        <f aca="false">F261+F267+F269+B270+B271</f>
        <v>373.79994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1549.70155616348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0.145</v>
      </c>
      <c r="C260" s="47"/>
      <c r="D260" s="156" t="s">
        <v>228</v>
      </c>
      <c r="E260" s="156"/>
      <c r="F260" s="135" t="n">
        <f aca="false">B254</f>
        <v>1903.50149616348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0.015</v>
      </c>
      <c r="C261" s="36"/>
      <c r="D261" s="156" t="s">
        <v>234</v>
      </c>
      <c r="E261" s="156"/>
      <c r="F261" s="142" t="n">
        <f aca="false">B68</f>
        <v>373.79994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1549.70155616348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71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B105 C108:D108 A144:A146" type="list">
      <formula1>#ref!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46" colorId="64" zoomScale="100" zoomScaleNormal="100" zoomScalePageLayoutView="100" workbookViewId="0">
      <selection pane="topLeft" activeCell="F261" activeCellId="0" sqref="F261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21000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/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17708.33</v>
      </c>
      <c r="C9" s="14" t="n">
        <f aca="false">B9*0.2</f>
        <v>3500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37404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12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49" t="s">
        <v>390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55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0.065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s">
        <v>92</v>
      </c>
      <c r="J36" s="48" t="s">
        <v>64</v>
      </c>
      <c r="K36" s="56" t="n">
        <f aca="false">K32-K34</f>
        <v>20000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n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199"/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12</v>
      </c>
      <c r="B53" s="78" t="n">
        <f aca="false">H45</f>
        <v>501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11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37404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0.0105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0.065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15141.9006199563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0.0075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186.89997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501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20000</v>
      </c>
      <c r="C81" s="36"/>
      <c r="D81" s="36"/>
      <c r="E81" s="27"/>
      <c r="F81" s="29" t="s">
        <v>118</v>
      </c>
      <c r="G81" s="31" t="n">
        <f aca="false">B81</f>
        <v>20000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</f>
        <v>6000</v>
      </c>
      <c r="C82" s="36"/>
      <c r="D82" s="36"/>
      <c r="E82" s="27"/>
      <c r="F82" s="35" t="s">
        <v>119</v>
      </c>
      <c r="G82" s="37" t="n">
        <f aca="false">IF(A111="YES",D41,0)</f>
        <v>6000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0.1255</v>
      </c>
      <c r="C83" s="36"/>
      <c r="D83" s="36"/>
      <c r="E83" s="27"/>
      <c r="F83" s="35" t="s">
        <v>120</v>
      </c>
      <c r="G83" s="95" t="n">
        <f aca="false">B63</f>
        <v>0.065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0.0104583333333333</v>
      </c>
      <c r="C84" s="36"/>
      <c r="D84" s="36"/>
      <c r="E84" s="27"/>
      <c r="F84" s="35" t="s">
        <v>121</v>
      </c>
      <c r="G84" s="88" t="n">
        <f aca="false">G83/12</f>
        <v>0.00541666666666667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11</v>
      </c>
      <c r="C85" s="36"/>
      <c r="D85" s="36"/>
      <c r="E85" s="27"/>
      <c r="F85" s="35" t="s">
        <v>122</v>
      </c>
      <c r="G85" s="37" t="n">
        <f aca="false">IF(G82=0,(B59+B58),(B59))</f>
        <v>11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5295.78483323301</v>
      </c>
      <c r="C86" s="36" t="n">
        <f aca="false">(B82/((1+B84)^(B85+1)))</f>
        <v>5295.78483323301</v>
      </c>
      <c r="D86" s="36"/>
      <c r="E86" s="27"/>
      <c r="F86" s="35" t="s">
        <v>123</v>
      </c>
      <c r="G86" s="37" t="n">
        <f aca="false">(G82/((1+G84)^(G85+1)))</f>
        <v>5623.39108453416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10.3399216528992</v>
      </c>
      <c r="C87" s="36" t="n">
        <f aca="false">((1-(1/((1+B84)^B85)))/B84)</f>
        <v>10.3399216528992</v>
      </c>
      <c r="D87" s="36"/>
      <c r="E87" s="27"/>
      <c r="F87" s="35" t="s">
        <v>124</v>
      </c>
      <c r="G87" s="37" t="n">
        <f aca="false">((1-(1/((1+G84)^G85)))/G84)</f>
        <v>10.6507347822959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14704.215166767</v>
      </c>
      <c r="C88" s="36" t="n">
        <f aca="false">B81-B86</f>
        <v>14704.215166767</v>
      </c>
      <c r="D88" s="36"/>
      <c r="E88" s="27"/>
      <c r="F88" s="35" t="s">
        <v>125</v>
      </c>
      <c r="G88" s="37" t="n">
        <f aca="false">G81-G86</f>
        <v>14376.6089154658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1422.08187454149</v>
      </c>
      <c r="C89" s="36" t="n">
        <f aca="false">(B88/B87)</f>
        <v>1422.08187454149</v>
      </c>
      <c r="D89" s="36"/>
      <c r="E89" s="27"/>
      <c r="F89" s="35" t="s">
        <v>126</v>
      </c>
      <c r="G89" s="37" t="n">
        <f aca="false">(G88/G87)</f>
        <v>1349.82320087092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15642.9006199563</v>
      </c>
      <c r="C90" s="36"/>
      <c r="D90" s="36"/>
      <c r="E90" s="27"/>
      <c r="F90" s="35" t="s">
        <v>127</v>
      </c>
      <c r="G90" s="37" t="n">
        <f aca="false">((G89*(G85))+G77)</f>
        <v>14848.0552095801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15642.9006199563</v>
      </c>
      <c r="C92" s="36"/>
      <c r="D92" s="36"/>
      <c r="E92" s="27"/>
      <c r="F92" s="60" t="s">
        <v>129</v>
      </c>
      <c r="G92" s="69" t="n">
        <f aca="false">(G90+G91)</f>
        <v>14848.0552095801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n">
        <f aca="false">IF(B38="YES",((H36/B85)*(1+A108)),"0")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1422.08187454149</v>
      </c>
      <c r="C95" s="36"/>
      <c r="D95" s="36"/>
      <c r="E95" s="27"/>
      <c r="F95" s="97" t="s">
        <v>131</v>
      </c>
      <c r="G95" s="98" t="n">
        <f aca="false">G92/(G85)</f>
        <v>1349.82320087092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1422.08187454149</v>
      </c>
      <c r="C96" s="36"/>
      <c r="D96" s="36"/>
      <c r="E96" s="27"/>
      <c r="F96" s="99" t="s">
        <v>132</v>
      </c>
      <c r="G96" s="100" t="n">
        <f aca="false">G94+G95</f>
        <v>1349.82320087092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135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31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12</v>
      </c>
      <c r="C108" s="109"/>
      <c r="D108" s="109" t="n">
        <v>0</v>
      </c>
      <c r="E108" s="110" t="n">
        <f aca="false">B83</f>
        <v>0.1255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199.991666666667</v>
      </c>
      <c r="C114" s="109"/>
      <c r="D114" s="109"/>
      <c r="E114" s="109" t="s">
        <v>31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E19</f>
        <v>21000</v>
      </c>
      <c r="C121" s="44" t="n">
        <v>19791.67</v>
      </c>
      <c r="D121" s="29" t="n">
        <f aca="false">D3</f>
        <v>0</v>
      </c>
      <c r="E121" s="44" t="n">
        <f aca="false">D121</f>
        <v>0</v>
      </c>
      <c r="F121" s="29" t="n"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f aca="false">B122</f>
        <v>0</v>
      </c>
      <c r="D122" s="122" t="n">
        <v>0</v>
      </c>
      <c r="E122" s="123" t="n">
        <f aca="false">D122</f>
        <v>0</v>
      </c>
      <c r="F122" s="122" t="n"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f aca="false">B123</f>
        <v>0</v>
      </c>
      <c r="D123" s="35" t="n">
        <v>0</v>
      </c>
      <c r="E123" s="44" t="n">
        <f aca="false">D123</f>
        <v>0</v>
      </c>
      <c r="F123" s="35" t="n"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21000</v>
      </c>
      <c r="C125" s="69" t="n">
        <f aca="false">C121-C124</f>
        <v>19583.33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E21</f>
        <v>17500</v>
      </c>
      <c r="H135" s="144" t="n">
        <f aca="false">C125+E125+G125+H128</f>
        <v>19583.33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3500</v>
      </c>
      <c r="H137" s="37" t="n">
        <f aca="false">(H135+H136)*20%</f>
        <v>3916.666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21000</v>
      </c>
      <c r="H141" s="147" t="n">
        <f aca="false">(H135+H136+H139+H140+H137)-H138</f>
        <v>23499.996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44" t="n">
        <f aca="false">F142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37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44" t="n"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44" t="n"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44" t="n"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54" t="n">
        <f aca="false">G141-((G144*1.2)+(G145*1.2)+(G146*1.2)+(G142*1.2))</f>
        <v>21000</v>
      </c>
      <c r="H147" s="154" t="n">
        <f aca="false">H141-((H144*1.2)+(H145*1.2)+(H146*1.2)+(H142*1.2))</f>
        <v>23499.996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-14930.5583333333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24919.996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 t="n">
        <v>0</v>
      </c>
      <c r="F161" s="27"/>
      <c r="G161" s="27" t="n">
        <v>0</v>
      </c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 t="n">
        <v>0</v>
      </c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165" t="n">
        <f aca="false">B95</f>
        <v>1422.08187454149</v>
      </c>
      <c r="B167" s="166" t="n">
        <f aca="false">B94</f>
        <v>0</v>
      </c>
      <c r="C167" s="164"/>
      <c r="D167" s="164"/>
      <c r="E167" s="166" t="n">
        <f aca="false">B96</f>
        <v>1422.08187454149</v>
      </c>
      <c r="F167" s="27"/>
      <c r="G167" s="27" t="n">
        <f aca="false">ROUND(G95,2)</f>
        <v>1349.82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str">
        <f aca="false">H29</f>
        <v>12</v>
      </c>
      <c r="B170" s="168" t="str">
        <f aca="false">H30</f>
        <v>5000</v>
      </c>
      <c r="C170" s="169"/>
      <c r="D170" s="27"/>
      <c r="E170" s="170" t="n">
        <v>6000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19583.33</v>
      </c>
      <c r="B173" s="42" t="n">
        <f aca="false">H137</f>
        <v>3916.666</v>
      </c>
      <c r="C173" s="47"/>
      <c r="D173" s="27"/>
      <c r="E173" s="170" t="n">
        <f aca="false">H139+H140</f>
        <v>0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H141</f>
        <v>23499.996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24919.996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-3277.09538004367</v>
      </c>
      <c r="B182" s="42" t="n">
        <f aca="false">B114</f>
        <v>199.991666666667</v>
      </c>
      <c r="C182" s="42"/>
      <c r="D182" s="27"/>
      <c r="E182" s="42" t="n">
        <f aca="false">E179+A182+(B182*1.2)+A185</f>
        <v>21907.8906199563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A179+B182*1.2</f>
        <v>239.99</v>
      </c>
      <c r="C185" s="42"/>
      <c r="D185" s="27"/>
      <c r="E185" s="42" t="n">
        <f aca="false">IF( E170=0, A185+E167, E170+A185)</f>
        <v>6025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</f>
        <v>7.4808</v>
      </c>
      <c r="B188" s="42" t="n">
        <f aca="false">(G158*B67)</f>
        <v>186.89997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206.89997</v>
      </c>
      <c r="C191" s="36"/>
      <c r="D191" s="36"/>
      <c r="E191" s="42" t="n">
        <f aca="false">H148</f>
        <v>2083.33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12</v>
      </c>
      <c r="B197" s="78" t="n">
        <f aca="false">B96</f>
        <v>1422.08187454149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-4071.97600000001</v>
      </c>
      <c r="B201" s="47" t="n">
        <f aca="false">E179+A201+(B182*1.2)+A185</f>
        <v>21113.01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str">
        <f aca="false">A197</f>
        <v>12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1422.08187454149</v>
      </c>
      <c r="B212" s="166" t="n">
        <f aca="false">B167</f>
        <v>0</v>
      </c>
      <c r="C212" s="164"/>
      <c r="D212" s="164"/>
      <c r="E212" s="166" t="n">
        <f aca="false">E167</f>
        <v>1422.08187454149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19583.33</v>
      </c>
      <c r="B215" s="42" t="n">
        <f aca="false">B173</f>
        <v>3916.666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23499.996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24919.996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-3277.09538004367</v>
      </c>
      <c r="B224" s="42" t="n">
        <f aca="false">B182</f>
        <v>199.991666666667</v>
      </c>
      <c r="C224" s="42"/>
      <c r="D224" s="27"/>
      <c r="E224" s="42" t="n">
        <f aca="false">E182</f>
        <v>21907.8906199563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239.99</v>
      </c>
      <c r="C227" s="42"/>
      <c r="D227" s="27"/>
      <c r="E227" s="42" t="n">
        <f aca="false">B59</f>
        <v>11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1422.08187454149</v>
      </c>
      <c r="B230" s="42" t="n">
        <f aca="false">B167</f>
        <v>0</v>
      </c>
      <c r="C230" s="47"/>
      <c r="D230" s="47"/>
      <c r="E230" s="42" t="n">
        <f aca="false">E167</f>
        <v>1422.08187454149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6000</v>
      </c>
      <c r="B233" s="42" t="n">
        <f aca="false">E185</f>
        <v>6025</v>
      </c>
      <c r="C233" s="36"/>
      <c r="D233" s="36"/>
      <c r="E233" s="42" t="n">
        <f aca="false">J18*0.000006*100</f>
        <v>22.4424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A188</f>
        <v>7.4808</v>
      </c>
      <c r="B236" s="42" t="n">
        <f aca="false">E233+A236</f>
        <v>29.9232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B188</f>
        <v>186.89997</v>
      </c>
      <c r="C240" s="36"/>
      <c r="D240" s="36"/>
      <c r="E240" s="42" t="n">
        <f aca="false">IF(E105="YES",(H36*A108)*0.1,0)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870.229970000002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0.065</v>
      </c>
      <c r="C253" s="182"/>
      <c r="D253" s="183" t="s">
        <v>227</v>
      </c>
      <c r="E253" s="183"/>
      <c r="F253" s="181" t="n">
        <f aca="false">B83</f>
        <v>0.1255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5" t="n">
        <f aca="false">(E182-B182)-(B201-B182-A185)</f>
        <v>819.880619956341</v>
      </c>
      <c r="C254" s="182"/>
      <c r="D254" s="183" t="s">
        <v>229</v>
      </c>
      <c r="E254" s="183"/>
      <c r="F254" s="185" t="n">
        <f aca="false">F261+F267+F269+B270+B271</f>
        <v>186.89997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652.980649956341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0.065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0.1255</v>
      </c>
      <c r="C260" s="47"/>
      <c r="D260" s="156" t="s">
        <v>228</v>
      </c>
      <c r="E260" s="156"/>
      <c r="F260" s="135" t="n">
        <f aca="false">B254</f>
        <v>819.880619956341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0.0075</v>
      </c>
      <c r="C261" s="36"/>
      <c r="D261" s="156" t="s">
        <v>234</v>
      </c>
      <c r="E261" s="156"/>
      <c r="F261" s="142" t="n">
        <f aca="false">B68</f>
        <v>186.89997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652.980649956341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71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B105 C108:D108 A144:A146" type="list">
      <formula1>#ref!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40" colorId="64" zoomScale="100" zoomScaleNormal="100" zoomScalePageLayoutView="100" workbookViewId="0">
      <selection pane="topLeft" activeCell="F261" activeCellId="0" sqref="F261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21000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/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17708.33</v>
      </c>
      <c r="C9" s="14" t="n">
        <f aca="false">B9*0.2</f>
        <v>3500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37404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12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49" t="s">
        <v>390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55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0.095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n">
        <v>0</v>
      </c>
      <c r="J36" s="48" t="s">
        <v>64</v>
      </c>
      <c r="K36" s="56" t="n">
        <f aca="false">K32-K34</f>
        <v>20000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199"/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12</v>
      </c>
      <c r="B53" s="78" t="n">
        <f aca="false">H45</f>
        <v>501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11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37404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0.0105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0.095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15538.0099790817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0.005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0.005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124.59998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501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20000</v>
      </c>
      <c r="C81" s="36"/>
      <c r="D81" s="36"/>
      <c r="E81" s="27"/>
      <c r="F81" s="29" t="s">
        <v>118</v>
      </c>
      <c r="G81" s="31" t="n">
        <f aca="false">B81</f>
        <v>20000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</f>
        <v>6000</v>
      </c>
      <c r="C82" s="36"/>
      <c r="D82" s="36"/>
      <c r="E82" s="27"/>
      <c r="F82" s="35" t="s">
        <v>119</v>
      </c>
      <c r="G82" s="37" t="n">
        <f aca="false">IF(A111="YES",D41,0)</f>
        <v>6000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0.1555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0.0129583333333333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11</v>
      </c>
      <c r="C85" s="36"/>
      <c r="D85" s="36"/>
      <c r="E85" s="27"/>
      <c r="F85" s="35" t="s">
        <v>122</v>
      </c>
      <c r="G85" s="37" t="n">
        <f aca="false">IF(G82=0,(B59+B58),(B59))</f>
        <v>11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5141.05524817176</v>
      </c>
      <c r="C86" s="36" t="n">
        <f aca="false">(B82/((1+B84)^(B85+1)))</f>
        <v>5141.05524817176</v>
      </c>
      <c r="D86" s="36"/>
      <c r="E86" s="27"/>
      <c r="F86" s="35" t="s">
        <v>123</v>
      </c>
      <c r="G86" s="37" t="n">
        <f aca="false">(G82/((1+G84)^(G85+1)))</f>
        <v>5458.27899637016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10.1906783824739</v>
      </c>
      <c r="C87" s="36" t="n">
        <f aca="false">((1-(1/((1+B84)^B85)))/B84)</f>
        <v>10.1906783824739</v>
      </c>
      <c r="D87" s="36"/>
      <c r="E87" s="27"/>
      <c r="F87" s="35" t="s">
        <v>124</v>
      </c>
      <c r="G87" s="37" t="n">
        <f aca="false">((1-(1/((1+G84)^G85)))/G84)</f>
        <v>10.494939541935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14858.9447518282</v>
      </c>
      <c r="C88" s="36" t="n">
        <f aca="false">B81-B86</f>
        <v>14858.9447518282</v>
      </c>
      <c r="D88" s="36"/>
      <c r="E88" s="27"/>
      <c r="F88" s="35" t="s">
        <v>125</v>
      </c>
      <c r="G88" s="37" t="n">
        <f aca="false">G81-G86</f>
        <v>14541.7210036298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1458.09181628015</v>
      </c>
      <c r="C89" s="36" t="n">
        <f aca="false">(B88/B87)</f>
        <v>1458.09181628015</v>
      </c>
      <c r="D89" s="36"/>
      <c r="E89" s="27"/>
      <c r="F89" s="35" t="s">
        <v>126</v>
      </c>
      <c r="G89" s="37" t="n">
        <f aca="false">(G88/G87)</f>
        <v>1385.59359446759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16039.0099790817</v>
      </c>
      <c r="C90" s="36"/>
      <c r="D90" s="36"/>
      <c r="E90" s="27"/>
      <c r="F90" s="35" t="s">
        <v>127</v>
      </c>
      <c r="G90" s="37" t="n">
        <f aca="false">((G89*(G85))+G77)</f>
        <v>15241.5295391435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16039.0099790817</v>
      </c>
      <c r="C92" s="36"/>
      <c r="D92" s="36"/>
      <c r="E92" s="27"/>
      <c r="F92" s="60" t="s">
        <v>129</v>
      </c>
      <c r="G92" s="69" t="n">
        <f aca="false">(G90+G91)</f>
        <v>15241.5295391435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IF(B38="YES",((H36/B85)*(1+A108)*1.2),"0")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1458.09181628015</v>
      </c>
      <c r="C95" s="36"/>
      <c r="D95" s="36"/>
      <c r="E95" s="27"/>
      <c r="F95" s="97" t="s">
        <v>131</v>
      </c>
      <c r="G95" s="98" t="n">
        <f aca="false">G92/(G85)</f>
        <v>1385.59359446759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1458.09181628015</v>
      </c>
      <c r="C96" s="36"/>
      <c r="D96" s="36"/>
      <c r="E96" s="27"/>
      <c r="F96" s="99" t="s">
        <v>132</v>
      </c>
      <c r="G96" s="100" t="n">
        <f aca="false">G94+G95</f>
        <v>1385.59359446759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281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32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9</v>
      </c>
      <c r="C108" s="109"/>
      <c r="D108" s="109" t="n">
        <v>0</v>
      </c>
      <c r="E108" s="110" t="n">
        <f aca="false">B83</f>
        <v>0.1555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E19</f>
        <v>21000</v>
      </c>
      <c r="C121" s="44" t="n">
        <v>19791.67</v>
      </c>
      <c r="D121" s="29" t="n">
        <f aca="false">D3</f>
        <v>0</v>
      </c>
      <c r="E121" s="44" t="n">
        <f aca="false">D121</f>
        <v>0</v>
      </c>
      <c r="F121" s="29" t="n"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f aca="false">B122</f>
        <v>0</v>
      </c>
      <c r="D122" s="122" t="n">
        <v>0</v>
      </c>
      <c r="E122" s="123" t="n">
        <f aca="false">D122</f>
        <v>0</v>
      </c>
      <c r="F122" s="122" t="n"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f aca="false">B123</f>
        <v>0</v>
      </c>
      <c r="D123" s="35" t="n">
        <v>0</v>
      </c>
      <c r="E123" s="44" t="n">
        <f aca="false">D123</f>
        <v>0</v>
      </c>
      <c r="F123" s="35" t="n"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21000</v>
      </c>
      <c r="C125" s="69" t="n">
        <f aca="false">C121-C124</f>
        <v>19583.33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E21</f>
        <v>17500</v>
      </c>
      <c r="H135" s="144" t="n">
        <f aca="false">C125+E125+G125+H128</f>
        <v>19583.33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3500</v>
      </c>
      <c r="H137" s="37" t="n">
        <f aca="false">(H135+H136)*20%</f>
        <v>3916.666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21000</v>
      </c>
      <c r="H141" s="147" t="n">
        <f aca="false">(H135+H136+H139+H140+H137)-H138</f>
        <v>23499.996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44" t="n">
        <f aca="false">F142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37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44" t="n"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44" t="n"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44" t="n"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54" t="n">
        <f aca="false">G141-((G144*1.2)+(G145*1.2)+(G146*1.2)+(G142*1.2))</f>
        <v>21000</v>
      </c>
      <c r="H147" s="154" t="n">
        <f aca="false">H141-((H144*1.2)+(H145*1.2)+(H146*1.2)+(H142*1.2))</f>
        <v>23499.996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-14930.5583333333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24919.996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241" t="n">
        <f aca="false">B95</f>
        <v>1458.09181628015</v>
      </c>
      <c r="B167" s="166" t="str">
        <f aca="false">B94</f>
        <v>0</v>
      </c>
      <c r="C167" s="164"/>
      <c r="D167" s="164"/>
      <c r="E167" s="166" t="n">
        <f aca="false">B96</f>
        <v>1458.09181628015</v>
      </c>
      <c r="F167" s="27"/>
      <c r="G167" s="27" t="n">
        <f aca="false">ROUND(G95,2)</f>
        <v>1385.59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str">
        <f aca="false">H29</f>
        <v>12</v>
      </c>
      <c r="B170" s="214" t="str">
        <f aca="false">H30</f>
        <v>5000</v>
      </c>
      <c r="C170" s="169"/>
      <c r="D170" s="27"/>
      <c r="E170" s="170" t="n">
        <v>6000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19583.33</v>
      </c>
      <c r="B173" s="42" t="n">
        <f aca="false">H137</f>
        <v>3916.666</v>
      </c>
      <c r="C173" s="47"/>
      <c r="D173" s="27"/>
      <c r="E173" s="170" t="n">
        <f aca="false">H139+H140</f>
        <v>0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H147</f>
        <v>23499.996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24919.996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-2880.98602091831</v>
      </c>
      <c r="B182" s="42" t="n">
        <f aca="false">B114</f>
        <v>239.99</v>
      </c>
      <c r="C182" s="42"/>
      <c r="D182" s="27"/>
      <c r="E182" s="42" t="n">
        <f aca="false">E179+A182+B182+A185</f>
        <v>22303.9999790817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A179+B182</f>
        <v>239.99</v>
      </c>
      <c r="C185" s="42"/>
      <c r="D185" s="27"/>
      <c r="E185" s="42" t="n">
        <f aca="false">IF( E170=0, A185+E167, E170+A185)</f>
        <v>6025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J18*0.000002*100*1.2</f>
        <v>8.97696</v>
      </c>
      <c r="B188" s="42" t="n">
        <f aca="false">(G158*B67)</f>
        <v>124.59998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144.59998</v>
      </c>
      <c r="C191" s="36"/>
      <c r="D191" s="36"/>
      <c r="E191" s="42" t="n">
        <f aca="false">H148</f>
        <v>2083.33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12</v>
      </c>
      <c r="B197" s="78" t="n">
        <f aca="false">B96</f>
        <v>1458.09181628015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-3678.50600000001</v>
      </c>
      <c r="B201" s="47" t="n">
        <f aca="false">E179+A201+B182+A185</f>
        <v>21506.48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str">
        <f aca="false">A197</f>
        <v>12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1458.09181628015</v>
      </c>
      <c r="B212" s="166" t="str">
        <f aca="false">B167</f>
        <v>0</v>
      </c>
      <c r="C212" s="164"/>
      <c r="D212" s="164"/>
      <c r="E212" s="166" t="n">
        <f aca="false">E167</f>
        <v>1458.09181628015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19583.33</v>
      </c>
      <c r="B215" s="42" t="n">
        <f aca="false">B173</f>
        <v>3916.666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23499.996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24919.996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-2880.98602091831</v>
      </c>
      <c r="B224" s="42" t="n">
        <f aca="false">B182</f>
        <v>239.99</v>
      </c>
      <c r="C224" s="42"/>
      <c r="D224" s="27"/>
      <c r="E224" s="42" t="n">
        <f aca="false">E182</f>
        <v>22303.9999790817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239.99</v>
      </c>
      <c r="C227" s="42"/>
      <c r="D227" s="27"/>
      <c r="E227" s="42" t="n">
        <f aca="false">B59</f>
        <v>11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1458.09181628015</v>
      </c>
      <c r="B230" s="42" t="str">
        <f aca="false">B167</f>
        <v>0</v>
      </c>
      <c r="C230" s="47"/>
      <c r="D230" s="47"/>
      <c r="E230" s="42" t="n">
        <f aca="false">E167</f>
        <v>1458.09181628015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6000</v>
      </c>
      <c r="B233" s="42" t="n">
        <f aca="false">E185</f>
        <v>6025</v>
      </c>
      <c r="C233" s="36"/>
      <c r="D233" s="36"/>
      <c r="E233" s="42" t="n">
        <f aca="false">A188</f>
        <v>8.97696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B188</f>
        <v>124.59998</v>
      </c>
      <c r="C240" s="36"/>
      <c r="D240" s="36"/>
      <c r="E240" s="42" t="n">
        <f aca="false">E188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807.929980000002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0.095</v>
      </c>
      <c r="C253" s="182"/>
      <c r="D253" s="183" t="s">
        <v>227</v>
      </c>
      <c r="E253" s="183"/>
      <c r="F253" s="181" t="n">
        <f aca="false">B83</f>
        <v>0.1555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822.519979081699</v>
      </c>
      <c r="C254" s="182"/>
      <c r="D254" s="183" t="s">
        <v>229</v>
      </c>
      <c r="E254" s="183"/>
      <c r="F254" s="185" t="n">
        <f aca="false">F261+F267+F269+B270+B271</f>
        <v>124.59998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717.919999081699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0.1555</v>
      </c>
      <c r="C260" s="47"/>
      <c r="D260" s="156" t="s">
        <v>228</v>
      </c>
      <c r="E260" s="156"/>
      <c r="F260" s="135" t="n">
        <f aca="false">B254</f>
        <v>822.519979081699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0.005</v>
      </c>
      <c r="C261" s="36"/>
      <c r="D261" s="156" t="s">
        <v>234</v>
      </c>
      <c r="E261" s="156"/>
      <c r="F261" s="142" t="n">
        <f aca="false">B68</f>
        <v>124.59998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717.919999081699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71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B105 C108:D108 A144:A146" type="list">
      <formula1>#ref!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40" colorId="64" zoomScale="100" zoomScaleNormal="100" zoomScalePageLayoutView="100" workbookViewId="0">
      <selection pane="topLeft" activeCell="F261" activeCellId="0" sqref="F261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8" t="s">
        <v>14</v>
      </c>
      <c r="B1" s="8"/>
      <c r="C1" s="8"/>
      <c r="D1" s="8"/>
      <c r="E1" s="8"/>
      <c r="F1" s="8"/>
      <c r="J1" s="7"/>
    </row>
    <row r="2" customFormat="false" ht="18.75" hidden="false" customHeight="fals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J2" s="7"/>
    </row>
    <row r="3" customFormat="false" ht="18.75" hidden="false" customHeight="false" outlineLevel="0" collapsed="false">
      <c r="A3" s="12"/>
      <c r="B3" s="12"/>
      <c r="C3" s="12"/>
      <c r="D3" s="12"/>
      <c r="E3" s="12"/>
      <c r="F3" s="9" t="s">
        <v>10</v>
      </c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21000</v>
      </c>
      <c r="C4" s="12"/>
      <c r="D4" s="12"/>
      <c r="E4" s="12"/>
      <c r="F4" s="9" t="s">
        <v>10</v>
      </c>
      <c r="H4" s="13"/>
      <c r="J4" s="7"/>
    </row>
    <row r="5" customFormat="false" ht="18.75" hidden="false" customHeight="false" outlineLevel="0" collapsed="false">
      <c r="A5" s="14"/>
      <c r="B5" s="14"/>
      <c r="C5" s="14"/>
      <c r="D5" s="14"/>
      <c r="E5" s="14"/>
      <c r="F5" s="14" t="s">
        <v>10</v>
      </c>
      <c r="J5" s="7"/>
    </row>
    <row r="6" customFormat="false" ht="18.75" hidden="false" customHeight="false" outlineLevel="0" collapsed="false">
      <c r="A6" s="14"/>
      <c r="B6" s="14"/>
      <c r="C6" s="14"/>
      <c r="D6" s="14"/>
      <c r="E6" s="14"/>
      <c r="F6" s="14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16"/>
      <c r="E7" s="16"/>
      <c r="F7" s="14"/>
      <c r="J7" s="7"/>
    </row>
    <row r="8" customFormat="false" ht="18.75" hidden="false" customHeight="false" outlineLevel="0" collapsed="false">
      <c r="A8" s="17"/>
      <c r="B8" s="14"/>
      <c r="C8" s="14"/>
      <c r="D8" s="16"/>
      <c r="E8" s="16"/>
      <c r="F8" s="14"/>
      <c r="J8" s="7"/>
      <c r="L8" s="18" t="s">
        <v>17</v>
      </c>
      <c r="M8" s="14" t="n">
        <f aca="false">H13+H14</f>
        <v>0</v>
      </c>
    </row>
    <row r="9" customFormat="false" ht="18.75" hidden="false" customHeight="false" outlineLevel="0" collapsed="false">
      <c r="A9" s="15" t="s">
        <v>21</v>
      </c>
      <c r="B9" s="19" t="n">
        <v>17708.33</v>
      </c>
      <c r="C9" s="14" t="n">
        <f aca="false">B9*0.2</f>
        <v>3500</v>
      </c>
      <c r="D9" s="16"/>
      <c r="E9" s="16"/>
      <c r="F9" s="14"/>
      <c r="J9" s="7"/>
      <c r="L9" s="14"/>
      <c r="M9" s="14"/>
    </row>
    <row r="10" customFormat="false" ht="18.75" hidden="false" customHeight="false" outlineLevel="0" collapsed="false">
      <c r="A10" s="15"/>
      <c r="B10" s="14"/>
      <c r="C10" s="14"/>
      <c r="D10" s="16"/>
      <c r="E10" s="16"/>
      <c r="F10" s="14"/>
      <c r="J10" s="7"/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16"/>
      <c r="E11" s="16"/>
      <c r="F11" s="14"/>
      <c r="J11" s="7"/>
      <c r="L11" s="14"/>
      <c r="M11" s="14"/>
    </row>
    <row r="12" customFormat="false" ht="18.75" hidden="false" customHeight="false" outlineLevel="0" collapsed="false">
      <c r="A12" s="15"/>
      <c r="B12" s="14"/>
      <c r="C12" s="14"/>
      <c r="D12" s="16"/>
      <c r="E12" s="16"/>
      <c r="F12" s="14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16"/>
      <c r="E13" s="16"/>
      <c r="F13" s="14"/>
      <c r="J13" s="7"/>
    </row>
    <row r="14" customFormat="false" ht="18.75" hidden="false" customHeight="false" outlineLevel="0" collapsed="false">
      <c r="A14" s="15"/>
      <c r="B14" s="14"/>
      <c r="C14" s="14"/>
      <c r="D14" s="16"/>
      <c r="E14" s="16"/>
      <c r="F14" s="14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16"/>
      <c r="E15" s="16"/>
      <c r="F15" s="14"/>
      <c r="J15" s="21" t="n">
        <f aca="false">H15</f>
        <v>0</v>
      </c>
    </row>
    <row r="16" customFormat="false" ht="18.75" hidden="false" customHeight="false" outlineLevel="0" collapsed="false">
      <c r="A16" s="22"/>
      <c r="B16" s="22"/>
      <c r="C16" s="22"/>
      <c r="D16" s="16"/>
      <c r="E16" s="16"/>
      <c r="F16" s="14"/>
      <c r="J16" s="7"/>
      <c r="Y16" s="23" t="s">
        <v>26</v>
      </c>
    </row>
    <row r="17" customFormat="false" ht="18.75" hidden="false" customHeight="false" outlineLevel="0" collapsed="false">
      <c r="A17" s="22"/>
      <c r="B17" s="22"/>
      <c r="C17" s="22"/>
      <c r="D17" s="16"/>
      <c r="E17" s="16"/>
      <c r="F17" s="14"/>
      <c r="J17" s="24" t="s">
        <v>27</v>
      </c>
      <c r="Y17" s="23" t="s">
        <v>28</v>
      </c>
    </row>
    <row r="18" customFormat="false" ht="18.75" hidden="false" customHeight="false" outlineLevel="0" collapsed="false">
      <c r="A18" s="22"/>
      <c r="B18" s="22"/>
      <c r="C18" s="22"/>
      <c r="D18" s="16"/>
      <c r="E18" s="16"/>
      <c r="F18" s="14"/>
      <c r="J18" s="25" t="n">
        <v>37404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14"/>
      <c r="J19" s="7"/>
      <c r="Z19" s="7" t="s">
        <v>31</v>
      </c>
    </row>
    <row r="20" customFormat="false" ht="18.75" hidden="false" customHeight="false" outlineLevel="0" collapsed="false">
      <c r="A20" s="14"/>
      <c r="B20" s="14"/>
      <c r="C20" s="14"/>
      <c r="D20" s="14"/>
      <c r="E20" s="14"/>
      <c r="F20" s="14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14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12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242" t="s">
        <v>390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55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0.095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n">
        <v>0</v>
      </c>
      <c r="J36" s="48" t="s">
        <v>64</v>
      </c>
      <c r="K36" s="56" t="n">
        <f aca="false">K32-K34</f>
        <v>20000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199"/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12</v>
      </c>
      <c r="B53" s="78" t="n">
        <f aca="false">H45</f>
        <v>501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A54" s="5" t="s">
        <v>10</v>
      </c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11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37404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0.0105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0.095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15538.0099790817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0.0075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186.89997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501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20000</v>
      </c>
      <c r="C81" s="36"/>
      <c r="D81" s="36"/>
      <c r="E81" s="27"/>
      <c r="F81" s="29" t="s">
        <v>118</v>
      </c>
      <c r="G81" s="31" t="n">
        <f aca="false">B81</f>
        <v>20000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</f>
        <v>6000</v>
      </c>
      <c r="C82" s="36"/>
      <c r="D82" s="36"/>
      <c r="E82" s="27"/>
      <c r="F82" s="35" t="s">
        <v>119</v>
      </c>
      <c r="G82" s="37" t="n">
        <f aca="false">IF(A111="YES",D41,0)</f>
        <v>6000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0.1555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0.0129583333333333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11</v>
      </c>
      <c r="C85" s="36"/>
      <c r="D85" s="36"/>
      <c r="E85" s="27"/>
      <c r="F85" s="35" t="s">
        <v>122</v>
      </c>
      <c r="G85" s="37" t="n">
        <f aca="false">IF(G82=0,(B59+B58),(B59))</f>
        <v>11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5141.05524817176</v>
      </c>
      <c r="C86" s="36" t="n">
        <f aca="false">(B82/((1+B84)^(B85+1)))</f>
        <v>5141.05524817176</v>
      </c>
      <c r="D86" s="36"/>
      <c r="E86" s="27"/>
      <c r="F86" s="35" t="s">
        <v>123</v>
      </c>
      <c r="G86" s="37" t="n">
        <f aca="false">(G82/((1+G84)^(G85+1)))</f>
        <v>5458.27899637016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10.1906783824739</v>
      </c>
      <c r="C87" s="36" t="n">
        <f aca="false">((1-(1/((1+B84)^B85)))/B84)</f>
        <v>10.1906783824739</v>
      </c>
      <c r="D87" s="36"/>
      <c r="E87" s="27"/>
      <c r="F87" s="35" t="s">
        <v>124</v>
      </c>
      <c r="G87" s="37" t="n">
        <f aca="false">((1-(1/((1+G84)^G85)))/G84)</f>
        <v>10.494939541935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14858.9447518282</v>
      </c>
      <c r="C88" s="36" t="n">
        <f aca="false">B81-B86</f>
        <v>14858.9447518282</v>
      </c>
      <c r="D88" s="36"/>
      <c r="E88" s="27"/>
      <c r="F88" s="35" t="s">
        <v>125</v>
      </c>
      <c r="G88" s="37" t="n">
        <f aca="false">G81-G86</f>
        <v>14541.7210036298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1458.09181628015</v>
      </c>
      <c r="C89" s="36" t="n">
        <f aca="false">(B88/B87)</f>
        <v>1458.09181628015</v>
      </c>
      <c r="D89" s="36"/>
      <c r="E89" s="27"/>
      <c r="F89" s="35" t="s">
        <v>126</v>
      </c>
      <c r="G89" s="37" t="n">
        <f aca="false">(G88/G87)</f>
        <v>1385.59359446759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16039.0099790817</v>
      </c>
      <c r="C90" s="36"/>
      <c r="D90" s="36"/>
      <c r="E90" s="27"/>
      <c r="F90" s="35" t="s">
        <v>127</v>
      </c>
      <c r="G90" s="37" t="n">
        <f aca="false">((G89*(G85))+G77)</f>
        <v>15241.5295391435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16039.0099790817</v>
      </c>
      <c r="C92" s="36"/>
      <c r="D92" s="36"/>
      <c r="E92" s="27"/>
      <c r="F92" s="60" t="s">
        <v>129</v>
      </c>
      <c r="G92" s="69" t="n">
        <f aca="false">(G90+G91)</f>
        <v>15241.5295391435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1458.09181628015</v>
      </c>
      <c r="C95" s="36"/>
      <c r="D95" s="36"/>
      <c r="E95" s="27"/>
      <c r="F95" s="97" t="s">
        <v>131</v>
      </c>
      <c r="G95" s="98" t="n">
        <f aca="false">G92/(G85)</f>
        <v>1385.59359446759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1458.09181628015</v>
      </c>
      <c r="C96" s="36"/>
      <c r="D96" s="36"/>
      <c r="E96" s="27"/>
      <c r="F96" s="99" t="s">
        <v>132</v>
      </c>
      <c r="G96" s="100" t="n">
        <f aca="false">G94+G95</f>
        <v>1385.59359446759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32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12</v>
      </c>
      <c r="C108" s="109"/>
      <c r="D108" s="109" t="n">
        <v>0</v>
      </c>
      <c r="E108" s="110" t="n">
        <f aca="false">B83</f>
        <v>0.1555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199.991666666667</v>
      </c>
      <c r="C114" s="109"/>
      <c r="D114" s="109"/>
      <c r="E114" s="109" t="n">
        <v>0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E19</f>
        <v>21000</v>
      </c>
      <c r="C121" s="44" t="n">
        <v>19791.67</v>
      </c>
      <c r="D121" s="29" t="n">
        <f aca="false">D3</f>
        <v>0</v>
      </c>
      <c r="E121" s="44" t="n">
        <f aca="false">D121</f>
        <v>0</v>
      </c>
      <c r="F121" s="29" t="n"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f aca="false">B122</f>
        <v>0</v>
      </c>
      <c r="D122" s="122" t="n">
        <v>0</v>
      </c>
      <c r="E122" s="123" t="n">
        <f aca="false">D122</f>
        <v>0</v>
      </c>
      <c r="F122" s="122" t="n"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f aca="false">B123</f>
        <v>0</v>
      </c>
      <c r="D123" s="35" t="n">
        <v>0</v>
      </c>
      <c r="E123" s="44" t="n">
        <f aca="false">D123</f>
        <v>0</v>
      </c>
      <c r="F123" s="35" t="n"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21000</v>
      </c>
      <c r="C125" s="69" t="n">
        <f aca="false">C121-C124</f>
        <v>19583.33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E21</f>
        <v>17500</v>
      </c>
      <c r="H135" s="144" t="n">
        <f aca="false">C125+E125+G125+H128</f>
        <v>19583.33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3500</v>
      </c>
      <c r="H137" s="37" t="n">
        <f aca="false">(H135+H136)*20%</f>
        <v>3916.666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21000</v>
      </c>
      <c r="H141" s="147" t="n">
        <f aca="false">(H135+H136+H139+H140+H137)-H138</f>
        <v>23499.996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44" t="n">
        <f aca="false">F142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37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44" t="n"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44" t="n"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44" t="n"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54" t="n">
        <f aca="false">G141-((G144*1.2)+(G145*1.2)+(G146*1.2)+(G142*1.2))</f>
        <v>21000</v>
      </c>
      <c r="H147" s="154" t="n">
        <f aca="false">H141-((H144*1.2)+(H145*1.2)+(H146*1.2)+(H142*1.2))</f>
        <v>23499.996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-14930.5583333333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24919.996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241" t="n">
        <f aca="false">B95</f>
        <v>1458.09181628015</v>
      </c>
      <c r="B167" s="166" t="str">
        <f aca="false">B94</f>
        <v>0</v>
      </c>
      <c r="C167" s="164"/>
      <c r="D167" s="164"/>
      <c r="E167" s="166" t="n">
        <f aca="false">B96</f>
        <v>1458.09181628015</v>
      </c>
      <c r="F167" s="27"/>
      <c r="G167" s="27" t="n">
        <f aca="false">ROUND(G95,2)</f>
        <v>1385.59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str">
        <f aca="false">H29</f>
        <v>12</v>
      </c>
      <c r="B170" s="214" t="str">
        <f aca="false">H30</f>
        <v>5000</v>
      </c>
      <c r="C170" s="169"/>
      <c r="D170" s="27"/>
      <c r="E170" s="170" t="n">
        <v>6000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19583.33</v>
      </c>
      <c r="B173" s="42" t="n">
        <f aca="false">H137</f>
        <v>3916.666</v>
      </c>
      <c r="C173" s="47"/>
      <c r="D173" s="27"/>
      <c r="E173" s="170" t="n">
        <f aca="false">H139+H140</f>
        <v>0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H147</f>
        <v>23499.996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24919.996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-2880.98602091831</v>
      </c>
      <c r="B182" s="42" t="n">
        <f aca="false">B114</f>
        <v>199.991666666667</v>
      </c>
      <c r="C182" s="42"/>
      <c r="D182" s="27"/>
      <c r="E182" s="42" t="n">
        <f aca="false">E179+A182+(B182*1.2)+A185</f>
        <v>22303.9999790817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A179+(B182*1.2)</f>
        <v>239.99</v>
      </c>
      <c r="C185" s="42"/>
      <c r="D185" s="27"/>
      <c r="E185" s="42" t="n">
        <f aca="false">IF( E170=0, A185+E167, E170+A185)</f>
        <v>6025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</f>
        <v>7.4808</v>
      </c>
      <c r="B188" s="42" t="n">
        <f aca="false">(G158*B67)</f>
        <v>186.89997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206.89997</v>
      </c>
      <c r="C191" s="36"/>
      <c r="D191" s="36"/>
      <c r="E191" s="42" t="n">
        <f aca="false">H148</f>
        <v>2083.33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12</v>
      </c>
      <c r="B197" s="78" t="n">
        <f aca="false">B96</f>
        <v>1458.09181628015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-3678.50600000001</v>
      </c>
      <c r="B201" s="47" t="n">
        <f aca="false">E179+A201+(B182*1.2)+A185</f>
        <v>21506.48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str">
        <f aca="false">A197</f>
        <v>12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1458.09181628015</v>
      </c>
      <c r="B212" s="166" t="str">
        <f aca="false">B167</f>
        <v>0</v>
      </c>
      <c r="C212" s="164"/>
      <c r="D212" s="164"/>
      <c r="E212" s="166" t="n">
        <f aca="false">E167</f>
        <v>1458.09181628015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19583.33</v>
      </c>
      <c r="B215" s="42" t="n">
        <f aca="false">B173</f>
        <v>3916.666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23499.996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24919.996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-2880.98602091831</v>
      </c>
      <c r="B224" s="42" t="n">
        <f aca="false">B182</f>
        <v>199.991666666667</v>
      </c>
      <c r="C224" s="42"/>
      <c r="D224" s="27"/>
      <c r="E224" s="42" t="n">
        <f aca="false">E182</f>
        <v>22303.9999790817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239.99</v>
      </c>
      <c r="C227" s="42"/>
      <c r="D227" s="27"/>
      <c r="E227" s="42" t="n">
        <f aca="false">B59</f>
        <v>11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1458.09181628015</v>
      </c>
      <c r="B230" s="42" t="str">
        <f aca="false">B167</f>
        <v>0</v>
      </c>
      <c r="C230" s="47"/>
      <c r="D230" s="47"/>
      <c r="E230" s="42" t="n">
        <f aca="false">E167</f>
        <v>1458.09181628015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6000</v>
      </c>
      <c r="B233" s="42" t="n">
        <f aca="false">E185</f>
        <v>6025</v>
      </c>
      <c r="C233" s="36"/>
      <c r="D233" s="36"/>
      <c r="E233" s="42" t="n">
        <f aca="false">A188</f>
        <v>7.4808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B188</f>
        <v>186.89997</v>
      </c>
      <c r="C240" s="36"/>
      <c r="D240" s="36"/>
      <c r="E240" s="42" t="n">
        <f aca="false">IF(E105="YES",(H36*A108)*0.1,0)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870.229970000002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0.095</v>
      </c>
      <c r="C253" s="182"/>
      <c r="D253" s="183" t="s">
        <v>227</v>
      </c>
      <c r="E253" s="183"/>
      <c r="F253" s="181" t="n">
        <f aca="false">B83</f>
        <v>0.1555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5" t="n">
        <f aca="false">(E182-B182)-(B201-B182-A185)</f>
        <v>822.519979081699</v>
      </c>
      <c r="C254" s="182"/>
      <c r="D254" s="183" t="s">
        <v>229</v>
      </c>
      <c r="E254" s="183"/>
      <c r="F254" s="185" t="n">
        <f aca="false">F261+F267+F269+B270+B271</f>
        <v>186.89997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655.620009081699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0.1555</v>
      </c>
      <c r="C260" s="47"/>
      <c r="D260" s="156" t="s">
        <v>228</v>
      </c>
      <c r="E260" s="156"/>
      <c r="F260" s="135" t="n">
        <f aca="false">B254</f>
        <v>822.519979081699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0.0075</v>
      </c>
      <c r="C261" s="36"/>
      <c r="D261" s="156" t="s">
        <v>234</v>
      </c>
      <c r="E261" s="156"/>
      <c r="F261" s="142" t="n">
        <f aca="false">B68</f>
        <v>186.89997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655.620009081699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71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B105 C108:D108 A144:A146" type="list">
      <formula1>#ref!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37404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33" t="s">
        <v>36</v>
      </c>
      <c r="H26" s="34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38" t="s">
        <v>38</v>
      </c>
      <c r="H27" s="39" t="n"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38" t="s">
        <v>40</v>
      </c>
      <c r="H28" s="39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334" t="n">
        <f aca="true">TODAY()+1</f>
        <v>45916</v>
      </c>
      <c r="E29" s="334"/>
      <c r="F29" s="67"/>
      <c r="G29" s="33" t="s">
        <v>41</v>
      </c>
      <c r="H29" s="41" t="n">
        <f aca="false">A32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33" t="s">
        <v>45</v>
      </c>
      <c r="H30" s="41" t="n">
        <f aca="false">B32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52</v>
      </c>
      <c r="B31" s="205" t="s">
        <v>53</v>
      </c>
      <c r="C31" s="199"/>
      <c r="D31" s="205" t="s">
        <v>54</v>
      </c>
      <c r="E31" s="200"/>
      <c r="F31" s="67"/>
      <c r="G31" s="33" t="s">
        <v>48</v>
      </c>
      <c r="H31" s="46" t="str">
        <f aca="false">A41</f>
        <v>6000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06" t="n">
        <v>12</v>
      </c>
      <c r="B32" s="207" t="n">
        <v>5000</v>
      </c>
      <c r="C32" s="207"/>
      <c r="D32" s="106" t="n">
        <f aca="false">(A32/12)*B32</f>
        <v>5000</v>
      </c>
      <c r="E32" s="106"/>
      <c r="F32" s="67"/>
      <c r="G32" s="33" t="s">
        <v>49</v>
      </c>
      <c r="H32" s="46" t="n">
        <f aca="false">A44*A32</f>
        <v>600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38"/>
      <c r="H33" s="5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55</v>
      </c>
      <c r="B34" s="216" t="s">
        <v>61</v>
      </c>
      <c r="C34" s="215" t="s">
        <v>56</v>
      </c>
      <c r="D34" s="217" t="s">
        <v>62</v>
      </c>
      <c r="E34" s="200"/>
      <c r="F34" s="67"/>
      <c r="G34" s="7"/>
      <c r="H34" s="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12" t="n">
        <f aca="false">E19</f>
        <v>21000</v>
      </c>
      <c r="B35" s="207" t="s">
        <v>58</v>
      </c>
      <c r="C35" s="207"/>
      <c r="D35" s="256" t="n">
        <f aca="false">A35-B35</f>
        <v>20000</v>
      </c>
      <c r="E35" s="256"/>
      <c r="F35" s="67"/>
      <c r="G35" s="54" t="s">
        <v>59</v>
      </c>
      <c r="H35" s="335" t="n">
        <v>0.065</v>
      </c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7" t="s">
        <v>63</v>
      </c>
      <c r="H36" s="7" t="n">
        <f aca="false">B38</f>
        <v>11</v>
      </c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66</v>
      </c>
      <c r="B37" s="205" t="s">
        <v>67</v>
      </c>
      <c r="C37" s="199" t="s">
        <v>58</v>
      </c>
      <c r="D37" s="205" t="s">
        <v>68</v>
      </c>
      <c r="E37" s="200"/>
      <c r="F37" s="67"/>
      <c r="G37" s="7"/>
      <c r="H37" s="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07" t="s">
        <v>55</v>
      </c>
      <c r="B38" s="224" t="n">
        <f aca="false">A32-1</f>
        <v>11</v>
      </c>
      <c r="C38" s="224"/>
      <c r="D38" s="106" t="s">
        <v>70</v>
      </c>
      <c r="E38" s="106"/>
      <c r="F38" s="67"/>
      <c r="G38" s="57" t="s">
        <v>65</v>
      </c>
      <c r="H38" s="5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7" t="s">
        <v>69</v>
      </c>
      <c r="H39" s="7" t="str">
        <f aca="false">D38</f>
        <v>500</v>
      </c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76</v>
      </c>
      <c r="B40" s="223" t="s">
        <v>74</v>
      </c>
      <c r="C40" s="215"/>
      <c r="D40" s="170" t="s">
        <v>75</v>
      </c>
      <c r="E40" s="200"/>
      <c r="F40" s="67" t="s">
        <v>70</v>
      </c>
      <c r="G40" s="7" t="s">
        <v>71</v>
      </c>
      <c r="H40" s="7" t="n">
        <f aca="false">C15</f>
        <v>3500</v>
      </c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344</v>
      </c>
      <c r="B41" s="106" t="s">
        <v>345</v>
      </c>
      <c r="C41" s="106"/>
      <c r="D41" s="207" t="s">
        <v>31</v>
      </c>
      <c r="E41" s="207"/>
      <c r="F41" s="67"/>
      <c r="G41" s="7" t="s">
        <v>72</v>
      </c>
      <c r="H41" s="7" t="str">
        <f aca="false">IF(D41="Yes",A44,0)</f>
        <v>50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7" t="s">
        <v>76</v>
      </c>
      <c r="H42" s="7" t="str">
        <f aca="false">A41</f>
        <v>6000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05" t="s">
        <v>130</v>
      </c>
      <c r="B43" s="223" t="s">
        <v>80</v>
      </c>
      <c r="C43" s="215" t="s">
        <v>345</v>
      </c>
      <c r="D43" s="223" t="s">
        <v>222</v>
      </c>
      <c r="E43" s="226"/>
      <c r="F43" s="67"/>
      <c r="G43" s="7" t="s">
        <v>77</v>
      </c>
      <c r="H43" s="7" t="n">
        <f aca="false">A32</f>
        <v>12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346</v>
      </c>
      <c r="B44" s="106" t="s">
        <v>347</v>
      </c>
      <c r="C44" s="106"/>
      <c r="D44" s="106" t="s">
        <v>347</v>
      </c>
      <c r="E44" s="106"/>
      <c r="F44" s="67"/>
      <c r="G44" s="7" t="s">
        <v>78</v>
      </c>
      <c r="H44" s="7" t="n">
        <f aca="false">((H40-(((H42/(1.2))*0.2)))/(H43))</f>
        <v>208.333333333333</v>
      </c>
      <c r="I44" s="336" t="n">
        <f aca="false">((A41*(B35-1))+D32)/B35</f>
        <v>5999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7" t="s">
        <v>82</v>
      </c>
      <c r="H45" s="7" t="n">
        <f aca="false">(H39-H44)+H41</f>
        <v>341.666666666667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348</v>
      </c>
      <c r="B46" s="215" t="s">
        <v>349</v>
      </c>
      <c r="C46" s="215" t="s">
        <v>10</v>
      </c>
      <c r="D46" s="215"/>
      <c r="E46" s="226"/>
      <c r="F46" s="67" t="n">
        <v>0</v>
      </c>
      <c r="G46" s="7" t="s">
        <v>83</v>
      </c>
      <c r="H46" s="7" t="n">
        <v>0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12" t="s">
        <v>348</v>
      </c>
      <c r="B47" s="215"/>
      <c r="C47" s="215"/>
      <c r="D47" s="215"/>
      <c r="E47" s="226"/>
      <c r="F47" s="67"/>
      <c r="G47" s="7" t="s">
        <v>84</v>
      </c>
      <c r="H47" s="7" t="n">
        <f aca="false">A38/H29</f>
        <v>1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59" t="s">
        <v>86</v>
      </c>
      <c r="H48" s="7" t="n">
        <f aca="false">B41/H29</f>
        <v>1.66666666666667</v>
      </c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59" t="s">
        <v>87</v>
      </c>
      <c r="H49" s="7" t="n">
        <f aca="false">H45+H48+H47</f>
        <v>344.333333333333</v>
      </c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215"/>
      <c r="E50" s="226"/>
      <c r="F50" s="67"/>
      <c r="G50" s="7" t="s">
        <v>350</v>
      </c>
      <c r="H50" s="7" t="n">
        <f aca="false">H49-H41</f>
        <v>294.333333333333</v>
      </c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337" t="n">
        <f aca="false">H30</f>
        <v>5000</v>
      </c>
      <c r="C51" s="337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338" t="n">
        <f aca="false">H29</f>
        <v>12</v>
      </c>
      <c r="B52" s="78" t="n">
        <f aca="false">H49</f>
        <v>344.333333333333</v>
      </c>
      <c r="C52" s="78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337" t="n">
        <f aca="false">H30</f>
        <v>5000</v>
      </c>
      <c r="C57" s="337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338" t="n">
        <f aca="false">H29</f>
        <v>12</v>
      </c>
      <c r="B58" s="78" t="n">
        <f aca="false">H49</f>
        <v>344.333333333333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21000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v>37404</v>
      </c>
      <c r="C67" s="199"/>
      <c r="D67" s="199"/>
      <c r="E67" s="200"/>
      <c r="F67" s="67"/>
      <c r="G67" s="198" t="s">
        <v>27</v>
      </c>
      <c r="H67" s="36" t="n">
        <f aca="false">G18</f>
        <v>37404</v>
      </c>
      <c r="I67" s="199"/>
      <c r="J67" s="199"/>
      <c r="K67" s="200"/>
      <c r="L67" s="67"/>
      <c r="M67" s="198" t="s">
        <v>27</v>
      </c>
      <c r="N67" s="36" t="n">
        <f aca="false">G18</f>
        <v>37404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2618.28</v>
      </c>
      <c r="C70" s="199" t="n">
        <v>10000</v>
      </c>
      <c r="D70" s="36" t="n">
        <f aca="false">B70-A149</f>
        <v>2618.28</v>
      </c>
      <c r="E70" s="200" t="n">
        <f aca="false">D70/12</f>
        <v>218.19</v>
      </c>
      <c r="F70" s="67"/>
      <c r="G70" s="262" t="s">
        <v>103</v>
      </c>
      <c r="H70" s="69" t="n">
        <f aca="false">H67*H69</f>
        <v>2618.28</v>
      </c>
      <c r="I70" s="199"/>
      <c r="J70" s="36" t="n">
        <f aca="false">H70-G151</f>
        <v>2618.28</v>
      </c>
      <c r="K70" s="200"/>
      <c r="L70" s="67"/>
      <c r="M70" s="262" t="s">
        <v>103</v>
      </c>
      <c r="N70" s="69" t="n">
        <f aca="false">N67*N69</f>
        <v>2618.28</v>
      </c>
      <c r="O70" s="199"/>
      <c r="P70" s="36" t="n">
        <f aca="false">N70-M151</f>
        <v>2618.28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187.02</v>
      </c>
      <c r="I73" s="199"/>
      <c r="J73" s="36"/>
      <c r="K73" s="200"/>
      <c r="L73" s="67"/>
      <c r="M73" s="262" t="s">
        <v>106</v>
      </c>
      <c r="N73" s="69" t="n">
        <f aca="false">N67*N72</f>
        <v>187.02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180</v>
      </c>
      <c r="C80" s="199"/>
      <c r="D80" s="199"/>
      <c r="E80" s="333" t="n">
        <f aca="false">E79+D82</f>
        <v>809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67.4166666666667</v>
      </c>
      <c r="F81" s="67"/>
      <c r="G81" s="272" t="s">
        <v>290</v>
      </c>
      <c r="H81" s="81" t="n">
        <f aca="false">IF(G18&gt;40000,325,0)</f>
        <v>0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195</v>
      </c>
      <c r="C82" s="199"/>
      <c r="D82" s="36" t="n">
        <f aca="false">IF(A50="YES",0,B82)</f>
        <v>195</v>
      </c>
      <c r="E82" s="200"/>
      <c r="F82" s="67"/>
      <c r="G82" s="262" t="s">
        <v>291</v>
      </c>
      <c r="H82" s="69" t="n">
        <f aca="false">((H80+H81)/12)*(H29-11)</f>
        <v>12.5</v>
      </c>
      <c r="I82" s="199"/>
      <c r="J82" s="36" t="n">
        <f aca="false">IF(A50="YES",0,H82)</f>
        <v>12.5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4133.16235294118</v>
      </c>
      <c r="C87" s="199"/>
      <c r="D87" s="199"/>
      <c r="E87" s="200"/>
      <c r="F87" s="67"/>
      <c r="G87" s="276" t="s">
        <v>115</v>
      </c>
      <c r="H87" s="277" t="n">
        <f aca="false">SUM(J70:J86)</f>
        <v>5744.78</v>
      </c>
      <c r="I87" s="199"/>
      <c r="J87" s="199"/>
      <c r="K87" s="200"/>
      <c r="L87" s="67"/>
      <c r="M87" s="276" t="s">
        <v>115</v>
      </c>
      <c r="N87" s="277" t="n">
        <f aca="false">SUM(P70:P86)</f>
        <v>5732.28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344.430196078431</v>
      </c>
      <c r="C88" s="199"/>
      <c r="D88" s="199"/>
      <c r="E88" s="200"/>
      <c r="F88" s="67"/>
      <c r="G88" s="198" t="s">
        <v>116</v>
      </c>
      <c r="H88" s="37" t="n">
        <f aca="false">H87/H29</f>
        <v>478.731666666667</v>
      </c>
      <c r="I88" s="199"/>
      <c r="J88" s="199"/>
      <c r="K88" s="200"/>
      <c r="L88" s="67"/>
      <c r="M88" s="198" t="s">
        <v>116</v>
      </c>
      <c r="N88" s="37" t="n">
        <f aca="false">N87/H29</f>
        <v>477.69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H50</f>
        <v>294.333333333333</v>
      </c>
      <c r="C89" s="199"/>
      <c r="D89" s="199"/>
      <c r="E89" s="200"/>
      <c r="F89" s="67"/>
      <c r="G89" s="278" t="s">
        <v>117</v>
      </c>
      <c r="H89" s="63" t="n">
        <f aca="false">H46</f>
        <v>0</v>
      </c>
      <c r="I89" s="199"/>
      <c r="J89" s="199"/>
      <c r="K89" s="200"/>
      <c r="L89" s="67"/>
      <c r="M89" s="278" t="s">
        <v>117</v>
      </c>
      <c r="N89" s="63" t="n">
        <f aca="false">H46</f>
        <v>0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((B89*H29)+B87)*1.2</f>
        <v>9198.19482352941</v>
      </c>
      <c r="C91" s="199"/>
      <c r="D91" s="199"/>
      <c r="E91" s="200"/>
      <c r="F91" s="67"/>
      <c r="G91" s="265" t="s">
        <v>127</v>
      </c>
      <c r="H91" s="31" t="n">
        <f aca="false">((H89*H29)+H87)*1.2</f>
        <v>6893.736</v>
      </c>
      <c r="I91" s="199"/>
      <c r="J91" s="199"/>
      <c r="K91" s="200"/>
      <c r="L91" s="67"/>
      <c r="M91" s="265" t="s">
        <v>127</v>
      </c>
      <c r="N91" s="31" t="n">
        <f aca="false">((N89*H29)+N87)</f>
        <v>5732.28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66.6872024149466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48.6649374747882</v>
      </c>
      <c r="I92" s="199"/>
      <c r="J92" s="199"/>
      <c r="K92" s="200"/>
      <c r="L92" s="67"/>
      <c r="M92" s="198" t="s">
        <v>128</v>
      </c>
      <c r="N92" s="37" t="n">
        <f aca="false">(N91/(1-N76))*N76</f>
        <v>48.5590480032271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9264.88202594436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8942.40093747479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7780.83904800323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IF(B105=Z104,(((H41*A32)+(H41*A32)*(B111/100))/(B64)),(((H41*A32)+(H41*A32)*(B111/100))/(B63+B64)))*1.2</f>
        <v>78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772.07350216203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850.07350216203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239.99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31</v>
      </c>
      <c r="B111" s="284" t="n">
        <v>30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239.99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167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167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772.07350216203</v>
      </c>
      <c r="B134" s="290" t="n">
        <f aca="false">IF(A111="YES",B95,0)</f>
        <v>78</v>
      </c>
      <c r="C134" s="294"/>
      <c r="D134" s="290" t="n">
        <f aca="false">B97</f>
        <v>850.07350216203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772.07350216203</v>
      </c>
      <c r="C137" s="199"/>
      <c r="D137" s="42" t="n">
        <f aca="false">IF(A111="YES",B95*B63,0)</f>
        <v>78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850.07350216203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772.07350216203</v>
      </c>
      <c r="B143" s="42" t="n">
        <f aca="false">IF(A111="YES",B95,0)</f>
        <v>78</v>
      </c>
      <c r="C143" s="199"/>
      <c r="D143" s="42" t="n">
        <f aca="false">B97</f>
        <v>850.07350216203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155.85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155.85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(G18*0.000006)*1.2*100</f>
        <v>26.93088</v>
      </c>
      <c r="B146" s="309" t="n">
        <f aca="false">G18*0.000002*1.2*100</f>
        <v>8.97696</v>
      </c>
      <c r="C146" s="310"/>
      <c r="D146" s="309" t="n">
        <f aca="false">A146+B146</f>
        <v>35.90784</v>
      </c>
      <c r="E146" s="333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1440</v>
      </c>
      <c r="H148" s="42" t="n">
        <f aca="false">G108-100</f>
        <v>139.988</v>
      </c>
      <c r="I148" s="42"/>
      <c r="J148" s="42" t="n">
        <f aca="false">(H145+J145+G148+H148)-H151</f>
        <v>2815.838</v>
      </c>
      <c r="K148" s="107"/>
      <c r="L148" s="67"/>
      <c r="M148" s="113" t="n">
        <f aca="false">IF(M111="YES",((A41*N111)*0.1)*(M133),0)</f>
        <v>1440</v>
      </c>
      <c r="N148" s="42" t="n">
        <f aca="false">M108-100</f>
        <v>99.99</v>
      </c>
      <c r="O148" s="42"/>
      <c r="P148" s="42" t="n">
        <f aca="false">(N145+P145+M148+N148)-N151</f>
        <v>2775.84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239.99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IF(A111="YES",(A44/100*B111)*B131,0)*0.1</f>
        <v>18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3500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718</v>
      </c>
      <c r="E157" s="107"/>
      <c r="F157" s="67"/>
      <c r="G157" s="233"/>
      <c r="H157" s="337" t="n">
        <f aca="false">B57</f>
        <v>5000</v>
      </c>
      <c r="I157" s="337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338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337" t="n">
        <f aca="false">B57</f>
        <v>5000</v>
      </c>
      <c r="O160" s="337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338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337" t="n">
        <f aca="false">B57</f>
        <v>5000</v>
      </c>
      <c r="C166" s="337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338" t="n">
        <f aca="false">A58</f>
        <v>12</v>
      </c>
      <c r="B167" s="78" t="n">
        <f aca="false">B97</f>
        <v>850.07350216203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772.07350216203</v>
      </c>
      <c r="B177" s="290" t="n">
        <f aca="false">IF(A111="YES",B95,0)</f>
        <v>78</v>
      </c>
      <c r="C177" s="294"/>
      <c r="D177" s="290" t="n">
        <f aca="false">A177+B177</f>
        <v>850.07350216203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772.07350216203</v>
      </c>
      <c r="C180" s="199"/>
      <c r="D180" s="42" t="n">
        <f aca="false">IF(A111="YES",B95*B63,0)</f>
        <v>78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850.07350216203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772.07350216203</v>
      </c>
      <c r="B186" s="42" t="n">
        <f aca="false">IF(A111="YES",B95,0)</f>
        <v>78</v>
      </c>
      <c r="C186" s="199"/>
      <c r="D186" s="42" t="n">
        <f aca="false">B97</f>
        <v>850.07350216203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26.93088</v>
      </c>
      <c r="B189" s="309" t="n">
        <f aca="false">G18*0.000002*1.2*100</f>
        <v>8.97696</v>
      </c>
      <c r="C189" s="310"/>
      <c r="D189" s="309" t="n">
        <f aca="false">A189+B189</f>
        <v>35.90784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239.99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IF(A111="YES",(A44/100*B111)*B131,0)*0.1</f>
        <v>18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718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0.065</v>
      </c>
      <c r="C209" s="290" t="s">
        <v>228</v>
      </c>
      <c r="D209" s="320" t="n">
        <f aca="false">D70</f>
        <v>2618.28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690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3058.28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2618.28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3058.28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180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66.6872024149466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6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G38:H38"/>
    <mergeCell ref="B41:C41"/>
    <mergeCell ref="D41:E41"/>
    <mergeCell ref="B44:C44"/>
    <mergeCell ref="D44:E44"/>
    <mergeCell ref="A50:A51"/>
    <mergeCell ref="B50:C50"/>
    <mergeCell ref="B51:C51"/>
    <mergeCell ref="B52:C52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3"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D41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37404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33" t="s">
        <v>36</v>
      </c>
      <c r="H26" s="34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38" t="s">
        <v>38</v>
      </c>
      <c r="H27" s="39" t="n"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38" t="s">
        <v>40</v>
      </c>
      <c r="H28" s="39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334" t="n">
        <f aca="true">TODAY()+1</f>
        <v>45916</v>
      </c>
      <c r="E29" s="334"/>
      <c r="F29" s="67"/>
      <c r="G29" s="33" t="s">
        <v>41</v>
      </c>
      <c r="H29" s="41" t="n">
        <f aca="false">A32</f>
        <v>12</v>
      </c>
      <c r="I29" s="67" t="b">
        <f aca="false">ISNUMBER(I31)</f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33" t="s">
        <v>45</v>
      </c>
      <c r="H30" s="41" t="n">
        <f aca="false">B32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52</v>
      </c>
      <c r="B31" s="205" t="s">
        <v>53</v>
      </c>
      <c r="C31" s="199"/>
      <c r="D31" s="205" t="s">
        <v>54</v>
      </c>
      <c r="E31" s="200"/>
      <c r="F31" s="67"/>
      <c r="G31" s="33" t="s">
        <v>48</v>
      </c>
      <c r="H31" s="46" t="str">
        <f aca="false">A41</f>
        <v>6000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06" t="n">
        <v>12</v>
      </c>
      <c r="B32" s="207" t="n">
        <v>5000</v>
      </c>
      <c r="C32" s="207"/>
      <c r="D32" s="106" t="n">
        <f aca="false">(A32/12)*B32</f>
        <v>5000</v>
      </c>
      <c r="E32" s="106"/>
      <c r="F32" s="67"/>
      <c r="G32" s="33" t="s">
        <v>49</v>
      </c>
      <c r="H32" s="46" t="n">
        <f aca="false">A44*A32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38"/>
      <c r="H33" s="5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348</v>
      </c>
      <c r="B34" s="216" t="s">
        <v>61</v>
      </c>
      <c r="C34" s="215" t="s">
        <v>10</v>
      </c>
      <c r="D34" s="217" t="s">
        <v>62</v>
      </c>
      <c r="E34" s="200"/>
      <c r="F34" s="67"/>
      <c r="G34" s="7"/>
      <c r="H34" s="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12" t="n">
        <f aca="false">E19</f>
        <v>21000</v>
      </c>
      <c r="B35" s="207" t="s">
        <v>58</v>
      </c>
      <c r="C35" s="207"/>
      <c r="D35" s="256" t="n">
        <f aca="false">A35-B35</f>
        <v>20000</v>
      </c>
      <c r="E35" s="256"/>
      <c r="F35" s="67"/>
      <c r="G35" s="54" t="s">
        <v>59</v>
      </c>
      <c r="H35" s="335" t="n">
        <v>0.065</v>
      </c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7" t="s">
        <v>63</v>
      </c>
      <c r="H36" s="7" t="n">
        <f aca="false">B38</f>
        <v>11</v>
      </c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66</v>
      </c>
      <c r="B37" s="205" t="s">
        <v>67</v>
      </c>
      <c r="C37" s="199" t="s">
        <v>10</v>
      </c>
      <c r="D37" s="205" t="s">
        <v>68</v>
      </c>
      <c r="E37" s="200"/>
      <c r="F37" s="67"/>
      <c r="G37" s="7"/>
      <c r="H37" s="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07" t="s">
        <v>55</v>
      </c>
      <c r="B38" s="224" t="n">
        <f aca="false">A32-1</f>
        <v>11</v>
      </c>
      <c r="C38" s="224"/>
      <c r="D38" s="106" t="s">
        <v>70</v>
      </c>
      <c r="E38" s="106"/>
      <c r="F38" s="67"/>
      <c r="G38" s="57" t="s">
        <v>65</v>
      </c>
      <c r="H38" s="5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7" t="s">
        <v>69</v>
      </c>
      <c r="H39" s="7" t="str">
        <f aca="false">D38</f>
        <v>500</v>
      </c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76</v>
      </c>
      <c r="B40" s="223" t="s">
        <v>74</v>
      </c>
      <c r="C40" s="215"/>
      <c r="D40" s="170" t="s">
        <v>75</v>
      </c>
      <c r="E40" s="200"/>
      <c r="F40" s="67" t="s">
        <v>10</v>
      </c>
      <c r="G40" s="7" t="s">
        <v>71</v>
      </c>
      <c r="H40" s="7" t="n">
        <f aca="false">C15</f>
        <v>3500</v>
      </c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344</v>
      </c>
      <c r="B41" s="106" t="s">
        <v>345</v>
      </c>
      <c r="C41" s="106"/>
      <c r="D41" s="207" t="s">
        <v>31</v>
      </c>
      <c r="E41" s="207"/>
      <c r="F41" s="67"/>
      <c r="G41" s="7" t="s">
        <v>72</v>
      </c>
      <c r="H41" s="7" t="n">
        <f aca="false">IF(D41="Yes",A44,0)</f>
        <v>0</v>
      </c>
      <c r="I41" s="7" t="s">
        <v>10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7" t="s">
        <v>76</v>
      </c>
      <c r="H42" s="7" t="str">
        <f aca="false">A41</f>
        <v>6000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05" t="s">
        <v>130</v>
      </c>
      <c r="B43" s="223" t="s">
        <v>80</v>
      </c>
      <c r="C43" s="215" t="s">
        <v>10</v>
      </c>
      <c r="D43" s="223" t="s">
        <v>222</v>
      </c>
      <c r="E43" s="226"/>
      <c r="F43" s="67"/>
      <c r="G43" s="7" t="s">
        <v>77</v>
      </c>
      <c r="H43" s="7" t="n">
        <f aca="false">A32</f>
        <v>12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n">
        <v>0</v>
      </c>
      <c r="B44" s="106" t="s">
        <v>347</v>
      </c>
      <c r="C44" s="106"/>
      <c r="D44" s="106" t="n">
        <v>0</v>
      </c>
      <c r="E44" s="106"/>
      <c r="F44" s="67"/>
      <c r="G44" s="7" t="s">
        <v>78</v>
      </c>
      <c r="H44" s="7" t="n">
        <f aca="false">((H40-(((H42/(1.2))*0.2)))/(H43))</f>
        <v>208.333333333333</v>
      </c>
      <c r="I44" s="336" t="n">
        <f aca="false">((A41*(B35-1))+D32)/B35</f>
        <v>5999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7" t="s">
        <v>82</v>
      </c>
      <c r="H45" s="7" t="n">
        <f aca="false">(H39-H44)+H41</f>
        <v>291.666666666667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348</v>
      </c>
      <c r="B46" s="215" t="s">
        <v>349</v>
      </c>
      <c r="C46" s="215" t="s">
        <v>10</v>
      </c>
      <c r="D46" s="215"/>
      <c r="E46" s="226"/>
      <c r="F46" s="67" t="n">
        <v>0</v>
      </c>
      <c r="G46" s="7" t="s">
        <v>83</v>
      </c>
      <c r="H46" s="7" t="n">
        <v>0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12" t="s">
        <v>348</v>
      </c>
      <c r="B47" s="215"/>
      <c r="C47" s="215"/>
      <c r="D47" s="215"/>
      <c r="E47" s="226"/>
      <c r="F47" s="67"/>
      <c r="G47" s="7" t="s">
        <v>84</v>
      </c>
      <c r="H47" s="7" t="n">
        <f aca="false">A38/H29</f>
        <v>1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59" t="s">
        <v>86</v>
      </c>
      <c r="H48" s="7" t="n">
        <f aca="false">B41/H29</f>
        <v>1.66666666666667</v>
      </c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59" t="s">
        <v>87</v>
      </c>
      <c r="H49" s="7" t="n">
        <f aca="false">H45+H48+H47</f>
        <v>294.333333333333</v>
      </c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112"/>
      <c r="B50" s="215"/>
      <c r="C50" s="215"/>
      <c r="D50" s="215"/>
      <c r="E50" s="226"/>
      <c r="F50" s="67"/>
      <c r="G50" s="7" t="s">
        <v>350</v>
      </c>
      <c r="H50" s="7" t="n">
        <f aca="false">H49-H41</f>
        <v>294.333333333333</v>
      </c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/>
      <c r="B52" s="78"/>
      <c r="C52" s="78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337" t="n">
        <f aca="false">H30</f>
        <v>5000</v>
      </c>
      <c r="C57" s="337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338" t="n">
        <f aca="false">H29</f>
        <v>12</v>
      </c>
      <c r="B58" s="78" t="n">
        <f aca="false">H49</f>
        <v>294.333333333333</v>
      </c>
      <c r="C58" s="78"/>
      <c r="D58" s="236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9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3</v>
      </c>
      <c r="C64" s="199" t="s">
        <v>10</v>
      </c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21000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v>37404</v>
      </c>
      <c r="C67" s="199"/>
      <c r="D67" s="199"/>
      <c r="E67" s="200"/>
      <c r="F67" s="67"/>
      <c r="G67" s="198" t="s">
        <v>27</v>
      </c>
      <c r="H67" s="36" t="n">
        <f aca="false">G18</f>
        <v>37404</v>
      </c>
      <c r="I67" s="199"/>
      <c r="J67" s="199"/>
      <c r="K67" s="200"/>
      <c r="L67" s="67"/>
      <c r="M67" s="198" t="s">
        <v>27</v>
      </c>
      <c r="N67" s="36" t="n">
        <f aca="false">G18</f>
        <v>37404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2618.28</v>
      </c>
      <c r="C70" s="199" t="n">
        <v>10000</v>
      </c>
      <c r="D70" s="36" t="n">
        <f aca="false">B70-A149</f>
        <v>2618.28</v>
      </c>
      <c r="E70" s="200" t="n">
        <f aca="false">D70/12</f>
        <v>218.19</v>
      </c>
      <c r="F70" s="67"/>
      <c r="G70" s="262" t="s">
        <v>103</v>
      </c>
      <c r="H70" s="69" t="n">
        <f aca="false">H67*H69</f>
        <v>2618.28</v>
      </c>
      <c r="I70" s="199"/>
      <c r="J70" s="36" t="n">
        <f aca="false">H70-G151</f>
        <v>2618.28</v>
      </c>
      <c r="K70" s="200"/>
      <c r="L70" s="67"/>
      <c r="M70" s="262" t="s">
        <v>103</v>
      </c>
      <c r="N70" s="69" t="n">
        <f aca="false">N67*N69</f>
        <v>2618.28</v>
      </c>
      <c r="O70" s="199"/>
      <c r="P70" s="36" t="n">
        <f aca="false">N70-M151</f>
        <v>2618.28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187.02</v>
      </c>
      <c r="I73" s="199"/>
      <c r="J73" s="36"/>
      <c r="K73" s="200"/>
      <c r="L73" s="67"/>
      <c r="M73" s="262" t="s">
        <v>106</v>
      </c>
      <c r="N73" s="69" t="n">
        <f aca="false">N67*N72</f>
        <v>187.02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180</v>
      </c>
      <c r="C80" s="199"/>
      <c r="D80" s="199"/>
      <c r="E80" s="333" t="n">
        <f aca="false">E79+D82</f>
        <v>809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67.4166666666667</v>
      </c>
      <c r="F81" s="67"/>
      <c r="G81" s="272" t="s">
        <v>290</v>
      </c>
      <c r="H81" s="81" t="n">
        <f aca="false">IF(G18&gt;40000,325,0)</f>
        <v>0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195</v>
      </c>
      <c r="C82" s="199"/>
      <c r="D82" s="36" t="n">
        <f aca="false">IF(A50="YES",0,B82)</f>
        <v>195</v>
      </c>
      <c r="E82" s="200"/>
      <c r="F82" s="67"/>
      <c r="G82" s="262" t="s">
        <v>291</v>
      </c>
      <c r="H82" s="69" t="n">
        <f aca="false">((H80+H81)/12)*(H29-11)</f>
        <v>12.5</v>
      </c>
      <c r="I82" s="199"/>
      <c r="J82" s="36" t="n">
        <f aca="false">IF(A50="YES",0,H82)</f>
        <v>12.5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4133.16235294118</v>
      </c>
      <c r="C87" s="199"/>
      <c r="D87" s="199"/>
      <c r="E87" s="200"/>
      <c r="F87" s="67"/>
      <c r="G87" s="276" t="s">
        <v>115</v>
      </c>
      <c r="H87" s="277" t="n">
        <f aca="false">SUM(J70:J86)</f>
        <v>5744.78</v>
      </c>
      <c r="I87" s="199"/>
      <c r="J87" s="199"/>
      <c r="K87" s="200"/>
      <c r="L87" s="67"/>
      <c r="M87" s="276" t="s">
        <v>115</v>
      </c>
      <c r="N87" s="277" t="n">
        <f aca="false">SUM(P70:P86)</f>
        <v>5732.28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344.430196078431</v>
      </c>
      <c r="C88" s="199"/>
      <c r="D88" s="199"/>
      <c r="E88" s="200"/>
      <c r="F88" s="67"/>
      <c r="G88" s="198" t="s">
        <v>116</v>
      </c>
      <c r="H88" s="37" t="n">
        <f aca="false">H87/H29</f>
        <v>478.731666666667</v>
      </c>
      <c r="I88" s="199"/>
      <c r="J88" s="199"/>
      <c r="K88" s="200"/>
      <c r="L88" s="67"/>
      <c r="M88" s="198" t="s">
        <v>116</v>
      </c>
      <c r="N88" s="37" t="n">
        <f aca="false">N87/H29</f>
        <v>477.69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H50</f>
        <v>294.333333333333</v>
      </c>
      <c r="C89" s="199"/>
      <c r="D89" s="199"/>
      <c r="E89" s="200"/>
      <c r="F89" s="67"/>
      <c r="G89" s="278" t="s">
        <v>117</v>
      </c>
      <c r="H89" s="63" t="n">
        <f aca="false">H46</f>
        <v>0</v>
      </c>
      <c r="I89" s="199"/>
      <c r="J89" s="199"/>
      <c r="K89" s="200"/>
      <c r="L89" s="67"/>
      <c r="M89" s="278" t="s">
        <v>117</v>
      </c>
      <c r="N89" s="63" t="n">
        <f aca="false">H46</f>
        <v>0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7665.16235294118</v>
      </c>
      <c r="C91" s="199"/>
      <c r="D91" s="199"/>
      <c r="E91" s="200"/>
      <c r="F91" s="67"/>
      <c r="G91" s="265" t="s">
        <v>127</v>
      </c>
      <c r="H91" s="31" t="n">
        <f aca="false">((H89*H29)+H87)*1.2</f>
        <v>6893.736</v>
      </c>
      <c r="I91" s="199"/>
      <c r="J91" s="199"/>
      <c r="K91" s="200"/>
      <c r="L91" s="67"/>
      <c r="M91" s="265" t="s">
        <v>127</v>
      </c>
      <c r="N91" s="31" t="n">
        <f aca="false">((N89*H29)+N87)</f>
        <v>5732.28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66.6872024149466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48.6649374747882</v>
      </c>
      <c r="I92" s="199"/>
      <c r="J92" s="199"/>
      <c r="K92" s="200"/>
      <c r="L92" s="67"/>
      <c r="M92" s="198" t="s">
        <v>128</v>
      </c>
      <c r="N92" s="37" t="n">
        <f aca="false">(N91/(1-N76))*N76</f>
        <v>48.5590480032271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7731.84955535612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8942.40093747479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7780.83904800323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IF(B105=Z104,(((H41*A32)+(H41*A32)*(B111/100))/(B64)),(((H41*A32)+(H41*A32)*(B111/100))/(B63+B64)))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644.320796279677</v>
      </c>
      <c r="C96" s="199" t="s">
        <v>10</v>
      </c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644.320796279677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362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0</v>
      </c>
      <c r="C111" s="284"/>
      <c r="D111" s="109" t="s">
        <v>363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167" t="n">
        <f aca="false">G158</f>
        <v>12</v>
      </c>
      <c r="H133" s="168" t="n">
        <f aca="false">B157</f>
        <v>0</v>
      </c>
      <c r="I133" s="215"/>
      <c r="J133" s="214" t="n">
        <f aca="false">B64</f>
        <v>3</v>
      </c>
      <c r="K133" s="200"/>
      <c r="L133" s="67"/>
      <c r="M133" s="167" t="n">
        <f aca="false">M161</f>
        <v>12</v>
      </c>
      <c r="N133" s="168" t="n">
        <f aca="false">B157</f>
        <v>0</v>
      </c>
      <c r="O133" s="215"/>
      <c r="P133" s="214" t="n">
        <f aca="false">B64</f>
        <v>3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644.320796279677</v>
      </c>
      <c r="B134" s="290" t="n">
        <f aca="false">IF(A111="YES",B95,0)</f>
        <v>0</v>
      </c>
      <c r="C134" s="295"/>
      <c r="D134" s="290" t="n">
        <f aca="false">B97</f>
        <v>644.320796279677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Terminal pause with 9 down </v>
      </c>
      <c r="B137" s="42" t="n">
        <f aca="false">B96*B63</f>
        <v>5798.88716651709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5798.88716651709</v>
      </c>
      <c r="B140" s="42" t="n">
        <f aca="false">E120</f>
        <v>0</v>
      </c>
      <c r="C140" s="199"/>
      <c r="D140" s="303" t="n">
        <f aca="false">B64</f>
        <v>3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644.320796279677</v>
      </c>
      <c r="B143" s="42" t="n">
        <f aca="false">IF(A111="YES",B95,0)</f>
        <v>0</v>
      </c>
      <c r="C143" s="199"/>
      <c r="D143" s="42" t="n">
        <f aca="false">B97</f>
        <v>644.320796279677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155.85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155.85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22.4424</v>
      </c>
      <c r="B146" s="309" t="n">
        <f aca="false">G18*0.000002*100</f>
        <v>7.4808</v>
      </c>
      <c r="C146" s="310"/>
      <c r="D146" s="309" t="n">
        <f aca="false">A146+B146</f>
        <v>29.9232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1440</v>
      </c>
      <c r="H148" s="42" t="n">
        <f aca="false">G108-100</f>
        <v>139.988</v>
      </c>
      <c r="I148" s="42"/>
      <c r="J148" s="42" t="n">
        <f aca="false">(H145+J145+G148+H148)-H151</f>
        <v>2815.838</v>
      </c>
      <c r="K148" s="107"/>
      <c r="L148" s="67"/>
      <c r="M148" s="113" t="n">
        <f aca="false">IF(M111="YES",((A41*N111)*0.1)*(M133),0)</f>
        <v>1440</v>
      </c>
      <c r="N148" s="42" t="n">
        <f aca="false">M108-100</f>
        <v>99.99</v>
      </c>
      <c r="O148" s="42"/>
      <c r="P148" s="42" t="n">
        <f aca="false">(N145+P145+M148+N148)-N151</f>
        <v>2775.84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IF(A111="YES",(A44/100*B111)*B131,0)*0.1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3500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700</v>
      </c>
      <c r="E157" s="107"/>
      <c r="F157" s="67"/>
      <c r="G157" s="233"/>
      <c r="H157" s="337" t="n">
        <f aca="false">B57</f>
        <v>5000</v>
      </c>
      <c r="I157" s="337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338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337" t="n">
        <f aca="false">B57</f>
        <v>5000</v>
      </c>
      <c r="O160" s="337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338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337" t="n">
        <f aca="false">B57</f>
        <v>5000</v>
      </c>
      <c r="C166" s="337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338" t="n">
        <f aca="false">A58</f>
        <v>12</v>
      </c>
      <c r="B167" s="78" t="n">
        <f aca="false">B97</f>
        <v>644.320796279677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 t="b">
        <f aca="false">ISNUMBER(B183)</f>
        <v>1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644.320796279677</v>
      </c>
      <c r="B177" s="290" t="n">
        <f aca="false">IF(A111="YES",B95,0)</f>
        <v>0</v>
      </c>
      <c r="C177" s="295"/>
      <c r="D177" s="290" t="n">
        <f aca="false">B91</f>
        <v>7665.16235294118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Terminal pause with 9 down </v>
      </c>
      <c r="B180" s="42" t="n">
        <f aca="false">B96*B63</f>
        <v>5798.88716651709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5798.88716651709</v>
      </c>
      <c r="B183" s="42" t="n">
        <f aca="false">E120</f>
        <v>0</v>
      </c>
      <c r="C183" s="199"/>
      <c r="D183" s="303" t="n">
        <f aca="false">B64</f>
        <v>3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644.320796279677</v>
      </c>
      <c r="B186" s="42" t="n">
        <f aca="false">IF(A111="YES",B95,0)</f>
        <v>0</v>
      </c>
      <c r="C186" s="199"/>
      <c r="D186" s="42" t="n">
        <f aca="false">B97</f>
        <v>644.320796279677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22.4424</v>
      </c>
      <c r="B189" s="309" t="n">
        <f aca="false">G18*0.000002*100</f>
        <v>7.4808</v>
      </c>
      <c r="C189" s="310"/>
      <c r="D189" s="309" t="n">
        <f aca="false">A189+B189</f>
        <v>29.9232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IF(A111="YES",(A44/100*B111)*B131,0)*0.1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0.065</v>
      </c>
      <c r="C209" s="290" t="s">
        <v>228</v>
      </c>
      <c r="D209" s="320" t="n">
        <f aca="false">D70</f>
        <v>2618.28</v>
      </c>
      <c r="E209" s="291"/>
      <c r="F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2878.28</v>
      </c>
      <c r="C213" s="294"/>
      <c r="D213" s="290"/>
      <c r="E213" s="291"/>
      <c r="F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2618.28</v>
      </c>
      <c r="C217" s="223" t="s">
        <v>234</v>
      </c>
      <c r="D217" s="199"/>
      <c r="E217" s="270" t="n">
        <f aca="false">B72</f>
        <v>0</v>
      </c>
      <c r="F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2878.28</v>
      </c>
      <c r="F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66.6872024149466</v>
      </c>
      <c r="F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198"/>
      <c r="B243" s="199"/>
      <c r="C243" s="199"/>
      <c r="D243" s="199"/>
      <c r="E243" s="200"/>
      <c r="F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113"/>
      <c r="B244" s="42"/>
      <c r="C244" s="42"/>
      <c r="D244" s="42"/>
      <c r="E244" s="107"/>
      <c r="F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198"/>
      <c r="B245" s="199"/>
      <c r="C245" s="199"/>
      <c r="D245" s="199"/>
      <c r="E245" s="200"/>
      <c r="F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198"/>
      <c r="B246" s="199"/>
      <c r="C246" s="199"/>
      <c r="D246" s="199"/>
      <c r="E246" s="200"/>
      <c r="F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113"/>
      <c r="B247" s="42"/>
      <c r="C247" s="199"/>
      <c r="D247" s="199"/>
      <c r="E247" s="200"/>
      <c r="F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262"/>
      <c r="B248" s="263"/>
      <c r="C248" s="263"/>
      <c r="D248" s="263"/>
      <c r="E248" s="264"/>
      <c r="F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3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G38:H38"/>
    <mergeCell ref="B41:C41"/>
    <mergeCell ref="D41:E41"/>
    <mergeCell ref="B44:C44"/>
    <mergeCell ref="D44:E44"/>
    <mergeCell ref="B52:C52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3">
    <dataValidation allowBlank="true" errorStyle="stop" operator="between" showDropDown="false" showErrorMessage="true" showInputMessage="false" sqref="D41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37404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60</v>
      </c>
      <c r="E32" s="211"/>
      <c r="F32" s="67"/>
      <c r="G32" s="212" t="s">
        <v>254</v>
      </c>
      <c r="H32" s="210" t="str">
        <f aca="false">A41</f>
        <v>60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str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560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359</v>
      </c>
      <c r="B41" s="224" t="n">
        <f aca="false">IF(B38="YES",D38+A41,D38)</f>
        <v>560</v>
      </c>
      <c r="C41" s="224"/>
      <c r="D41" s="106" t="s">
        <v>344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106" t="s">
        <v>347</v>
      </c>
      <c r="C44" s="106"/>
      <c r="D44" s="106" t="s">
        <v>359</v>
      </c>
      <c r="E44" s="106"/>
      <c r="F44" s="67"/>
      <c r="G44" s="67" t="s">
        <v>267</v>
      </c>
      <c r="H44" s="7" t="str">
        <f aca="false">H32</f>
        <v>60</v>
      </c>
      <c r="I44" s="336" t="n">
        <f aca="false">((A41*(B35-1))+D32)/B35</f>
        <v>60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561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s">
        <v>360</v>
      </c>
      <c r="C47" s="350"/>
      <c r="D47" s="106" t="s">
        <v>360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561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 t="s">
        <v>349</v>
      </c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21000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v>37405</v>
      </c>
      <c r="C67" s="199"/>
      <c r="D67" s="199"/>
      <c r="E67" s="200"/>
      <c r="F67" s="67"/>
      <c r="G67" s="198" t="s">
        <v>27</v>
      </c>
      <c r="H67" s="36" t="n">
        <f aca="false">G18</f>
        <v>37404</v>
      </c>
      <c r="I67" s="199"/>
      <c r="J67" s="199"/>
      <c r="K67" s="200"/>
      <c r="L67" s="67"/>
      <c r="M67" s="198" t="s">
        <v>27</v>
      </c>
      <c r="N67" s="36" t="n">
        <f aca="false">G18</f>
        <v>37404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1470</v>
      </c>
      <c r="C70" s="199" t="n">
        <v>10000</v>
      </c>
      <c r="D70" s="36" t="n">
        <f aca="false">B70-A149</f>
        <v>1470</v>
      </c>
      <c r="E70" s="200" t="n">
        <f aca="false">D70/12</f>
        <v>122.5</v>
      </c>
      <c r="F70" s="67"/>
      <c r="G70" s="262" t="s">
        <v>103</v>
      </c>
      <c r="H70" s="69" t="n">
        <f aca="false">H67*H69</f>
        <v>2618.28</v>
      </c>
      <c r="I70" s="199"/>
      <c r="J70" s="36" t="n">
        <f aca="false">H70-G151</f>
        <v>2618.28</v>
      </c>
      <c r="K70" s="200"/>
      <c r="L70" s="67"/>
      <c r="M70" s="262" t="s">
        <v>103</v>
      </c>
      <c r="N70" s="69" t="n">
        <f aca="false">N67*N69</f>
        <v>2618.28</v>
      </c>
      <c r="O70" s="199"/>
      <c r="P70" s="36" t="n">
        <f aca="false">N70-M151</f>
        <v>2618.28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391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392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187.02</v>
      </c>
      <c r="I73" s="199"/>
      <c r="J73" s="36"/>
      <c r="K73" s="200"/>
      <c r="L73" s="67"/>
      <c r="M73" s="262" t="s">
        <v>106</v>
      </c>
      <c r="N73" s="69" t="n">
        <f aca="false">N67*N72</f>
        <v>187.02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339" t="s">
        <v>289</v>
      </c>
      <c r="B80" s="340" t="n">
        <v>0</v>
      </c>
      <c r="C80" s="199"/>
      <c r="D80" s="199"/>
      <c r="E80" s="333" t="n">
        <f aca="false">E79+D82</f>
        <v>614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341" t="s">
        <v>290</v>
      </c>
      <c r="B81" s="342" t="n">
        <v>0</v>
      </c>
      <c r="C81" s="199"/>
      <c r="D81" s="199"/>
      <c r="E81" s="200" t="n">
        <f aca="false">E80/12</f>
        <v>51.1666666666667</v>
      </c>
      <c r="F81" s="67"/>
      <c r="G81" s="272" t="s">
        <v>290</v>
      </c>
      <c r="H81" s="81" t="n">
        <f aca="false">IF(G18&gt;40000,325,0)</f>
        <v>0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0</v>
      </c>
      <c r="C82" s="199"/>
      <c r="D82" s="36" t="n">
        <f aca="false">IF(A50="YES",0,B82)</f>
        <v>0</v>
      </c>
      <c r="E82" s="200"/>
      <c r="F82" s="67"/>
      <c r="G82" s="262" t="s">
        <v>291</v>
      </c>
      <c r="H82" s="69" t="n">
        <f aca="false">((H80+H81)/12)*(H29-11)</f>
        <v>12.5</v>
      </c>
      <c r="I82" s="199"/>
      <c r="J82" s="36" t="n">
        <f aca="false">IF(A50="YES",0,H82)</f>
        <v>12.5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2789.88235294118</v>
      </c>
      <c r="C87" s="199"/>
      <c r="D87" s="199"/>
      <c r="E87" s="200"/>
      <c r="F87" s="67"/>
      <c r="G87" s="276" t="s">
        <v>115</v>
      </c>
      <c r="H87" s="277" t="n">
        <f aca="false">SUM(J70:J86)</f>
        <v>5744.78</v>
      </c>
      <c r="I87" s="199"/>
      <c r="J87" s="199"/>
      <c r="K87" s="200"/>
      <c r="L87" s="67"/>
      <c r="M87" s="276" t="s">
        <v>115</v>
      </c>
      <c r="N87" s="277" t="n">
        <f aca="false">SUM(P70:P86)</f>
        <v>5732.28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232.490196078431</v>
      </c>
      <c r="C88" s="199"/>
      <c r="D88" s="199"/>
      <c r="E88" s="200"/>
      <c r="F88" s="67"/>
      <c r="G88" s="198" t="s">
        <v>116</v>
      </c>
      <c r="H88" s="37" t="n">
        <f aca="false">H87/H29</f>
        <v>478.731666666667</v>
      </c>
      <c r="I88" s="199"/>
      <c r="J88" s="199"/>
      <c r="K88" s="200"/>
      <c r="L88" s="67"/>
      <c r="M88" s="198" t="s">
        <v>116</v>
      </c>
      <c r="N88" s="37" t="n">
        <f aca="false">N87/H29</f>
        <v>477.69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8801.88235294118</v>
      </c>
      <c r="C91" s="199"/>
      <c r="D91" s="199"/>
      <c r="E91" s="200"/>
      <c r="F91" s="67"/>
      <c r="G91" s="265" t="s">
        <v>127</v>
      </c>
      <c r="H91" s="31" t="n">
        <f aca="false">((H89*H29)+H87)*1.2</f>
        <v>14108.136</v>
      </c>
      <c r="I91" s="199"/>
      <c r="J91" s="199"/>
      <c r="K91" s="200"/>
      <c r="L91" s="67"/>
      <c r="M91" s="265" t="s">
        <v>127</v>
      </c>
      <c r="N91" s="31" t="n">
        <f aca="false">((N89*H29)+N87)</f>
        <v>11744.28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76.5767094128031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99.5935377168213</v>
      </c>
      <c r="I92" s="199"/>
      <c r="J92" s="199"/>
      <c r="K92" s="200"/>
      <c r="L92" s="67"/>
      <c r="M92" s="198" t="s">
        <v>128</v>
      </c>
      <c r="N92" s="37" t="n">
        <f aca="false">(N91/(1-N76))*N76</f>
        <v>99.4876482452602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8878.45906235398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16207.7295377168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13843.7676482453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72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739.871588529498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739.871588529498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361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6" t="n">
        <v>0</v>
      </c>
      <c r="C111" s="286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739.871588529498</v>
      </c>
      <c r="B134" s="290" t="n">
        <f aca="false">IF(A111="YES",B95,0)</f>
        <v>0</v>
      </c>
      <c r="C134" s="295"/>
      <c r="D134" s="290" t="n">
        <f aca="false">B97</f>
        <v>739.871588529498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739.871588529498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739.871588529498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739.871588529498</v>
      </c>
      <c r="B143" s="42" t="n">
        <f aca="false">IF(A111="YES",B95,0)</f>
        <v>0</v>
      </c>
      <c r="C143" s="199"/>
      <c r="D143" s="42" t="n">
        <f aca="false">B97</f>
        <v>739.871588529498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155.85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155.85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22.4424</v>
      </c>
      <c r="B146" s="309" t="n">
        <f aca="false">G18*0.000002*100</f>
        <v>7.4808</v>
      </c>
      <c r="C146" s="310"/>
      <c r="D146" s="309" t="n">
        <f aca="false">A146+B146</f>
        <v>29.9232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14.4</v>
      </c>
      <c r="H148" s="42" t="n">
        <f aca="false">G108-100</f>
        <v>139.988</v>
      </c>
      <c r="I148" s="42"/>
      <c r="J148" s="42" t="n">
        <f aca="false">(H145+J145+G148+H148)-H151</f>
        <v>1390.238</v>
      </c>
      <c r="K148" s="107"/>
      <c r="L148" s="67"/>
      <c r="M148" s="113" t="n">
        <f aca="false">IF(M111="YES",((A41*N111)*0.1)*(M133),0)</f>
        <v>14.4</v>
      </c>
      <c r="N148" s="42" t="n">
        <f aca="false">M108-100</f>
        <v>99.99</v>
      </c>
      <c r="O148" s="42"/>
      <c r="P148" s="42" t="n">
        <f aca="false">(N145+P145+M148+N148)-N151</f>
        <v>1350.24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739.871588529498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739.871588529498</v>
      </c>
      <c r="B177" s="290" t="n">
        <f aca="false">IF(A111="YES",B95,0)</f>
        <v>0</v>
      </c>
      <c r="C177" s="295"/>
      <c r="D177" s="290" t="n">
        <f aca="false">B91</f>
        <v>8801.88235294118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739.871588529498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739.871588529498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739.871588529498</v>
      </c>
      <c r="B186" s="42" t="n">
        <f aca="false">IF(A111="YES",B95,0)</f>
        <v>0</v>
      </c>
      <c r="C186" s="199"/>
      <c r="D186" s="42" t="n">
        <f aca="false">B97</f>
        <v>739.871588529498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22.4424</v>
      </c>
      <c r="B189" s="309" t="n">
        <f aca="false">G18*0.000002*100</f>
        <v>7.4808</v>
      </c>
      <c r="C189" s="310"/>
      <c r="D189" s="309" t="n">
        <f aca="false">A189+B189</f>
        <v>29.9232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1470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1730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1470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1730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76.5767094128031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65 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5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37404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str">
        <f aca="false">A41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str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359</v>
      </c>
      <c r="B41" s="224" t="str">
        <f aca="false">IF(B38="YES",D38+A41,D38)</f>
        <v>500</v>
      </c>
      <c r="C41" s="224"/>
      <c r="D41" s="106" t="s">
        <v>344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106" t="s">
        <v>347</v>
      </c>
      <c r="C44" s="106"/>
      <c r="D44" s="106" t="s">
        <v>359</v>
      </c>
      <c r="E44" s="106"/>
      <c r="F44" s="67"/>
      <c r="G44" s="67" t="s">
        <v>267</v>
      </c>
      <c r="H44" s="7" t="str">
        <f aca="false">H32</f>
        <v>0</v>
      </c>
      <c r="I44" s="336" t="n">
        <f aca="false">((A41*(B35-1))+D32)/B35</f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s">
        <v>360</v>
      </c>
      <c r="C47" s="350"/>
      <c r="D47" s="106" t="s">
        <v>360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 t="s">
        <v>10</v>
      </c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21000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v>37404</v>
      </c>
      <c r="C67" s="199"/>
      <c r="D67" s="199"/>
      <c r="E67" s="200"/>
      <c r="F67" s="67"/>
      <c r="G67" s="198" t="s">
        <v>27</v>
      </c>
      <c r="H67" s="36" t="n">
        <f aca="false">G18</f>
        <v>37404</v>
      </c>
      <c r="I67" s="199"/>
      <c r="J67" s="199"/>
      <c r="K67" s="200"/>
      <c r="L67" s="67"/>
      <c r="M67" s="198" t="s">
        <v>27</v>
      </c>
      <c r="N67" s="36" t="n">
        <f aca="false">G18</f>
        <v>37404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1470</v>
      </c>
      <c r="C70" s="199" t="n">
        <v>10000</v>
      </c>
      <c r="D70" s="36" t="n">
        <f aca="false">B70-A149</f>
        <v>1470</v>
      </c>
      <c r="E70" s="200" t="n">
        <f aca="false">D70/12</f>
        <v>122.5</v>
      </c>
      <c r="F70" s="67"/>
      <c r="G70" s="262" t="s">
        <v>103</v>
      </c>
      <c r="H70" s="69" t="n">
        <f aca="false">H67*H69</f>
        <v>2618.28</v>
      </c>
      <c r="I70" s="199"/>
      <c r="J70" s="36" t="n">
        <f aca="false">H70-G151</f>
        <v>2618.28</v>
      </c>
      <c r="K70" s="200"/>
      <c r="L70" s="67"/>
      <c r="M70" s="262" t="s">
        <v>103</v>
      </c>
      <c r="N70" s="69" t="n">
        <f aca="false">N67*N69</f>
        <v>2618.28</v>
      </c>
      <c r="O70" s="199"/>
      <c r="P70" s="36" t="n">
        <f aca="false">N70-M151</f>
        <v>2618.28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187.02</v>
      </c>
      <c r="I73" s="199"/>
      <c r="J73" s="36"/>
      <c r="K73" s="200"/>
      <c r="L73" s="67"/>
      <c r="M73" s="262" t="s">
        <v>106</v>
      </c>
      <c r="N73" s="69" t="n">
        <f aca="false">N67*N72</f>
        <v>187.02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180</v>
      </c>
      <c r="C80" s="199"/>
      <c r="D80" s="199"/>
      <c r="E80" s="333" t="n">
        <f aca="false">E79+D82</f>
        <v>809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67.4166666666667</v>
      </c>
      <c r="F81" s="67"/>
      <c r="G81" s="272" t="s">
        <v>290</v>
      </c>
      <c r="H81" s="81" t="n">
        <f aca="false">IF(G18&gt;40000,325,0)</f>
        <v>0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195</v>
      </c>
      <c r="C82" s="199"/>
      <c r="D82" s="36" t="n">
        <f aca="false">IF(A50="YES",0,B82)</f>
        <v>195</v>
      </c>
      <c r="E82" s="200"/>
      <c r="F82" s="67"/>
      <c r="G82" s="262" t="s">
        <v>291</v>
      </c>
      <c r="H82" s="69" t="n">
        <f aca="false">((H80+H81)/12)*(H29-11)</f>
        <v>12.5</v>
      </c>
      <c r="I82" s="199"/>
      <c r="J82" s="36" t="n">
        <f aca="false">IF(A50="YES",0,H82)</f>
        <v>12.5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2984.88235294118</v>
      </c>
      <c r="C87" s="199"/>
      <c r="D87" s="199"/>
      <c r="E87" s="200"/>
      <c r="F87" s="67"/>
      <c r="G87" s="276" t="s">
        <v>115</v>
      </c>
      <c r="H87" s="277" t="n">
        <f aca="false">SUM(J70:J86)</f>
        <v>5744.78</v>
      </c>
      <c r="I87" s="199"/>
      <c r="J87" s="199"/>
      <c r="K87" s="200"/>
      <c r="L87" s="67"/>
      <c r="M87" s="276" t="s">
        <v>115</v>
      </c>
      <c r="N87" s="277" t="n">
        <f aca="false">SUM(P70:P86)</f>
        <v>5732.28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248.740196078431</v>
      </c>
      <c r="C88" s="199"/>
      <c r="D88" s="199"/>
      <c r="E88" s="200"/>
      <c r="F88" s="67"/>
      <c r="G88" s="198" t="s">
        <v>116</v>
      </c>
      <c r="H88" s="37" t="n">
        <f aca="false">H87/H29</f>
        <v>478.731666666667</v>
      </c>
      <c r="I88" s="199"/>
      <c r="J88" s="199"/>
      <c r="K88" s="200"/>
      <c r="L88" s="67"/>
      <c r="M88" s="198" t="s">
        <v>116</v>
      </c>
      <c r="N88" s="37" t="n">
        <f aca="false">N87/H29</f>
        <v>477.69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((B89*H29)+B87)*1.2</f>
        <v>10796.2588235294</v>
      </c>
      <c r="C91" s="199"/>
      <c r="D91" s="199"/>
      <c r="E91" s="200"/>
      <c r="F91" s="67"/>
      <c r="G91" s="265" t="s">
        <v>127</v>
      </c>
      <c r="H91" s="31" t="n">
        <f aca="false">((H89*H29)+H87)*1.2</f>
        <v>14108.136</v>
      </c>
      <c r="I91" s="199"/>
      <c r="J91" s="199"/>
      <c r="K91" s="200"/>
      <c r="L91" s="67"/>
      <c r="M91" s="265" t="s">
        <v>127</v>
      </c>
      <c r="N91" s="31" t="n">
        <f aca="false">((N89*H29)+N87)</f>
        <v>11744.28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78.2732167889221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99.5935377168213</v>
      </c>
      <c r="I92" s="199"/>
      <c r="J92" s="199"/>
      <c r="K92" s="200"/>
      <c r="L92" s="67"/>
      <c r="M92" s="198" t="s">
        <v>128</v>
      </c>
      <c r="N92" s="37" t="n">
        <f aca="false">(N91/(1-N76))*N76</f>
        <v>99.4876482452602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10874.5320403183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16207.7295377168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13843.7676482453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IF(B105=Z104,(((H44*B35)+(H44*B35)*(B111/100))/(B64)),(((H44*B35)+(H44*B35)*(B111/100))/(B63+B64)))*1.2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906.211003359861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906.211003359861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294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239.99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239.99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906.211003359861</v>
      </c>
      <c r="B134" s="290" t="n">
        <f aca="false">IF(A111="YES",B95,0)</f>
        <v>0</v>
      </c>
      <c r="C134" s="295"/>
      <c r="D134" s="290" t="n">
        <f aca="false">B97</f>
        <v>906.211003359861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906.211003359861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906.211003359861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906.211003359861</v>
      </c>
      <c r="B143" s="42" t="n">
        <f aca="false">IF(A111="YES",B95,0)</f>
        <v>0</v>
      </c>
      <c r="C143" s="199"/>
      <c r="D143" s="42" t="n">
        <f aca="false">B97</f>
        <v>906.211003359861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155.85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155.85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(G18*0.000006)*1.2*100</f>
        <v>26.93088</v>
      </c>
      <c r="B146" s="309" t="n">
        <f aca="false">G18*0.000002*1.2*100</f>
        <v>8.97696</v>
      </c>
      <c r="C146" s="310"/>
      <c r="D146" s="309" t="n">
        <f aca="false">A146+B146</f>
        <v>35.90784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0</v>
      </c>
      <c r="H148" s="42" t="n">
        <f aca="false">G108-100</f>
        <v>139.988</v>
      </c>
      <c r="I148" s="42"/>
      <c r="J148" s="42" t="n">
        <f aca="false">(H145+J145+G148+H148)-H151</f>
        <v>1375.838</v>
      </c>
      <c r="K148" s="107"/>
      <c r="L148" s="67"/>
      <c r="M148" s="113" t="n">
        <f aca="false">IF(M111="YES",((A41*N111)*0.1)*(M133),0)</f>
        <v>0</v>
      </c>
      <c r="N148" s="42" t="n">
        <f aca="false">M108-100</f>
        <v>99.99</v>
      </c>
      <c r="O148" s="42"/>
      <c r="P148" s="42" t="n">
        <f aca="false">(N145+P145+M148+N148)-N151</f>
        <v>1335.84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239.99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906.211003359861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906.211003359861</v>
      </c>
      <c r="B177" s="290" t="n">
        <f aca="false">IF(A111="YES",B95,0)</f>
        <v>0</v>
      </c>
      <c r="C177" s="295"/>
      <c r="D177" s="290" t="n">
        <f aca="false">B97</f>
        <v>906.211003359861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906.211003359861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906.211003359861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906.211003359861</v>
      </c>
      <c r="B186" s="42" t="n">
        <f aca="false">IF(A111="YES",B95,0)</f>
        <v>0</v>
      </c>
      <c r="C186" s="199"/>
      <c r="D186" s="42" t="n">
        <f aca="false">B97</f>
        <v>906.211003359861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26.93088</v>
      </c>
      <c r="B189" s="309" t="n">
        <f aca="false">G18*0.000002*1.2*100</f>
        <v>8.97696</v>
      </c>
      <c r="C189" s="310"/>
      <c r="D189" s="309" t="n">
        <f aca="false">A189+B189</f>
        <v>35.90784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239.99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1470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1730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1470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1730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78.2732167889221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65 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30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37404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50</v>
      </c>
      <c r="E32" s="211"/>
      <c r="F32" s="67"/>
      <c r="G32" s="212" t="s">
        <v>254</v>
      </c>
      <c r="H32" s="210" t="str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str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346</v>
      </c>
      <c r="B41" s="224" t="n">
        <f aca="false">IF(B38="YES",D38+A41,D38)</f>
        <v>550</v>
      </c>
      <c r="C41" s="224"/>
      <c r="D41" s="106" t="s">
        <v>344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106" t="s">
        <v>347</v>
      </c>
      <c r="C44" s="106"/>
      <c r="D44" s="106" t="s">
        <v>360</v>
      </c>
      <c r="E44" s="106"/>
      <c r="F44" s="67"/>
      <c r="G44" s="67" t="s">
        <v>267</v>
      </c>
      <c r="H44" s="7" t="str">
        <f aca="false">H32</f>
        <v>50</v>
      </c>
      <c r="I44" s="336" t="n">
        <f aca="false">((A41*(B35-1))+D32)/B35</f>
        <v>50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s">
        <v>360</v>
      </c>
      <c r="C47" s="350"/>
      <c r="D47" s="106" t="s">
        <v>360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551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21000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v>37404</v>
      </c>
      <c r="C67" s="199"/>
      <c r="D67" s="199"/>
      <c r="E67" s="200"/>
      <c r="F67" s="67"/>
      <c r="G67" s="198" t="s">
        <v>27</v>
      </c>
      <c r="H67" s="36" t="n">
        <f aca="false">G18</f>
        <v>37404</v>
      </c>
      <c r="I67" s="199"/>
      <c r="J67" s="199"/>
      <c r="K67" s="200"/>
      <c r="L67" s="67"/>
      <c r="M67" s="198" t="s">
        <v>27</v>
      </c>
      <c r="N67" s="36" t="n">
        <f aca="false">G18</f>
        <v>37404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1470</v>
      </c>
      <c r="C70" s="199" t="n">
        <v>10000</v>
      </c>
      <c r="D70" s="36" t="n">
        <f aca="false">B70-A149</f>
        <v>1470</v>
      </c>
      <c r="E70" s="200" t="n">
        <f aca="false">D70/12</f>
        <v>122.5</v>
      </c>
      <c r="F70" s="67"/>
      <c r="G70" s="262" t="s">
        <v>103</v>
      </c>
      <c r="H70" s="69" t="n">
        <f aca="false">H67*H69</f>
        <v>2618.28</v>
      </c>
      <c r="I70" s="199"/>
      <c r="J70" s="36" t="n">
        <f aca="false">H70-G151</f>
        <v>2618.28</v>
      </c>
      <c r="K70" s="200"/>
      <c r="L70" s="67"/>
      <c r="M70" s="262" t="s">
        <v>103</v>
      </c>
      <c r="N70" s="69" t="n">
        <f aca="false">N67*N69</f>
        <v>2618.28</v>
      </c>
      <c r="O70" s="199"/>
      <c r="P70" s="36" t="n">
        <f aca="false">N70-M151</f>
        <v>2618.28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187.02</v>
      </c>
      <c r="I73" s="199"/>
      <c r="J73" s="36"/>
      <c r="K73" s="200"/>
      <c r="L73" s="67"/>
      <c r="M73" s="262" t="s">
        <v>106</v>
      </c>
      <c r="N73" s="69" t="n">
        <f aca="false">N67*N72</f>
        <v>187.02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180</v>
      </c>
      <c r="C80" s="199"/>
      <c r="D80" s="199"/>
      <c r="E80" s="333" t="n">
        <f aca="false">E79+D82</f>
        <v>809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67.4166666666667</v>
      </c>
      <c r="F81" s="67"/>
      <c r="G81" s="272" t="s">
        <v>290</v>
      </c>
      <c r="H81" s="81" t="n">
        <f aca="false">IF(G18&gt;40000,325,0)</f>
        <v>0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195</v>
      </c>
      <c r="C82" s="199"/>
      <c r="D82" s="36" t="n">
        <f aca="false">IF(A50="YES",0,B82)</f>
        <v>195</v>
      </c>
      <c r="E82" s="200"/>
      <c r="F82" s="67"/>
      <c r="G82" s="262" t="s">
        <v>291</v>
      </c>
      <c r="H82" s="69" t="n">
        <f aca="false">((H80+H81)/12)*(H29-11)</f>
        <v>12.5</v>
      </c>
      <c r="I82" s="199"/>
      <c r="J82" s="36" t="n">
        <f aca="false">IF(A50="YES",0,H82)</f>
        <v>12.5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2984.88235294118</v>
      </c>
      <c r="C87" s="199"/>
      <c r="D87" s="199"/>
      <c r="E87" s="200"/>
      <c r="F87" s="67"/>
      <c r="G87" s="276" t="s">
        <v>115</v>
      </c>
      <c r="H87" s="277" t="n">
        <f aca="false">SUM(J70:J86)</f>
        <v>5744.78</v>
      </c>
      <c r="I87" s="199"/>
      <c r="J87" s="199"/>
      <c r="K87" s="200"/>
      <c r="L87" s="67"/>
      <c r="M87" s="276" t="s">
        <v>115</v>
      </c>
      <c r="N87" s="277" t="n">
        <f aca="false">SUM(P70:P86)</f>
        <v>5732.28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248.740196078431</v>
      </c>
      <c r="C88" s="199"/>
      <c r="D88" s="199"/>
      <c r="E88" s="200"/>
      <c r="F88" s="67"/>
      <c r="G88" s="198" t="s">
        <v>116</v>
      </c>
      <c r="H88" s="37" t="n">
        <f aca="false">H87/H29</f>
        <v>478.731666666667</v>
      </c>
      <c r="I88" s="199"/>
      <c r="J88" s="199"/>
      <c r="K88" s="200"/>
      <c r="L88" s="67"/>
      <c r="M88" s="198" t="s">
        <v>116</v>
      </c>
      <c r="N88" s="37" t="n">
        <f aca="false">N87/H29</f>
        <v>477.69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8996.88235294118</v>
      </c>
      <c r="C91" s="199"/>
      <c r="D91" s="199"/>
      <c r="E91" s="200"/>
      <c r="F91" s="67"/>
      <c r="G91" s="265" t="s">
        <v>127</v>
      </c>
      <c r="H91" s="31" t="n">
        <f aca="false">((H89*H29)+H87)*1.2</f>
        <v>14108.136</v>
      </c>
      <c r="I91" s="199"/>
      <c r="J91" s="199"/>
      <c r="K91" s="200"/>
      <c r="L91" s="67"/>
      <c r="M91" s="265" t="s">
        <v>127</v>
      </c>
      <c r="N91" s="31" t="n">
        <f aca="false">((N89*H29)+N87)</f>
        <v>11744.28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78.2732167889221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99.5935377168213</v>
      </c>
      <c r="I92" s="199"/>
      <c r="J92" s="199"/>
      <c r="K92" s="200"/>
      <c r="L92" s="67"/>
      <c r="M92" s="198" t="s">
        <v>128</v>
      </c>
      <c r="N92" s="37" t="n">
        <f aca="false">(N91/(1-N76))*N76</f>
        <v>99.4876482452602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9075.1555697301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16207.7295377168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13843.7676482453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60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756.262964144175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756.262964144175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756.262964144175</v>
      </c>
      <c r="B134" s="290" t="n">
        <f aca="false">IF(A111="YES",B95,0)</f>
        <v>0</v>
      </c>
      <c r="C134" s="295"/>
      <c r="D134" s="290" t="n">
        <f aca="false">B97</f>
        <v>756.262964144175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756.262964144175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756.262964144175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756.262964144175</v>
      </c>
      <c r="B143" s="42" t="n">
        <f aca="false">IF(A111="YES",B95,0)</f>
        <v>0</v>
      </c>
      <c r="C143" s="199"/>
      <c r="D143" s="42" t="n">
        <f aca="false">B97</f>
        <v>756.262964144175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155.85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155.85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22.4424</v>
      </c>
      <c r="B146" s="309" t="n">
        <f aca="false">G18*0.000002*100</f>
        <v>7.4808</v>
      </c>
      <c r="C146" s="310"/>
      <c r="D146" s="309" t="n">
        <f aca="false">A146+B146</f>
        <v>29.9232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12</v>
      </c>
      <c r="H148" s="42" t="n">
        <f aca="false">G108-100</f>
        <v>139.988</v>
      </c>
      <c r="I148" s="42"/>
      <c r="J148" s="42" t="n">
        <f aca="false">(H145+J145+G148+H148)-H151</f>
        <v>1387.838</v>
      </c>
      <c r="K148" s="107"/>
      <c r="L148" s="67"/>
      <c r="M148" s="113" t="n">
        <f aca="false">IF(M111="YES",((A41*N111)*0.1)*(M133),0)</f>
        <v>12</v>
      </c>
      <c r="N148" s="42" t="n">
        <f aca="false">M108-100</f>
        <v>99.99</v>
      </c>
      <c r="O148" s="42"/>
      <c r="P148" s="42" t="n">
        <f aca="false">(N145+P145+M148+N148)-N151</f>
        <v>1347.84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756.262964144175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756.262964144175</v>
      </c>
      <c r="B177" s="290" t="n">
        <f aca="false">IF(A111="YES",B95,0)</f>
        <v>0</v>
      </c>
      <c r="C177" s="295"/>
      <c r="D177" s="290" t="n">
        <f aca="false">B91</f>
        <v>8996.88235294118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756.262964144175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756.262964144175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756.262964144175</v>
      </c>
      <c r="B186" s="42" t="n">
        <f aca="false">IF(A111="YES",B95,0)</f>
        <v>0</v>
      </c>
      <c r="C186" s="199"/>
      <c r="D186" s="42" t="n">
        <f aca="false">B97</f>
        <v>756.262964144175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22.4424</v>
      </c>
      <c r="B189" s="309" t="n">
        <f aca="false">G18*0.000002*100</f>
        <v>7.4808</v>
      </c>
      <c r="C189" s="310"/>
      <c r="D189" s="309" t="n">
        <f aca="false">A189+B189</f>
        <v>29.9232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B154</f>
        <v>400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1470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1730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1470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1730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78.2732167889221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5" colorId="64" zoomScale="100" zoomScaleNormal="100" zoomScalePageLayoutView="100" workbookViewId="0">
      <selection pane="topLeft" activeCell="B223" activeCellId="0" sqref="B223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37404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0.00</v>
      </c>
      <c r="E32" s="211"/>
      <c r="F32" s="67"/>
      <c r="G32" s="212" t="s">
        <v>254</v>
      </c>
      <c r="H32" s="210" t="str">
        <f aca="false">A41</f>
        <v>0.00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92</v>
      </c>
      <c r="B41" s="224" t="n">
        <f aca="false">IF(B38="YES",D38+A41,D38)</f>
        <v>500</v>
      </c>
      <c r="C41" s="224"/>
      <c r="D41" s="228" t="n">
        <v>6000</v>
      </c>
      <c r="E41" s="228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str">
        <f aca="false">H32</f>
        <v>0.00</v>
      </c>
      <c r="I44" s="336" t="n">
        <f aca="false">((A41*(B35-1))+D32)/B35</f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21000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v>37404</v>
      </c>
      <c r="C67" s="199"/>
      <c r="D67" s="199"/>
      <c r="E67" s="200"/>
      <c r="F67" s="67"/>
      <c r="G67" s="198" t="s">
        <v>27</v>
      </c>
      <c r="H67" s="36" t="n">
        <f aca="false">G18</f>
        <v>37404</v>
      </c>
      <c r="I67" s="199"/>
      <c r="J67" s="199"/>
      <c r="K67" s="200"/>
      <c r="L67" s="67"/>
      <c r="M67" s="198" t="s">
        <v>27</v>
      </c>
      <c r="N67" s="36" t="n">
        <f aca="false">G18</f>
        <v>37404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1470</v>
      </c>
      <c r="C70" s="199" t="n">
        <v>10000</v>
      </c>
      <c r="D70" s="36" t="n">
        <f aca="false">B70-A149</f>
        <v>1470</v>
      </c>
      <c r="E70" s="200" t="n">
        <f aca="false">D70/12</f>
        <v>122.5</v>
      </c>
      <c r="F70" s="67"/>
      <c r="G70" s="262" t="s">
        <v>103</v>
      </c>
      <c r="H70" s="69" t="n">
        <f aca="false">H67*H69</f>
        <v>2618.28</v>
      </c>
      <c r="I70" s="199"/>
      <c r="J70" s="36" t="n">
        <f aca="false">H70-G151</f>
        <v>2618.28</v>
      </c>
      <c r="K70" s="200"/>
      <c r="L70" s="67"/>
      <c r="M70" s="262" t="s">
        <v>103</v>
      </c>
      <c r="N70" s="69" t="n">
        <f aca="false">N67*N69</f>
        <v>2618.28</v>
      </c>
      <c r="O70" s="199"/>
      <c r="P70" s="36" t="n">
        <f aca="false">N70-M151</f>
        <v>2618.28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187.02</v>
      </c>
      <c r="I73" s="199"/>
      <c r="J73" s="36"/>
      <c r="K73" s="200"/>
      <c r="L73" s="67"/>
      <c r="M73" s="262" t="s">
        <v>106</v>
      </c>
      <c r="N73" s="69" t="n">
        <f aca="false">N67*N72</f>
        <v>187.02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339" t="s">
        <v>289</v>
      </c>
      <c r="B80" s="340" t="n">
        <v>0</v>
      </c>
      <c r="C80" s="199"/>
      <c r="D80" s="199"/>
      <c r="E80" s="333" t="n">
        <f aca="false">E79+D82</f>
        <v>614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341" t="s">
        <v>290</v>
      </c>
      <c r="B81" s="342" t="n">
        <v>0</v>
      </c>
      <c r="C81" s="199"/>
      <c r="D81" s="199"/>
      <c r="E81" s="200" t="n">
        <f aca="false">E80/12</f>
        <v>51.1666666666667</v>
      </c>
      <c r="F81" s="67"/>
      <c r="G81" s="272" t="s">
        <v>290</v>
      </c>
      <c r="H81" s="81" t="n">
        <f aca="false">IF(G18&gt;40000,325,0)</f>
        <v>0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0</v>
      </c>
      <c r="C82" s="199"/>
      <c r="D82" s="36" t="n">
        <f aca="false">IF(A50="YES",0,B82)</f>
        <v>0</v>
      </c>
      <c r="E82" s="200"/>
      <c r="F82" s="67"/>
      <c r="G82" s="262" t="s">
        <v>291</v>
      </c>
      <c r="H82" s="69" t="n">
        <f aca="false">((H80+H81)/12)*(H29-11)</f>
        <v>12.5</v>
      </c>
      <c r="I82" s="199"/>
      <c r="J82" s="36" t="n">
        <f aca="false">IF(A50="YES",0,H82)</f>
        <v>12.5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2789.88235294118</v>
      </c>
      <c r="C87" s="199"/>
      <c r="D87" s="199"/>
      <c r="E87" s="200"/>
      <c r="F87" s="67"/>
      <c r="G87" s="276" t="s">
        <v>115</v>
      </c>
      <c r="H87" s="277" t="n">
        <f aca="false">SUM(J70:J86)</f>
        <v>5744.78</v>
      </c>
      <c r="I87" s="199"/>
      <c r="J87" s="199"/>
      <c r="K87" s="200"/>
      <c r="L87" s="67"/>
      <c r="M87" s="276" t="s">
        <v>115</v>
      </c>
      <c r="N87" s="277" t="n">
        <f aca="false">SUM(P70:P86)</f>
        <v>5732.28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232.490196078431</v>
      </c>
      <c r="C88" s="199"/>
      <c r="D88" s="199"/>
      <c r="E88" s="200"/>
      <c r="F88" s="67"/>
      <c r="G88" s="198" t="s">
        <v>116</v>
      </c>
      <c r="H88" s="37" t="n">
        <f aca="false">H87/H29</f>
        <v>478.731666666667</v>
      </c>
      <c r="I88" s="199"/>
      <c r="J88" s="199"/>
      <c r="K88" s="200"/>
      <c r="L88" s="67"/>
      <c r="M88" s="198" t="s">
        <v>116</v>
      </c>
      <c r="N88" s="37" t="n">
        <f aca="false">N87/H29</f>
        <v>477.69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8801.88235294118</v>
      </c>
      <c r="C91" s="199"/>
      <c r="D91" s="199"/>
      <c r="E91" s="200"/>
      <c r="F91" s="67"/>
      <c r="G91" s="265" t="s">
        <v>127</v>
      </c>
      <c r="H91" s="31" t="n">
        <f aca="false">((H89*H29)+H87)*1.2</f>
        <v>14108.136</v>
      </c>
      <c r="I91" s="199"/>
      <c r="J91" s="199"/>
      <c r="K91" s="200"/>
      <c r="L91" s="67"/>
      <c r="M91" s="265" t="s">
        <v>127</v>
      </c>
      <c r="N91" s="31" t="n">
        <f aca="false">((N89*H29)+N87)</f>
        <v>11744.28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76.5767094128031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99.5935377168213</v>
      </c>
      <c r="I92" s="199"/>
      <c r="J92" s="199"/>
      <c r="K92" s="200"/>
      <c r="L92" s="67"/>
      <c r="M92" s="198" t="s">
        <v>128</v>
      </c>
      <c r="N92" s="37" t="n">
        <f aca="false">(N91/(1-N76))*N76</f>
        <v>99.4876482452602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8878.45906235398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16207.7295377168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13843.7676482453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739.871588529498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739.871588529498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352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739.871588529498</v>
      </c>
      <c r="B134" s="290" t="n">
        <f aca="false">IF(A111="YES",B95,0)</f>
        <v>0</v>
      </c>
      <c r="C134" s="295"/>
      <c r="D134" s="290" t="n">
        <f aca="false">B97</f>
        <v>739.871588529498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739.871588529498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739.871588529498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739.871588529498</v>
      </c>
      <c r="B143" s="42" t="n">
        <f aca="false">IF(A111="YES",B95,0)</f>
        <v>0</v>
      </c>
      <c r="C143" s="199"/>
      <c r="D143" s="42" t="n">
        <f aca="false">B97</f>
        <v>739.871588529498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155.85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155.85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22.4424</v>
      </c>
      <c r="B146" s="309" t="n">
        <f aca="false">G18*0.000002*100</f>
        <v>7.4808</v>
      </c>
      <c r="C146" s="310"/>
      <c r="D146" s="309" t="n">
        <f aca="false">A146+B146</f>
        <v>29.9232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0</v>
      </c>
      <c r="H148" s="42" t="n">
        <f aca="false">G108-100</f>
        <v>139.988</v>
      </c>
      <c r="I148" s="42"/>
      <c r="J148" s="42" t="n">
        <f aca="false">(H145+J145+G148+H148)-H151</f>
        <v>1375.838</v>
      </c>
      <c r="K148" s="107"/>
      <c r="L148" s="67"/>
      <c r="M148" s="113" t="n">
        <f aca="false">IF(M111="YES",((A41*N111)*0.1)*(M133),0)</f>
        <v>0</v>
      </c>
      <c r="N148" s="42" t="n">
        <f aca="false">M108-100</f>
        <v>99.99</v>
      </c>
      <c r="O148" s="42"/>
      <c r="P148" s="42" t="n">
        <f aca="false">(N145+P145+M148+N148)-N151</f>
        <v>1335.84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739.871588529498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739.871588529498</v>
      </c>
      <c r="B177" s="290" t="n">
        <f aca="false">IF(A111="YES",B95,0)</f>
        <v>0</v>
      </c>
      <c r="C177" s="295"/>
      <c r="D177" s="290" t="n">
        <f aca="false">B91</f>
        <v>8801.88235294118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739.871588529498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739.871588529498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739.871588529498</v>
      </c>
      <c r="B186" s="42" t="n">
        <f aca="false">IF(A111="YES",B95,0)</f>
        <v>0</v>
      </c>
      <c r="C186" s="199"/>
      <c r="D186" s="42" t="n">
        <f aca="false">B97</f>
        <v>739.871588529498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22.4424</v>
      </c>
      <c r="B189" s="309" t="n">
        <f aca="false">G18*0.000002*100</f>
        <v>7.4808</v>
      </c>
      <c r="C189" s="310"/>
      <c r="D189" s="309" t="n">
        <f aca="false">A189+B189</f>
        <v>29.9232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1470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1730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1470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1730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76.5767094128031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B65 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37404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0</v>
      </c>
      <c r="B41" s="224" t="str">
        <f aca="false">IF(B38="YES",D38+A41,D38)</f>
        <v>500</v>
      </c>
      <c r="C41" s="224"/>
      <c r="D41" s="228" t="n">
        <v>6000</v>
      </c>
      <c r="E41" s="228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I44" s="336" t="n">
        <f aca="false">((A41*(B35-1))+D32)/B35</f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21000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v>37404</v>
      </c>
      <c r="C67" s="199"/>
      <c r="D67" s="199"/>
      <c r="E67" s="200"/>
      <c r="F67" s="67"/>
      <c r="G67" s="198" t="s">
        <v>27</v>
      </c>
      <c r="H67" s="36" t="n">
        <f aca="false">G18</f>
        <v>37404</v>
      </c>
      <c r="I67" s="199"/>
      <c r="J67" s="199"/>
      <c r="K67" s="200"/>
      <c r="L67" s="67"/>
      <c r="M67" s="198" t="s">
        <v>27</v>
      </c>
      <c r="N67" s="36" t="n">
        <f aca="false">G18</f>
        <v>37404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1470</v>
      </c>
      <c r="C70" s="199" t="n">
        <v>10000</v>
      </c>
      <c r="D70" s="36" t="n">
        <f aca="false">B70-A149</f>
        <v>1470</v>
      </c>
      <c r="E70" s="200" t="n">
        <f aca="false">D70/12</f>
        <v>122.5</v>
      </c>
      <c r="F70" s="67"/>
      <c r="G70" s="262" t="s">
        <v>103</v>
      </c>
      <c r="H70" s="69" t="n">
        <f aca="false">H67*H69</f>
        <v>2618.28</v>
      </c>
      <c r="I70" s="199"/>
      <c r="J70" s="36" t="n">
        <f aca="false">H70-G151</f>
        <v>2618.28</v>
      </c>
      <c r="K70" s="200"/>
      <c r="L70" s="67"/>
      <c r="M70" s="262" t="s">
        <v>103</v>
      </c>
      <c r="N70" s="69" t="n">
        <f aca="false">N67*N69</f>
        <v>2618.28</v>
      </c>
      <c r="O70" s="199"/>
      <c r="P70" s="36" t="n">
        <f aca="false">N70-M151</f>
        <v>2618.28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187.02</v>
      </c>
      <c r="I73" s="199"/>
      <c r="J73" s="36"/>
      <c r="K73" s="200"/>
      <c r="L73" s="67"/>
      <c r="M73" s="262" t="s">
        <v>106</v>
      </c>
      <c r="N73" s="69" t="n">
        <f aca="false">N67*N72</f>
        <v>187.02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180</v>
      </c>
      <c r="C80" s="199"/>
      <c r="D80" s="199"/>
      <c r="E80" s="333" t="n">
        <f aca="false">E79+D82</f>
        <v>809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67.4166666666667</v>
      </c>
      <c r="F81" s="67"/>
      <c r="G81" s="272" t="s">
        <v>290</v>
      </c>
      <c r="H81" s="81" t="n">
        <f aca="false">IF(G18&gt;40000,325,0)</f>
        <v>0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195</v>
      </c>
      <c r="C82" s="199"/>
      <c r="D82" s="36" t="n">
        <f aca="false">IF(A50="YES",0,B82)</f>
        <v>195</v>
      </c>
      <c r="E82" s="200"/>
      <c r="F82" s="67"/>
      <c r="G82" s="262" t="s">
        <v>291</v>
      </c>
      <c r="H82" s="69" t="n">
        <f aca="false">((H80+H81)/12)*(H29-11)</f>
        <v>12.5</v>
      </c>
      <c r="I82" s="199"/>
      <c r="J82" s="36" t="n">
        <f aca="false">IF(A50="YES",0,H82)</f>
        <v>12.5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2984.88235294118</v>
      </c>
      <c r="C87" s="199"/>
      <c r="D87" s="199"/>
      <c r="E87" s="200"/>
      <c r="F87" s="67"/>
      <c r="G87" s="276" t="s">
        <v>115</v>
      </c>
      <c r="H87" s="277" t="n">
        <f aca="false">SUM(J70:J86)</f>
        <v>5744.78</v>
      </c>
      <c r="I87" s="199"/>
      <c r="J87" s="199"/>
      <c r="K87" s="200"/>
      <c r="L87" s="67"/>
      <c r="M87" s="276" t="s">
        <v>115</v>
      </c>
      <c r="N87" s="277" t="n">
        <f aca="false">SUM(P70:P86)</f>
        <v>5732.28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248.740196078431</v>
      </c>
      <c r="C88" s="199"/>
      <c r="D88" s="199"/>
      <c r="E88" s="200"/>
      <c r="F88" s="67"/>
      <c r="G88" s="198" t="s">
        <v>116</v>
      </c>
      <c r="H88" s="37" t="n">
        <f aca="false">H87/H29</f>
        <v>478.731666666667</v>
      </c>
      <c r="I88" s="199"/>
      <c r="J88" s="199"/>
      <c r="K88" s="200"/>
      <c r="L88" s="67"/>
      <c r="M88" s="198" t="s">
        <v>116</v>
      </c>
      <c r="N88" s="37" t="n">
        <f aca="false">N87/H29</f>
        <v>477.69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((B89*H29)+B87)*1.2</f>
        <v>10796.2588235294</v>
      </c>
      <c r="C91" s="199"/>
      <c r="D91" s="199"/>
      <c r="E91" s="200"/>
      <c r="F91" s="67"/>
      <c r="G91" s="265" t="s">
        <v>127</v>
      </c>
      <c r="H91" s="31" t="n">
        <f aca="false">((H89*H29)+H87)*1.2</f>
        <v>14108.136</v>
      </c>
      <c r="I91" s="199"/>
      <c r="J91" s="199"/>
      <c r="K91" s="200"/>
      <c r="L91" s="67"/>
      <c r="M91" s="265" t="s">
        <v>127</v>
      </c>
      <c r="N91" s="31" t="n">
        <f aca="false">((N89*H29)+N87)</f>
        <v>11744.28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78.2732167889221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99.5935377168213</v>
      </c>
      <c r="I92" s="199"/>
      <c r="J92" s="199"/>
      <c r="K92" s="200"/>
      <c r="L92" s="67"/>
      <c r="M92" s="198" t="s">
        <v>128</v>
      </c>
      <c r="N92" s="37" t="n">
        <f aca="false">(N91/(1-N76))*N76</f>
        <v>99.4876482452602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10874.5320403183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16207.7295377168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13843.7676482453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IF(B105=Z104,(((H44*B35)+(H44*B35)*(B111/100))/(B64)),(((H44*B35)+(H44*B35)*(B111/100))/(B63+B64)))*1.2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906.211003359861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906.211003359861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294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239.99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239.99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906.211003359861</v>
      </c>
      <c r="B134" s="290" t="n">
        <f aca="false">IF(A111="YES",B95,0)</f>
        <v>0</v>
      </c>
      <c r="C134" s="295"/>
      <c r="D134" s="290" t="n">
        <f aca="false">B97</f>
        <v>906.211003359861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906.211003359861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906.211003359861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906.211003359861</v>
      </c>
      <c r="B143" s="42" t="n">
        <f aca="false">IF(A111="YES",B95,0)</f>
        <v>0</v>
      </c>
      <c r="C143" s="199"/>
      <c r="D143" s="42" t="n">
        <f aca="false">B97</f>
        <v>906.211003359861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155.85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155.85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(G18*0.000006)*1.2*100</f>
        <v>26.93088</v>
      </c>
      <c r="B146" s="309" t="n">
        <f aca="false">G18*0.000002*1.2*100</f>
        <v>8.97696</v>
      </c>
      <c r="C146" s="310"/>
      <c r="D146" s="309" t="n">
        <f aca="false">A146+B146</f>
        <v>35.90784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0</v>
      </c>
      <c r="H148" s="42" t="n">
        <f aca="false">G108-100</f>
        <v>139.988</v>
      </c>
      <c r="I148" s="42"/>
      <c r="J148" s="42" t="n">
        <f aca="false">(H145+J145+G148+H148)-H151</f>
        <v>1375.838</v>
      </c>
      <c r="K148" s="107"/>
      <c r="L148" s="67"/>
      <c r="M148" s="113" t="n">
        <f aca="false">IF(M111="YES",((A41*N111)*0.1)*(M133),0)</f>
        <v>0</v>
      </c>
      <c r="N148" s="42" t="n">
        <f aca="false">M108-100</f>
        <v>99.99</v>
      </c>
      <c r="O148" s="42"/>
      <c r="P148" s="42" t="n">
        <f aca="false">(N145+P145+M148+N148)-N151</f>
        <v>1335.84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239.99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906.211003359861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906.211003359861</v>
      </c>
      <c r="B177" s="290" t="n">
        <f aca="false">IF(A111="YES",B95,0)</f>
        <v>0</v>
      </c>
      <c r="C177" s="295"/>
      <c r="D177" s="290" t="n">
        <f aca="false">B91</f>
        <v>10796.2588235294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906.211003359861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906.211003359861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906.211003359861</v>
      </c>
      <c r="B186" s="42" t="n">
        <f aca="false">IF(A111="YES",B95,0)</f>
        <v>0</v>
      </c>
      <c r="C186" s="199"/>
      <c r="D186" s="42" t="n">
        <f aca="false">B97</f>
        <v>906.211003359861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26.93088</v>
      </c>
      <c r="B189" s="309" t="n">
        <f aca="false">G18*0.000002*1.2*100</f>
        <v>8.97696</v>
      </c>
      <c r="C189" s="310"/>
      <c r="D189" s="309" t="n">
        <f aca="false">A189+B189</f>
        <v>35.90784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239.99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1470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1730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1470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1730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78.2732167889221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60000</v>
      </c>
      <c r="C2" s="9" t="s">
        <v>16</v>
      </c>
      <c r="D2" s="10" t="n">
        <f aca="false">C9</f>
        <v>12000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72000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60000</v>
      </c>
      <c r="C9" s="14" t="n">
        <f aca="false">B9*0.2</f>
        <v>12000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60000</v>
      </c>
      <c r="C15" s="14" t="n">
        <f aca="false">SUM(C9:C13)</f>
        <v>12000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36" t="n">
        <v>37404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72000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60000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0.00</v>
      </c>
      <c r="E32" s="211"/>
      <c r="F32" s="67"/>
      <c r="G32" s="212" t="s">
        <v>254</v>
      </c>
      <c r="H32" s="210" t="str">
        <f aca="false">A41</f>
        <v>0.00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92</v>
      </c>
      <c r="B41" s="224" t="n">
        <f aca="false">IF(B38="YES",D38+A41,D38)</f>
        <v>500</v>
      </c>
      <c r="C41" s="224"/>
      <c r="D41" s="228" t="n">
        <v>6000</v>
      </c>
      <c r="E41" s="228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str">
        <f aca="false">H32</f>
        <v>0.00</v>
      </c>
      <c r="I44" s="336" t="n">
        <f aca="false">((A41*(B35-1))+D32)/B35</f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286</v>
      </c>
      <c r="B66" s="199" t="n">
        <f aca="false">E19</f>
        <v>72000</v>
      </c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v>37404</v>
      </c>
      <c r="C67" s="199"/>
      <c r="D67" s="199"/>
      <c r="E67" s="200"/>
      <c r="F67" s="67"/>
      <c r="G67" s="198" t="s">
        <v>27</v>
      </c>
      <c r="H67" s="36" t="n">
        <f aca="false">G18</f>
        <v>37404</v>
      </c>
      <c r="I67" s="199"/>
      <c r="J67" s="199"/>
      <c r="K67" s="200"/>
      <c r="L67" s="67"/>
      <c r="M67" s="198" t="s">
        <v>27</v>
      </c>
      <c r="N67" s="36" t="n">
        <f aca="false">G18</f>
        <v>37404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B66*B69</f>
        <v>5040</v>
      </c>
      <c r="C70" s="199" t="n">
        <v>10000</v>
      </c>
      <c r="D70" s="36" t="n">
        <f aca="false">B70-A149</f>
        <v>5040</v>
      </c>
      <c r="E70" s="200" t="n">
        <f aca="false">D70/12</f>
        <v>420</v>
      </c>
      <c r="F70" s="67"/>
      <c r="G70" s="262" t="s">
        <v>103</v>
      </c>
      <c r="H70" s="69" t="n">
        <f aca="false">H67*H69</f>
        <v>2618.28</v>
      </c>
      <c r="I70" s="199"/>
      <c r="J70" s="36" t="n">
        <f aca="false">H70-G151</f>
        <v>2618.28</v>
      </c>
      <c r="K70" s="200"/>
      <c r="L70" s="67"/>
      <c r="M70" s="262" t="s">
        <v>103</v>
      </c>
      <c r="N70" s="69" t="n">
        <f aca="false">N67*N69</f>
        <v>2618.28</v>
      </c>
      <c r="O70" s="199"/>
      <c r="P70" s="36" t="n">
        <f aca="false">N70-M151</f>
        <v>2618.28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187.02</v>
      </c>
      <c r="I73" s="199"/>
      <c r="J73" s="36"/>
      <c r="K73" s="200"/>
      <c r="L73" s="67"/>
      <c r="M73" s="262" t="s">
        <v>106</v>
      </c>
      <c r="N73" s="69" t="n">
        <f aca="false">N67*N72</f>
        <v>187.02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180</v>
      </c>
      <c r="C80" s="199"/>
      <c r="D80" s="199"/>
      <c r="E80" s="333" t="n">
        <f aca="false">E79+D82</f>
        <v>809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67.4166666666667</v>
      </c>
      <c r="F81" s="67"/>
      <c r="G81" s="272" t="s">
        <v>290</v>
      </c>
      <c r="H81" s="81" t="n">
        <f aca="false">IF(G18&gt;40000,325,0)</f>
        <v>0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((B80+B81)/12)*(H29+1)</f>
        <v>195</v>
      </c>
      <c r="C82" s="199"/>
      <c r="D82" s="36" t="n">
        <f aca="false">IF(A50="YES",0,B82)</f>
        <v>195</v>
      </c>
      <c r="E82" s="200"/>
      <c r="F82" s="67"/>
      <c r="G82" s="262" t="s">
        <v>291</v>
      </c>
      <c r="H82" s="69" t="n">
        <f aca="false">((H80+H81)/12)*(H29-11)</f>
        <v>12.5</v>
      </c>
      <c r="I82" s="199"/>
      <c r="J82" s="36" t="n">
        <f aca="false">IF(A50="YES",0,H82)</f>
        <v>12.5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6554.88235294118</v>
      </c>
      <c r="C87" s="199"/>
      <c r="D87" s="199"/>
      <c r="E87" s="200"/>
      <c r="F87" s="67"/>
      <c r="G87" s="276" t="s">
        <v>115</v>
      </c>
      <c r="H87" s="277" t="n">
        <f aca="false">SUM(J70:J86)</f>
        <v>5744.78</v>
      </c>
      <c r="I87" s="199"/>
      <c r="J87" s="199"/>
      <c r="K87" s="200"/>
      <c r="L87" s="67"/>
      <c r="M87" s="276" t="s">
        <v>115</v>
      </c>
      <c r="N87" s="277" t="n">
        <f aca="false">SUM(P70:P86)</f>
        <v>5732.28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546.240196078432</v>
      </c>
      <c r="C88" s="199"/>
      <c r="D88" s="199"/>
      <c r="E88" s="200"/>
      <c r="F88" s="67"/>
      <c r="G88" s="198" t="s">
        <v>116</v>
      </c>
      <c r="H88" s="37" t="n">
        <f aca="false">H87/H29</f>
        <v>478.731666666667</v>
      </c>
      <c r="I88" s="199"/>
      <c r="J88" s="199"/>
      <c r="K88" s="200"/>
      <c r="L88" s="67"/>
      <c r="M88" s="198" t="s">
        <v>116</v>
      </c>
      <c r="N88" s="37" t="n">
        <f aca="false">N87/H29</f>
        <v>477.69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12566.8823529412</v>
      </c>
      <c r="C91" s="199"/>
      <c r="D91" s="199"/>
      <c r="E91" s="200"/>
      <c r="F91" s="67"/>
      <c r="G91" s="265" t="s">
        <v>127</v>
      </c>
      <c r="H91" s="31" t="n">
        <f aca="false">((H89*H29)+H87)*1.2</f>
        <v>14108.136</v>
      </c>
      <c r="I91" s="199"/>
      <c r="J91" s="199"/>
      <c r="K91" s="200"/>
      <c r="L91" s="67"/>
      <c r="M91" s="265" t="s">
        <v>127</v>
      </c>
      <c r="N91" s="31" t="n">
        <f aca="false">((N89*H29)+N87)</f>
        <v>11744.28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109.33235182864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99.5935377168213</v>
      </c>
      <c r="I92" s="199"/>
      <c r="J92" s="199"/>
      <c r="K92" s="200"/>
      <c r="L92" s="67"/>
      <c r="M92" s="198" t="s">
        <v>128</v>
      </c>
      <c r="N92" s="37" t="n">
        <f aca="false">(N91/(1-N76))*N76</f>
        <v>99.4876482452602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12676.2147047698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16207.7295377168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13843.7676482453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1056.35122539748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1056.35122539748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1056.35122539748</v>
      </c>
      <c r="B134" s="290" t="n">
        <f aca="false">IF(A111="YES",B95,0)</f>
        <v>0</v>
      </c>
      <c r="C134" s="295"/>
      <c r="D134" s="290" t="n">
        <f aca="false">B97</f>
        <v>1056.35122539748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1056.35122539748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1056.35122539748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</v>
      </c>
      <c r="H142" s="42" t="n">
        <f aca="false">IF(G111="YES",E15*0.000002,0)</f>
        <v>0</v>
      </c>
      <c r="I142" s="42"/>
      <c r="J142" s="42" t="n">
        <f aca="false">G142+H142</f>
        <v>0</v>
      </c>
      <c r="K142" s="107"/>
      <c r="L142" s="67"/>
      <c r="M142" s="113" t="n">
        <f aca="false">E15*0.000006</f>
        <v>0</v>
      </c>
      <c r="N142" s="42" t="n">
        <f aca="false">IF(M111="YES",E15*0.000002,0)</f>
        <v>0</v>
      </c>
      <c r="O142" s="42"/>
      <c r="P142" s="42" t="n">
        <f aca="false">M142+N142</f>
        <v>0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1056.35122539748</v>
      </c>
      <c r="B143" s="42" t="n">
        <f aca="false">IF(A111="YES",B95,0)</f>
        <v>0</v>
      </c>
      <c r="C143" s="199"/>
      <c r="D143" s="42" t="n">
        <f aca="false">B97</f>
        <v>1056.35122539748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155.85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155.85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 t="n">
        <f aca="false">(G18*0.000006)*100</f>
        <v>22.4424</v>
      </c>
      <c r="B146" s="312" t="n">
        <f aca="false">G18*0.000002*100</f>
        <v>7.4808</v>
      </c>
      <c r="C146" s="199"/>
      <c r="D146" s="312" t="n">
        <f aca="false">A146+B146</f>
        <v>29.9232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0</v>
      </c>
      <c r="H148" s="42" t="n">
        <f aca="false">G108-100</f>
        <v>139.988</v>
      </c>
      <c r="I148" s="42"/>
      <c r="J148" s="42" t="n">
        <f aca="false">(H145+J145+G148+H148)-H151</f>
        <v>1375.838</v>
      </c>
      <c r="K148" s="107"/>
      <c r="L148" s="67"/>
      <c r="M148" s="113" t="n">
        <f aca="false">IF(M111="YES",((A41*N111)*0.1)*(M133),0)</f>
        <v>0</v>
      </c>
      <c r="N148" s="42" t="n">
        <f aca="false">M108-100</f>
        <v>99.99</v>
      </c>
      <c r="O148" s="42"/>
      <c r="P148" s="42" t="n">
        <f aca="false">(N145+P145+M148+N148)-N151</f>
        <v>1335.84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1056.35122539748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1056.35122539748</v>
      </c>
      <c r="B177" s="290" t="n">
        <f aca="false">IF(A111="YES",B95,0)</f>
        <v>0</v>
      </c>
      <c r="C177" s="295"/>
      <c r="D177" s="290" t="n">
        <f aca="false">B91</f>
        <v>12566.8823529412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1056.35122539748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1056.35122539748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1056.35122539748</v>
      </c>
      <c r="B186" s="42" t="n">
        <f aca="false">IF(A111="YES",B95,0)</f>
        <v>0</v>
      </c>
      <c r="C186" s="199"/>
      <c r="D186" s="42" t="n">
        <f aca="false">B97</f>
        <v>1056.35122539748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11" t="n">
        <f aca="false">(G18*0.000006)*100</f>
        <v>22.4424</v>
      </c>
      <c r="B189" s="312" t="n">
        <f aca="false">G18*0.000002*100</f>
        <v>7.4808</v>
      </c>
      <c r="C189" s="199"/>
      <c r="D189" s="312" t="n">
        <f aca="false">A189+B189</f>
        <v>29.9232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5040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5300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5040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5300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109.33235182864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4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33" colorId="64" zoomScale="100" zoomScaleNormal="100" zoomScalePageLayoutView="100" workbookViewId="0">
      <selection pane="topLeft" activeCell="B189" activeCellId="0" sqref="B189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102"/>
      <c r="H1" s="102"/>
      <c r="I1" s="7"/>
      <c r="J1" s="7"/>
    </row>
    <row r="2" customFormat="false" ht="19.7" hidden="false" customHeight="fals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351"/>
      <c r="H2" s="352"/>
      <c r="I2" s="7"/>
      <c r="J2" s="7"/>
    </row>
    <row r="3" customFormat="false" ht="18.75" hidden="false" customHeight="false" outlineLevel="0" collapsed="false">
      <c r="A3" s="244"/>
      <c r="B3" s="245"/>
      <c r="C3" s="245"/>
      <c r="D3" s="245"/>
      <c r="E3" s="245"/>
      <c r="F3" s="246" t="s">
        <v>10</v>
      </c>
      <c r="G3" s="353"/>
      <c r="H3" s="354"/>
      <c r="I3" s="7"/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123"/>
      <c r="H4" s="125"/>
      <c r="I4" s="7"/>
      <c r="J4" s="7"/>
    </row>
    <row r="5" customFormat="false" ht="18.75" hidden="false" customHeight="false" outlineLevel="0" collapsed="false">
      <c r="A5" s="67"/>
      <c r="B5" s="67"/>
      <c r="C5" s="67"/>
      <c r="D5" s="67"/>
      <c r="E5" s="67"/>
      <c r="F5" s="67" t="s">
        <v>10</v>
      </c>
      <c r="G5" s="353"/>
      <c r="H5" s="37"/>
      <c r="I5" s="7"/>
      <c r="J5" s="7"/>
    </row>
    <row r="6" customFormat="false" ht="18.75" hidden="false" customHeight="false" outlineLevel="0" collapsed="false">
      <c r="A6" s="67"/>
      <c r="B6" s="67"/>
      <c r="C6" s="67"/>
      <c r="D6" s="67"/>
      <c r="E6" s="67"/>
      <c r="F6" s="67"/>
      <c r="G6" s="146"/>
      <c r="H6" s="37"/>
      <c r="I6" s="7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146"/>
      <c r="H7" s="37"/>
      <c r="I7" s="7"/>
      <c r="J7" s="7"/>
    </row>
    <row r="8" customFormat="false" ht="18.75" hidden="false" customHeight="false" outlineLevel="0" collapsed="false">
      <c r="A8" s="250"/>
      <c r="B8" s="67"/>
      <c r="C8" s="67"/>
      <c r="D8" s="249"/>
      <c r="E8" s="249"/>
      <c r="F8" s="67"/>
      <c r="G8" s="36"/>
      <c r="H8" s="37"/>
      <c r="I8" s="7"/>
      <c r="J8" s="7"/>
      <c r="L8" s="18" t="s">
        <v>17</v>
      </c>
      <c r="M8" s="14" t="n">
        <f aca="false">H13+H14</f>
        <v>0</v>
      </c>
    </row>
    <row r="9" customFormat="false" ht="19.7" hidden="false" customHeight="false" outlineLevel="0" collapsed="false">
      <c r="A9" s="15" t="s">
        <v>21</v>
      </c>
      <c r="B9" s="19" t="n">
        <v>17875.0</v>
      </c>
      <c r="C9" s="14" t="n">
        <f aca="false">B9*0.2</f>
        <v>3500</v>
      </c>
      <c r="D9" s="249"/>
      <c r="E9" s="249"/>
      <c r="F9" s="67"/>
      <c r="G9" s="129"/>
      <c r="H9" s="355"/>
      <c r="I9" s="7"/>
      <c r="J9" s="7"/>
      <c r="K9" s="6" t="s">
        <v>31</v>
      </c>
      <c r="L9" s="14"/>
      <c r="M9" s="14"/>
    </row>
    <row r="10" customFormat="false" ht="18.75" hidden="false" customHeight="false" outlineLevel="0" collapsed="false">
      <c r="A10" s="251"/>
      <c r="B10" s="67"/>
      <c r="C10" s="67"/>
      <c r="D10" s="249"/>
      <c r="E10" s="249"/>
      <c r="F10" s="67"/>
      <c r="G10" s="146"/>
      <c r="H10" s="354"/>
      <c r="I10" s="7"/>
      <c r="J10" s="7"/>
      <c r="K10" s="6" t="s">
        <v>32</v>
      </c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0.0</v>
      </c>
      <c r="C11" s="19" t="n">
        <f aca="false">B11*0.2</f>
        <v>0</v>
      </c>
      <c r="D11" s="249"/>
      <c r="E11" s="249"/>
      <c r="F11" s="67"/>
      <c r="G11" s="146"/>
      <c r="H11" s="37"/>
      <c r="I11" s="7"/>
      <c r="J11" s="7"/>
      <c r="L11" s="14"/>
      <c r="M11" s="14"/>
    </row>
    <row r="12" customFormat="false" ht="18.75" hidden="false" customHeight="false" outlineLevel="0" collapsed="false">
      <c r="A12" s="251"/>
      <c r="B12" s="67"/>
      <c r="C12" s="67"/>
      <c r="D12" s="249"/>
      <c r="E12" s="249"/>
      <c r="F12" s="67"/>
      <c r="G12" s="146"/>
      <c r="H12" s="354"/>
      <c r="I12" s="7"/>
      <c r="J12" s="7"/>
    </row>
    <row r="13" customFormat="false" ht="18.75" hidden="false" customHeight="false" outlineLevel="0" collapsed="false">
      <c r="A13" s="15" t="s">
        <v>23</v>
      </c>
      <c r="B13" s="19" t="n">
        <v>0.0</v>
      </c>
      <c r="C13" s="14"/>
      <c r="D13" s="249"/>
      <c r="E13" s="249"/>
      <c r="F13" s="67"/>
      <c r="G13" s="146"/>
      <c r="H13" s="354"/>
      <c r="I13" s="7"/>
      <c r="J13" s="7"/>
    </row>
    <row r="14" customFormat="false" ht="18.75" hidden="false" customHeight="false" outlineLevel="0" collapsed="false">
      <c r="A14" s="251"/>
      <c r="B14" s="67"/>
      <c r="C14" s="67"/>
      <c r="D14" s="249"/>
      <c r="E14" s="249"/>
      <c r="F14" s="67"/>
      <c r="G14" s="146"/>
      <c r="H14" s="354"/>
      <c r="I14" s="7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146"/>
      <c r="H15" s="356"/>
      <c r="I15" s="7"/>
      <c r="J15" s="21" t="n">
        <f aca="false">H15</f>
        <v>0</v>
      </c>
    </row>
    <row r="16" customFormat="false" ht="18.75" hidden="false" customHeight="false" outlineLevel="0" collapsed="false">
      <c r="A16" s="252"/>
      <c r="B16" s="252"/>
      <c r="C16" s="252"/>
      <c r="D16" s="249"/>
      <c r="E16" s="249"/>
      <c r="F16" s="67"/>
      <c r="G16" s="146"/>
      <c r="H16" s="354"/>
      <c r="I16" s="7"/>
      <c r="J16" s="7"/>
      <c r="Y16" s="23" t="s">
        <v>26</v>
      </c>
    </row>
    <row r="17" customFormat="false" ht="18.75" hidden="false" customHeight="false" outlineLevel="0" collapsed="false">
      <c r="A17" s="252"/>
      <c r="B17" s="252"/>
      <c r="C17" s="252"/>
      <c r="D17" s="249"/>
      <c r="E17" s="249"/>
      <c r="F17" s="67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252"/>
      <c r="B18" s="252"/>
      <c r="C18" s="252"/>
      <c r="D18" s="249"/>
      <c r="E18" s="249"/>
      <c r="F18" s="67"/>
      <c r="G18" s="43"/>
      <c r="H18" s="357"/>
      <c r="I18" s="7"/>
      <c r="J18" s="21" t="n">
        <v>37405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43"/>
      <c r="H19" s="357"/>
      <c r="I19" s="7"/>
      <c r="J19" s="7"/>
      <c r="Z19" s="7" t="s">
        <v>31</v>
      </c>
    </row>
    <row r="20" customFormat="false" ht="18.75" hidden="false" customHeight="false" outlineLevel="0" collapsed="false">
      <c r="A20" s="254"/>
      <c r="B20" s="67"/>
      <c r="C20" s="67"/>
      <c r="D20" s="67"/>
      <c r="E20" s="255"/>
      <c r="F20" s="67"/>
      <c r="G20" s="43"/>
      <c r="H20" s="357"/>
      <c r="I20" s="7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358"/>
      <c r="H21" s="359"/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398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95</v>
      </c>
      <c r="K29" s="360" t="n">
        <v>36.0</v>
      </c>
    </row>
    <row r="30" customFormat="false" ht="18.75" hidden="false" customHeight="false" outlineLevel="0" collapsed="false">
      <c r="A30" s="35" t="s">
        <v>194</v>
      </c>
      <c r="B30" s="106" t="s">
        <v>399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10000.0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0.0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/>
      <c r="J32" s="33" t="s">
        <v>49</v>
      </c>
      <c r="K32" s="46" t="n">
        <v>0.0</v>
      </c>
    </row>
    <row r="33" customFormat="false" ht="34.3" hidden="false" customHeight="false" outlineLevel="0" collapsed="false">
      <c r="A33" s="167" t="n">
        <f aca="false">A52</f>
        <v>24</v>
      </c>
      <c r="B33" s="217" t="n">
        <f aca="false">B51</f>
        <v>8000</v>
      </c>
      <c r="C33" s="36"/>
      <c r="D33" s="36"/>
      <c r="E33" s="361" t="n">
        <f aca="false">K48</f>
        <v>803.503627306202</v>
      </c>
      <c r="F33" s="361"/>
      <c r="G33" s="361"/>
      <c r="H33" s="51"/>
      <c r="I33" s="7"/>
      <c r="J33" s="38" t="s">
        <v>366</v>
      </c>
      <c r="K33" s="52" t="n">
        <f aca="false">E21</f>
        <v>17500</v>
      </c>
      <c r="L33" s="6" t="n">
        <f aca="false">H21-H11+(H16*20%)</f>
        <v>0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0.07</v>
      </c>
    </row>
    <row r="36" customFormat="false" ht="18.75" hidden="false" customHeight="false" outlineLevel="0" collapsed="false">
      <c r="A36" s="171" t="n">
        <f aca="false">K47</f>
        <v>803.503627306202</v>
      </c>
      <c r="B36" s="217" t="str">
        <f aca="false">IF(B26="YES",K42,"0.00")</f>
        <v>0.00</v>
      </c>
      <c r="C36" s="217"/>
      <c r="D36" s="217"/>
      <c r="E36" s="361" t="n">
        <f aca="false">K31</f>
        <v>0</v>
      </c>
      <c r="F36" s="361"/>
      <c r="G36" s="361"/>
      <c r="H36" s="51"/>
      <c r="I36" s="7"/>
      <c r="J36" s="7" t="s">
        <v>63</v>
      </c>
      <c r="K36" s="7" t="n">
        <f aca="false">K29</f>
        <v>24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17500</v>
      </c>
      <c r="L39" s="7" t="n">
        <f aca="false">(L47*K46)+K44</f>
        <v>17423.692344658</v>
      </c>
      <c r="N39" s="6" t="n">
        <f aca="false">K39-L39</f>
        <v>76.3076553420069</v>
      </c>
    </row>
    <row r="40" customFormat="false" ht="18.75" hidden="false" customHeight="false" outlineLevel="0" collapsed="false">
      <c r="A40" s="109" t="n">
        <f aca="false">E36*A45/100</f>
        <v>0</v>
      </c>
      <c r="B40" s="109" t="str">
        <f aca="false">IF(B26="YES",K42,"0.00")</f>
        <v>0.00</v>
      </c>
      <c r="C40" s="109"/>
      <c r="D40" s="109"/>
      <c r="E40" s="170" t="n">
        <f aca="false">K32</f>
        <v>0</v>
      </c>
      <c r="F40" s="47"/>
      <c r="G40" s="47"/>
      <c r="H40" s="51"/>
      <c r="J40" s="7" t="s">
        <v>119</v>
      </c>
      <c r="K40" s="7" t="n">
        <f aca="false">(A40)/1.2</f>
        <v>0</v>
      </c>
      <c r="L40" s="7" t="n">
        <f aca="false">K39-L39</f>
        <v>76.3076553420069</v>
      </c>
      <c r="N40" s="6" t="n">
        <f aca="false">N38-N39</f>
        <v>2835.37234465799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0.00791666666666667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(K32/K36)*C45/100</f>
        <v>0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0</v>
      </c>
      <c r="L44" s="7"/>
    </row>
    <row r="45" customFormat="false" ht="18.75" hidden="false" customHeight="false" outlineLevel="0" collapsed="false">
      <c r="A45" s="65" t="n">
        <v>100.0</v>
      </c>
      <c r="B45" s="36"/>
      <c r="C45" s="66" t="n">
        <v>100.0</v>
      </c>
      <c r="D45" s="66"/>
      <c r="E45" s="66"/>
      <c r="F45" s="36"/>
      <c r="G45" s="36"/>
      <c r="H45" s="37"/>
      <c r="J45" s="7" t="s">
        <v>377</v>
      </c>
      <c r="K45" s="7" t="n">
        <f aca="false">(K39-K44)</f>
        <v>17500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21.7796154308225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803.503627306202</v>
      </c>
      <c r="L47" s="7" t="n">
        <f aca="false">L49-K42</f>
        <v>800</v>
      </c>
      <c r="M47" s="6" t="n">
        <f aca="false">K47-L47</f>
        <v>3.50362730620191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803.503627306202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8000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24</v>
      </c>
      <c r="B52" s="78" t="n">
        <f aca="false">K48</f>
        <v>803.503627306202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23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23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23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23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25.0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37405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37405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37405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37405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0.0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0.0105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0.0105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0.07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7669.80642597987</v>
      </c>
      <c r="C65" s="36"/>
      <c r="D65" s="36"/>
      <c r="E65" s="27"/>
      <c r="F65" s="27"/>
      <c r="G65" s="27"/>
      <c r="H65" s="37"/>
      <c r="J65" s="60" t="s">
        <v>103</v>
      </c>
      <c r="K65" s="69" t="e">
        <f aca="false">(K89*K59)-(K47*K29)</f>
        <v>#VALUE!</v>
      </c>
      <c r="L65" s="36"/>
      <c r="M65" s="36"/>
      <c r="N65" s="27"/>
      <c r="O65" s="27"/>
      <c r="P65" s="27"/>
      <c r="Q65" s="37"/>
      <c r="S65" s="60" t="s">
        <v>103</v>
      </c>
      <c r="T65" s="69" t="e">
        <f aca="false">(T89*T59)-(K47*K29)</f>
        <v>#VALUE!</v>
      </c>
      <c r="U65" s="36"/>
      <c r="V65" s="36"/>
      <c r="W65" s="27"/>
      <c r="X65" s="27"/>
      <c r="Y65" s="27"/>
      <c r="Z65" s="37"/>
      <c r="AB65" s="60" t="s">
        <v>103</v>
      </c>
      <c r="AC65" s="69" t="e">
        <f aca="false">(AC89*AC59)-(K47*K29)</f>
        <v>#VALUE!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0.01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0.015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0.0625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0.0075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0.0075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343.79994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2337.8125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280.5375</v>
      </c>
      <c r="U68" s="36"/>
      <c r="V68" s="36"/>
      <c r="W68" s="27"/>
      <c r="X68" s="27"/>
      <c r="Y68" s="27"/>
      <c r="Z68" s="37"/>
      <c r="AB68" s="60" t="s">
        <v>106</v>
      </c>
      <c r="AC68" s="69" t="e">
        <f aca="false">AH158*AC67</f>
        <v>#VALUE!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B73*K29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36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803.503627306202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803.503627306202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803.503627306202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803.503627306202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22919.996</v>
      </c>
      <c r="C81" s="36"/>
      <c r="D81" s="36"/>
      <c r="E81" s="27"/>
      <c r="F81" s="29" t="s">
        <v>118</v>
      </c>
      <c r="G81" s="31" t="n">
        <f aca="false">G158</f>
        <v>22919.996</v>
      </c>
      <c r="H81" s="37"/>
      <c r="J81" s="29" t="s">
        <v>118</v>
      </c>
      <c r="K81" s="31" t="e">
        <f aca="false">P158</f>
        <v>#VALUE!</v>
      </c>
      <c r="L81" s="36"/>
      <c r="M81" s="36"/>
      <c r="N81" s="27"/>
      <c r="O81" s="27"/>
      <c r="P81" s="27"/>
      <c r="Q81" s="37"/>
      <c r="S81" s="29" t="s">
        <v>118</v>
      </c>
      <c r="T81" s="31" t="e">
        <f aca="false">Y158</f>
        <v>#VALUE!</v>
      </c>
      <c r="U81" s="36"/>
      <c r="V81" s="36"/>
      <c r="W81" s="27"/>
      <c r="X81" s="27"/>
      <c r="Y81" s="27"/>
      <c r="Z81" s="37"/>
      <c r="AB81" s="29" t="s">
        <v>118</v>
      </c>
      <c r="AC81" s="31" t="e">
        <f aca="false">AH158</f>
        <v>#VALUE!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0</v>
      </c>
      <c r="C82" s="36"/>
      <c r="D82" s="36"/>
      <c r="E82" s="27"/>
      <c r="F82" s="35" t="s">
        <v>119</v>
      </c>
      <c r="G82" s="37" t="n">
        <f aca="false">IF(A111="YES",A40,0)</f>
        <v>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0.1675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0.1415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0.1415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0.0139583333333333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0.0117916666666667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0.0117916666666667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B59</f>
        <v>23</v>
      </c>
      <c r="C85" s="36"/>
      <c r="D85" s="36"/>
      <c r="E85" s="27"/>
      <c r="F85" s="35" t="s">
        <v>122</v>
      </c>
      <c r="G85" s="37" t="n">
        <f aca="false">B85</f>
        <v>23</v>
      </c>
      <c r="H85" s="37"/>
      <c r="J85" s="35" t="s">
        <v>122</v>
      </c>
      <c r="K85" s="37" t="n">
        <f aca="false">IF(K82=0,(K59+K58),(K59))</f>
        <v>24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23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23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0</v>
      </c>
      <c r="C86" s="36"/>
      <c r="D86" s="36"/>
      <c r="E86" s="27"/>
      <c r="F86" s="35" t="s">
        <v>123</v>
      </c>
      <c r="G86" s="37" t="n">
        <f aca="false">(G82/((1+G84)^(G85+1)))</f>
        <v>0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0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19.5578389580403</v>
      </c>
      <c r="C87" s="36"/>
      <c r="D87" s="36"/>
      <c r="E87" s="27"/>
      <c r="F87" s="35" t="s">
        <v>124</v>
      </c>
      <c r="G87" s="37" t="n">
        <f aca="false">((1-(1/((1+G84)^G85)))/G84)</f>
        <v>20.9520373863165</v>
      </c>
      <c r="H87" s="37"/>
      <c r="J87" s="35" t="s">
        <v>124</v>
      </c>
      <c r="K87" s="37" t="n">
        <f aca="false">((1-(1/((1+K84)^K85)))/K84)</f>
        <v>18.9139256030578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20.0422673930129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20.0422673930129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22919.996</v>
      </c>
      <c r="C88" s="36"/>
      <c r="D88" s="36"/>
      <c r="E88" s="27"/>
      <c r="F88" s="35" t="s">
        <v>125</v>
      </c>
      <c r="G88" s="37" t="n">
        <f aca="false">G81-G86</f>
        <v>22919.996</v>
      </c>
      <c r="H88" s="37"/>
      <c r="J88" s="35" t="s">
        <v>125</v>
      </c>
      <c r="K88" s="37" t="e">
        <f aca="false">K81-K86</f>
        <v>#VALUE!</v>
      </c>
      <c r="L88" s="36"/>
      <c r="M88" s="36"/>
      <c r="N88" s="27"/>
      <c r="O88" s="27"/>
      <c r="P88" s="27"/>
      <c r="Q88" s="37"/>
      <c r="S88" s="35" t="s">
        <v>125</v>
      </c>
      <c r="T88" s="37" t="e">
        <f aca="false">T81-T86</f>
        <v>#VALUE!</v>
      </c>
      <c r="U88" s="36"/>
      <c r="V88" s="36"/>
      <c r="W88" s="27"/>
      <c r="X88" s="27"/>
      <c r="Y88" s="27"/>
      <c r="Z88" s="37"/>
      <c r="AB88" s="35" t="s">
        <v>125</v>
      </c>
      <c r="AC88" s="37" t="e">
        <f aca="false">AC81-AC86</f>
        <v>#VALUE!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1171.90841223168</v>
      </c>
      <c r="C89" s="36"/>
      <c r="D89" s="36"/>
      <c r="E89" s="27"/>
      <c r="F89" s="35" t="s">
        <v>126</v>
      </c>
      <c r="G89" s="37" t="n">
        <f aca="false">(G88/G87)</f>
        <v>1093.92683763388</v>
      </c>
      <c r="H89" s="37"/>
      <c r="J89" s="35" t="s">
        <v>126</v>
      </c>
      <c r="K89" s="37" t="e">
        <f aca="false">(K88/K87)</f>
        <v>#VALUE!</v>
      </c>
      <c r="L89" s="36"/>
      <c r="M89" s="36"/>
      <c r="N89" s="27"/>
      <c r="O89" s="27"/>
      <c r="P89" s="27"/>
      <c r="Q89" s="37"/>
      <c r="S89" s="35" t="s">
        <v>126</v>
      </c>
      <c r="T89" s="37" t="e">
        <f aca="false">(T88/T87)</f>
        <v>#VALUE!</v>
      </c>
      <c r="U89" s="36"/>
      <c r="V89" s="36"/>
      <c r="W89" s="27"/>
      <c r="X89" s="27"/>
      <c r="Y89" s="27"/>
      <c r="Z89" s="37"/>
      <c r="AB89" s="35" t="s">
        <v>126</v>
      </c>
      <c r="AC89" s="37" t="e">
        <f aca="false">(AC88/AC87)</f>
        <v>#VALUE!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26953.8934813287</v>
      </c>
      <c r="C90" s="36"/>
      <c r="D90" s="36"/>
      <c r="E90" s="27"/>
      <c r="F90" s="35" t="s">
        <v>127</v>
      </c>
      <c r="G90" s="37" t="n">
        <f aca="false">((G89*(G85))+G77)</f>
        <v>25160.3172655792</v>
      </c>
      <c r="H90" s="37"/>
      <c r="J90" s="35" t="s">
        <v>127</v>
      </c>
      <c r="K90" s="37" t="e">
        <f aca="false">((K89*(K85))+K77)</f>
        <v>#VALUE!</v>
      </c>
      <c r="L90" s="36"/>
      <c r="M90" s="36"/>
      <c r="N90" s="27"/>
      <c r="O90" s="27"/>
      <c r="P90" s="27"/>
      <c r="Q90" s="37"/>
      <c r="S90" s="35" t="s">
        <v>127</v>
      </c>
      <c r="T90" s="37" t="e">
        <f aca="false">(T89*(T85))+T77</f>
        <v>#VALUE!</v>
      </c>
      <c r="U90" s="36"/>
      <c r="V90" s="36"/>
      <c r="W90" s="27"/>
      <c r="X90" s="27"/>
      <c r="Y90" s="27"/>
      <c r="Z90" s="37"/>
      <c r="AB90" s="35" t="s">
        <v>127</v>
      </c>
      <c r="AC90" s="37" t="e">
        <f aca="false">(AC89*(AC59))+AC77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e">
        <f aca="false">(K90/(1-K71))*K71</f>
        <v>#VALUE!</v>
      </c>
      <c r="L91" s="36"/>
      <c r="M91" s="36"/>
      <c r="N91" s="27"/>
      <c r="O91" s="27"/>
      <c r="P91" s="27"/>
      <c r="Q91" s="37"/>
      <c r="S91" s="35" t="s">
        <v>128</v>
      </c>
      <c r="T91" s="37" t="e">
        <f aca="false">(T90/(1-T71))*T71</f>
        <v>#VALUE!</v>
      </c>
      <c r="U91" s="36"/>
      <c r="V91" s="36"/>
      <c r="W91" s="27"/>
      <c r="X91" s="27"/>
      <c r="Y91" s="27"/>
      <c r="Z91" s="37"/>
      <c r="AB91" s="35" t="s">
        <v>128</v>
      </c>
      <c r="AC91" s="37" t="e">
        <f aca="false">(AC90/(1-AC71))*AC71</f>
        <v>#VALUE!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26953.8934813287</v>
      </c>
      <c r="C92" s="36"/>
      <c r="D92" s="36"/>
      <c r="E92" s="27"/>
      <c r="F92" s="60" t="s">
        <v>129</v>
      </c>
      <c r="G92" s="69" t="n">
        <f aca="false">(G90+G91)</f>
        <v>25160.3172655792</v>
      </c>
      <c r="H92" s="37"/>
      <c r="J92" s="60" t="s">
        <v>129</v>
      </c>
      <c r="K92" s="69" t="e">
        <f aca="false">(K90+K91)</f>
        <v>#VALUE!</v>
      </c>
      <c r="L92" s="36"/>
      <c r="M92" s="36"/>
      <c r="N92" s="27"/>
      <c r="O92" s="27"/>
      <c r="P92" s="27"/>
      <c r="Q92" s="37"/>
      <c r="S92" s="60" t="s">
        <v>129</v>
      </c>
      <c r="T92" s="69" t="e">
        <f aca="false">(T90+T91)</f>
        <v>#VALUE!</v>
      </c>
      <c r="U92" s="36"/>
      <c r="V92" s="36"/>
      <c r="W92" s="27"/>
      <c r="X92" s="27"/>
      <c r="Y92" s="27"/>
      <c r="Z92" s="37"/>
      <c r="AB92" s="60" t="s">
        <v>129</v>
      </c>
      <c r="AC92" s="69" t="e">
        <f aca="false">(AC90+AC91)</f>
        <v>#VALUE!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6" t="str">
        <f aca="false">IF(B26="YES",((E40/B85)*(1+A108)*1.2*(C45/100)),"0")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  <c r="J94" s="92" t="s">
        <v>130</v>
      </c>
      <c r="K94" s="93" t="n">
        <f aca="false">((E40/K85)*(1+J108))*1.2</f>
        <v>0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0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0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(B92/B85)</f>
        <v>1171.90841223168</v>
      </c>
      <c r="C95" s="36"/>
      <c r="D95" s="36"/>
      <c r="E95" s="27"/>
      <c r="F95" s="97" t="s">
        <v>131</v>
      </c>
      <c r="G95" s="98" t="n">
        <f aca="false">G92/(G85)</f>
        <v>1093.92683763388</v>
      </c>
      <c r="H95" s="37"/>
      <c r="J95" s="97" t="s">
        <v>131</v>
      </c>
      <c r="K95" s="98" t="e">
        <f aca="false">K92/(K85)</f>
        <v>#VALUE!</v>
      </c>
      <c r="L95" s="36"/>
      <c r="M95" s="36"/>
      <c r="N95" s="27"/>
      <c r="O95" s="27"/>
      <c r="P95" s="27"/>
      <c r="Q95" s="37"/>
      <c r="S95" s="97" t="s">
        <v>131</v>
      </c>
      <c r="T95" s="98" t="e">
        <f aca="false">T92/(T85)</f>
        <v>#VALUE!</v>
      </c>
      <c r="U95" s="36"/>
      <c r="V95" s="36"/>
      <c r="W95" s="27"/>
      <c r="X95" s="27"/>
      <c r="Y95" s="27"/>
      <c r="Z95" s="37"/>
      <c r="AB95" s="97" t="s">
        <v>131</v>
      </c>
      <c r="AC95" s="98" t="e">
        <f aca="false">AC92/(AC59)</f>
        <v>#VALUE!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1171.90841223168</v>
      </c>
      <c r="C96" s="36"/>
      <c r="D96" s="36"/>
      <c r="E96" s="27"/>
      <c r="F96" s="99" t="s">
        <v>132</v>
      </c>
      <c r="G96" s="100" t="n">
        <f aca="false">G94+G95</f>
        <v>1093.92683763388</v>
      </c>
      <c r="H96" s="37"/>
      <c r="J96" s="99" t="s">
        <v>132</v>
      </c>
      <c r="K96" s="100" t="e">
        <f aca="false">(K94+K95)</f>
        <v>#VALUE!</v>
      </c>
      <c r="L96" s="36"/>
      <c r="M96" s="36"/>
      <c r="N96" s="27"/>
      <c r="O96" s="27"/>
      <c r="P96" s="27"/>
      <c r="Q96" s="37"/>
      <c r="S96" s="99" t="s">
        <v>132</v>
      </c>
      <c r="T96" s="100" t="e">
        <f aca="false">T94+T95</f>
        <v>#VALUE!</v>
      </c>
      <c r="U96" s="36"/>
      <c r="V96" s="36"/>
      <c r="W96" s="27"/>
      <c r="X96" s="27"/>
      <c r="Y96" s="27"/>
      <c r="Z96" s="37"/>
      <c r="AB96" s="99" t="s">
        <v>132</v>
      </c>
      <c r="AC96" s="100" t="e">
        <f aca="false">AC94+AC95</f>
        <v>#VALUE!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362" t="s">
        <v>398</v>
      </c>
      <c r="F105" s="362"/>
      <c r="G105" s="362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0.2</v>
      </c>
      <c r="B108" s="109" t="n">
        <v>0.0</v>
      </c>
      <c r="C108" s="109"/>
      <c r="D108" s="109" t="n">
        <v>0.0</v>
      </c>
      <c r="E108" s="110" t="n">
        <f aca="false">B83</f>
        <v>0.1675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0.1415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0.1415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200.0</v>
      </c>
      <c r="C111" s="109"/>
      <c r="D111" s="109"/>
      <c r="E111" s="109" t="n">
        <v>200.0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2000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B9</f>
        <v>17500</v>
      </c>
      <c r="C121" s="44" t="n">
        <v>19791.67</v>
      </c>
      <c r="D121" s="29" t="n">
        <f aca="false">D3</f>
        <v>0</v>
      </c>
      <c r="E121" s="44" t="n">
        <f aca="false">D121</f>
        <v>0</v>
      </c>
      <c r="F121" s="29" t="n">
        <f aca="false">B11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0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str">
        <f aca="false">F3</f>
        <v> </v>
      </c>
      <c r="P121" s="44" t="str">
        <f aca="false">O121</f>
        <v> </v>
      </c>
      <c r="Q121" s="121" t="n">
        <f aca="false">H3</f>
        <v>0</v>
      </c>
      <c r="S121" s="29" t="s">
        <v>161</v>
      </c>
      <c r="T121" s="29" t="n">
        <f aca="false">B3</f>
        <v>0</v>
      </c>
      <c r="U121" s="44" t="n">
        <f aca="false">T121</f>
        <v>0</v>
      </c>
      <c r="V121" s="29" t="n">
        <f aca="false">D3</f>
        <v>0</v>
      </c>
      <c r="W121" s="44" t="n">
        <f aca="false">V121</f>
        <v>0</v>
      </c>
      <c r="X121" s="29" t="str">
        <f aca="false">F3</f>
        <v> </v>
      </c>
      <c r="Y121" s="44" t="str">
        <f aca="false">X121</f>
        <v> </v>
      </c>
      <c r="Z121" s="121" t="n">
        <f aca="false">H3</f>
        <v>0</v>
      </c>
      <c r="AB121" s="29" t="s">
        <v>161</v>
      </c>
      <c r="AC121" s="29" t="n">
        <f aca="false">B3</f>
        <v>0</v>
      </c>
      <c r="AD121" s="44" t="n">
        <f aca="false">AC121</f>
        <v>0</v>
      </c>
      <c r="AE121" s="29" t="n">
        <f aca="false">D3</f>
        <v>0</v>
      </c>
      <c r="AF121" s="44" t="n">
        <f aca="false">AE121</f>
        <v>0</v>
      </c>
      <c r="AG121" s="29" t="str">
        <f aca="false">F3</f>
        <v> </v>
      </c>
      <c r="AH121" s="44" t="str">
        <f aca="false">AG121</f>
        <v> 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v>0</v>
      </c>
      <c r="D122" s="122" t="n">
        <v>0</v>
      </c>
      <c r="E122" s="123" t="n">
        <v>0</v>
      </c>
      <c r="F122" s="122" t="n">
        <v>0</v>
      </c>
      <c r="G122" s="363" t="n">
        <v>0</v>
      </c>
      <c r="H122" s="125"/>
      <c r="J122" s="35" t="s">
        <v>162</v>
      </c>
      <c r="K122" s="122" t="n">
        <f aca="false">B4</f>
        <v>21000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str">
        <f aca="false">F4</f>
        <v> </v>
      </c>
      <c r="P122" s="363" t="str">
        <f aca="false">O122</f>
        <v> </v>
      </c>
      <c r="Q122" s="125"/>
      <c r="S122" s="35" t="s">
        <v>162</v>
      </c>
      <c r="T122" s="122" t="n">
        <f aca="false">B4</f>
        <v>21000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str">
        <f aca="false">F4</f>
        <v> </v>
      </c>
      <c r="Y122" s="363" t="str">
        <f aca="false">X122</f>
        <v> </v>
      </c>
      <c r="Z122" s="125"/>
      <c r="AB122" s="35" t="s">
        <v>162</v>
      </c>
      <c r="AC122" s="122" t="n">
        <f aca="false">B4</f>
        <v>21000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str">
        <f aca="false">F4</f>
        <v> </v>
      </c>
      <c r="AH122" s="363" t="str">
        <f aca="false">AG122</f>
        <v> 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v>0</v>
      </c>
      <c r="D123" s="35" t="n">
        <v>0</v>
      </c>
      <c r="E123" s="44" t="n">
        <v>0</v>
      </c>
      <c r="F123" s="35" t="n"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str">
        <f aca="false">F5</f>
        <v> </v>
      </c>
      <c r="P123" s="44" t="str">
        <f aca="false">O123</f>
        <v> 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str">
        <f aca="false">F5</f>
        <v> </v>
      </c>
      <c r="Y123" s="44" t="str">
        <f aca="false">X123</f>
        <v> 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str">
        <f aca="false">F5</f>
        <v> </v>
      </c>
      <c r="AH123" s="44" t="str">
        <f aca="false">AG123</f>
        <v> 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0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e">
        <f aca="false">(O121*O122)+O123</f>
        <v>#VALUE!</v>
      </c>
      <c r="P124" s="31" t="e">
        <f aca="false">(P121*P122)+P123</f>
        <v>#VALUE!</v>
      </c>
      <c r="Q124" s="37"/>
      <c r="S124" s="35" t="s">
        <v>164</v>
      </c>
      <c r="T124" s="35" t="n">
        <f aca="false">(T121*T122)+T123</f>
        <v>0</v>
      </c>
      <c r="U124" s="31" t="n">
        <f aca="false">(U121*U122)+U123</f>
        <v>0</v>
      </c>
      <c r="V124" s="35" t="n">
        <f aca="false">(V121*V122)+V123</f>
        <v>0</v>
      </c>
      <c r="W124" s="31" t="n">
        <f aca="false">(W121*W122)+W123</f>
        <v>0</v>
      </c>
      <c r="X124" s="35" t="e">
        <f aca="false">(X121*X122)+X123</f>
        <v>#VALUE!</v>
      </c>
      <c r="Y124" s="31" t="e">
        <f aca="false">(Y121*Y122)+Y123</f>
        <v>#VALUE!</v>
      </c>
      <c r="Z124" s="37"/>
      <c r="AB124" s="35" t="s">
        <v>164</v>
      </c>
      <c r="AC124" s="35" t="n">
        <f aca="false">(AC121*AC122)+AC123</f>
        <v>0</v>
      </c>
      <c r="AD124" s="31" t="n">
        <f aca="false">(AD121*AD122)+AD123</f>
        <v>0</v>
      </c>
      <c r="AE124" s="35" t="n">
        <f aca="false">(AE121*AE122)+AE123</f>
        <v>0</v>
      </c>
      <c r="AF124" s="31" t="n">
        <f aca="false">(AF121*AF122)+AF123</f>
        <v>0</v>
      </c>
      <c r="AG124" s="35" t="e">
        <f aca="false">(AG121*AG122)+AG123</f>
        <v>#VALUE!</v>
      </c>
      <c r="AH124" s="31" t="e">
        <f aca="false">(AH121*AH122)+AH123</f>
        <v>#VALUE!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17500</v>
      </c>
      <c r="C125" s="69" t="n">
        <f aca="false">C121-C124</f>
        <v>19583.33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0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e">
        <f aca="false">O121-O124</f>
        <v>#VALUE!</v>
      </c>
      <c r="P125" s="69" t="e">
        <f aca="false">P121-P124</f>
        <v>#VALUE!</v>
      </c>
      <c r="Q125" s="69"/>
      <c r="S125" s="60" t="s">
        <v>165</v>
      </c>
      <c r="T125" s="60" t="n">
        <f aca="false">T121-T124</f>
        <v>0</v>
      </c>
      <c r="U125" s="69" t="n">
        <f aca="false">U121-U124</f>
        <v>0</v>
      </c>
      <c r="V125" s="60" t="n">
        <f aca="false">V121-V124</f>
        <v>0</v>
      </c>
      <c r="W125" s="69" t="n">
        <f aca="false">W121-W124</f>
        <v>0</v>
      </c>
      <c r="X125" s="60" t="e">
        <f aca="false">X121-X124</f>
        <v>#VALUE!</v>
      </c>
      <c r="Y125" s="69" t="e">
        <f aca="false">Y121-Y124</f>
        <v>#VALUE!</v>
      </c>
      <c r="Z125" s="69"/>
      <c r="AB125" s="60" t="s">
        <v>165</v>
      </c>
      <c r="AC125" s="60" t="n">
        <f aca="false">AC121-AC124</f>
        <v>0</v>
      </c>
      <c r="AD125" s="69" t="n">
        <f aca="false">AD121-AD124</f>
        <v>0</v>
      </c>
      <c r="AE125" s="60" t="n">
        <f aca="false">AE121-AE124</f>
        <v>0</v>
      </c>
      <c r="AF125" s="69" t="n">
        <f aca="false">AF121-AF124</f>
        <v>0</v>
      </c>
      <c r="AG125" s="60" t="e">
        <f aca="false">AG121-AG124</f>
        <v>#VALUE!</v>
      </c>
      <c r="AH125" s="69" t="e">
        <f aca="false">AH121-AH124</f>
        <v>#VALUE!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B121</f>
        <v>17500</v>
      </c>
      <c r="H135" s="144" t="n">
        <f aca="false">C125+E125+G125+H128</f>
        <v>19583.33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0</v>
      </c>
      <c r="Q135" s="144" t="e">
        <f aca="false">L125+N125+P125+Q128</f>
        <v>#VALUE!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0</v>
      </c>
      <c r="Z135" s="144" t="e">
        <f aca="false">U125+W125+Y125+Z128</f>
        <v>#VALUE!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0</v>
      </c>
      <c r="AI135" s="144" t="e">
        <f aca="false">AD125+AF125+AH125+AI128</f>
        <v>#VALUE!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0</v>
      </c>
      <c r="Q136" s="37" t="n">
        <f aca="false">P136</f>
        <v>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0</v>
      </c>
      <c r="Z136" s="37" t="n">
        <f aca="false">Y136</f>
        <v>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0</v>
      </c>
      <c r="AI136" s="37" t="n">
        <f aca="false">AH136</f>
        <v>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3500</v>
      </c>
      <c r="H137" s="37" t="n">
        <f aca="false">(H135+H136)*20%</f>
        <v>3916.666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0</v>
      </c>
      <c r="Q137" s="37" t="e">
        <f aca="false">(Q135+Q136)*20%</f>
        <v>#VALUE!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0</v>
      </c>
      <c r="Z137" s="37" t="e">
        <f aca="false">(Z135+Z136)*20%</f>
        <v>#VALUE!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0</v>
      </c>
      <c r="AI137" s="37" t="e">
        <f aca="false">(AI135+AI136)*20%</f>
        <v>#VALUE!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0</v>
      </c>
      <c r="Q139" s="37" t="n">
        <f aca="false">P139</f>
        <v>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0</v>
      </c>
      <c r="Z139" s="37" t="n">
        <f aca="false">Y139</f>
        <v>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0</v>
      </c>
      <c r="AI139" s="37" t="n">
        <f aca="false">AH139</f>
        <v>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0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0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0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21000</v>
      </c>
      <c r="H141" s="147" t="n">
        <f aca="false">(H135+H136+H139+H140+H137)-H138</f>
        <v>23499.996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0</v>
      </c>
      <c r="Q141" s="147" t="e">
        <f aca="false">(Q135+Q136+Q139+Q140+Q137)-Q138</f>
        <v>#VALUE!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0</v>
      </c>
      <c r="Z141" s="147" t="e">
        <f aca="false">(Z135+Z136+Z139+Z140+Z137)-Z138</f>
        <v>#VALUE!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0</v>
      </c>
      <c r="AI141" s="147" t="e">
        <f aca="false">(AI135+AI136+AI139+AI140+AI137)-AI138</f>
        <v>#VALUE!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21000</v>
      </c>
      <c r="H147" s="154" t="n">
        <f aca="false">H141-((H144*1.2)+(H145*1.2)+(H146*1.2)+(H142*1.2))</f>
        <v>23499.996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0</v>
      </c>
      <c r="Q147" s="154" t="e">
        <f aca="false">Q141-((Q144*1.2)+(Q145*1.2)+(Q146*1.2)+(Q142*1.2))</f>
        <v>#VALUE!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0</v>
      </c>
      <c r="Z147" s="154" t="e">
        <f aca="false">Z141-((Z144*1.2)+(Z145*1.2)+(Z146*1.2)+(Z142*1.2))</f>
        <v>#VALUE!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0</v>
      </c>
      <c r="AI147" s="154" t="e">
        <f aca="false">AI141-((AI144*1.2)+(AI145*1.2)+(AI146*1.2)+(AI142*1.2))</f>
        <v>#VALUE!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-17363.8883333333</v>
      </c>
      <c r="J148" s="145" t="s">
        <v>184</v>
      </c>
      <c r="K148" s="145"/>
      <c r="L148" s="145"/>
      <c r="M148" s="145"/>
      <c r="N148" s="145"/>
      <c r="O148" s="145"/>
      <c r="P148" s="146"/>
      <c r="Q148" s="44" t="e">
        <f aca="false">Q147-P147</f>
        <v>#VALUE!</v>
      </c>
      <c r="S148" s="145" t="s">
        <v>184</v>
      </c>
      <c r="T148" s="145"/>
      <c r="U148" s="145"/>
      <c r="V148" s="145"/>
      <c r="W148" s="145"/>
      <c r="X148" s="145"/>
      <c r="Y148" s="146"/>
      <c r="Z148" s="44" t="e">
        <f aca="false">Z147-Y147</f>
        <v>#VALUE!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e">
        <f aca="false">AI147-AH147</f>
        <v>#VALUE!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0.0</v>
      </c>
      <c r="F152" s="109"/>
      <c r="G152" s="109" t="n">
        <v>0.0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0.0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1400.0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2000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22919.996</v>
      </c>
      <c r="H158" s="160"/>
      <c r="J158" s="159" t="s">
        <v>192</v>
      </c>
      <c r="K158" s="36"/>
      <c r="L158" s="36"/>
      <c r="M158" s="27"/>
      <c r="N158" s="36"/>
      <c r="O158" s="27"/>
      <c r="P158" s="160" t="e">
        <f aca="false">Q147-P154-P157</f>
        <v>#VALUE!</v>
      </c>
      <c r="Q158" s="160"/>
      <c r="S158" s="159" t="s">
        <v>192</v>
      </c>
      <c r="T158" s="36"/>
      <c r="U158" s="36"/>
      <c r="V158" s="27"/>
      <c r="W158" s="36"/>
      <c r="X158" s="27"/>
      <c r="Y158" s="160" t="e">
        <f aca="false">Z147-Y154-Y157</f>
        <v>#VALUE!</v>
      </c>
      <c r="Z158" s="160"/>
      <c r="AB158" s="159" t="s">
        <v>192</v>
      </c>
      <c r="AC158" s="36"/>
      <c r="AD158" s="36"/>
      <c r="AE158" s="27"/>
      <c r="AF158" s="36"/>
      <c r="AG158" s="27"/>
      <c r="AH158" s="160" t="e">
        <f aca="false">AI147-AH154-AH157</f>
        <v>#VALUE!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241" t="n">
        <f aca="false">B95</f>
        <v>1171.90841223168</v>
      </c>
      <c r="B167" s="166" t="str">
        <f aca="false">B94</f>
        <v>0</v>
      </c>
      <c r="C167" s="164"/>
      <c r="D167" s="164"/>
      <c r="E167" s="166" t="n">
        <f aca="false">B96</f>
        <v>1171.90841223168</v>
      </c>
      <c r="F167" s="27"/>
      <c r="G167" s="27" t="n">
        <f aca="false">ROUND(G95,2)</f>
        <v>1093.93</v>
      </c>
      <c r="H167" s="37"/>
      <c r="J167" s="165" t="e">
        <f aca="false">K95</f>
        <v>#VALUE!</v>
      </c>
      <c r="K167" s="166" t="n">
        <f aca="false">K94</f>
        <v>0</v>
      </c>
      <c r="L167" s="164"/>
      <c r="M167" s="164"/>
      <c r="N167" s="166" t="e">
        <f aca="false">K96</f>
        <v>#VALUE!</v>
      </c>
      <c r="O167" s="27"/>
      <c r="P167" s="27"/>
      <c r="Q167" s="37"/>
      <c r="S167" s="165" t="e">
        <f aca="false">T95</f>
        <v>#VALUE!</v>
      </c>
      <c r="T167" s="166" t="n">
        <f aca="false">T94</f>
        <v>0</v>
      </c>
      <c r="U167" s="164"/>
      <c r="V167" s="164"/>
      <c r="W167" s="166" t="e">
        <f aca="false">T96</f>
        <v>#VALUE!</v>
      </c>
      <c r="X167" s="27"/>
      <c r="Y167" s="27"/>
      <c r="Z167" s="37"/>
      <c r="AB167" s="165" t="e">
        <f aca="false">AC95</f>
        <v>#VALUE!</v>
      </c>
      <c r="AC167" s="166" t="n">
        <f aca="false">AC94</f>
        <v>0</v>
      </c>
      <c r="AD167" s="164"/>
      <c r="AE167" s="164"/>
      <c r="AF167" s="166" t="e">
        <f aca="false">AC96</f>
        <v>#VALUE!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24</v>
      </c>
      <c r="B170" s="168" t="n">
        <f aca="false">K30</f>
        <v>8000</v>
      </c>
      <c r="C170" s="169"/>
      <c r="D170" s="27"/>
      <c r="E170" s="170" t="n">
        <f aca="false">IF(A111="YES",A40,0)</f>
        <v>0</v>
      </c>
      <c r="F170" s="27"/>
      <c r="G170" s="27"/>
      <c r="H170" s="37"/>
      <c r="J170" s="167" t="n">
        <f aca="false">K29</f>
        <v>24</v>
      </c>
      <c r="K170" s="168" t="n">
        <f aca="false">K30</f>
        <v>8000</v>
      </c>
      <c r="L170" s="169"/>
      <c r="M170" s="27"/>
      <c r="N170" s="170" t="n">
        <f aca="false">IF(A111="YES",A40,0)</f>
        <v>0</v>
      </c>
      <c r="O170" s="27"/>
      <c r="P170" s="27"/>
      <c r="Q170" s="37"/>
      <c r="S170" s="167" t="n">
        <f aca="false">K29</f>
        <v>24</v>
      </c>
      <c r="T170" s="168" t="n">
        <f aca="false">K30</f>
        <v>8000</v>
      </c>
      <c r="U170" s="169"/>
      <c r="V170" s="27"/>
      <c r="W170" s="170" t="n">
        <f aca="false">IF(A111="YES",A40,0)</f>
        <v>0</v>
      </c>
      <c r="X170" s="27"/>
      <c r="Y170" s="27"/>
      <c r="Z170" s="37"/>
      <c r="AB170" s="167" t="n">
        <f aca="false">K29</f>
        <v>24</v>
      </c>
      <c r="AC170" s="168" t="n">
        <f aca="false">K30</f>
        <v>8000</v>
      </c>
      <c r="AD170" s="169"/>
      <c r="AE170" s="27"/>
      <c r="AF170" s="170" t="n">
        <f aca="false">IF(A111="YES",A40,0)</f>
        <v>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19583.33</v>
      </c>
      <c r="B173" s="42" t="n">
        <f aca="false">H137</f>
        <v>3916.666</v>
      </c>
      <c r="C173" s="47"/>
      <c r="D173" s="27"/>
      <c r="E173" s="170" t="n">
        <f aca="false">H139+H140</f>
        <v>0</v>
      </c>
      <c r="F173" s="27"/>
      <c r="G173" s="27"/>
      <c r="H173" s="37"/>
      <c r="J173" s="171" t="e">
        <f aca="false">Q141-Q137-Q139-Q140</f>
        <v>#VALUE!</v>
      </c>
      <c r="K173" s="42" t="e">
        <f aca="false">Q137</f>
        <v>#VALUE!</v>
      </c>
      <c r="L173" s="47"/>
      <c r="M173" s="27"/>
      <c r="N173" s="170" t="n">
        <f aca="false">Q139+Q140</f>
        <v>55</v>
      </c>
      <c r="O173" s="27"/>
      <c r="P173" s="27"/>
      <c r="Q173" s="37"/>
      <c r="S173" s="171" t="e">
        <f aca="false">Z141-Z137-Z139-Z140</f>
        <v>#VALUE!</v>
      </c>
      <c r="T173" s="42" t="e">
        <f aca="false">Z137</f>
        <v>#VALUE!</v>
      </c>
      <c r="U173" s="47"/>
      <c r="V173" s="27"/>
      <c r="W173" s="170" t="n">
        <f aca="false">Z139+Z140</f>
        <v>55</v>
      </c>
      <c r="X173" s="27"/>
      <c r="Y173" s="27"/>
      <c r="Z173" s="37"/>
      <c r="AB173" s="171" t="e">
        <f aca="false">AI141-AI137-AI139-AI140</f>
        <v>#VALUE!</v>
      </c>
      <c r="AC173" s="42" t="e">
        <f aca="false">AI137</f>
        <v>#VALUE!</v>
      </c>
      <c r="AD173" s="47"/>
      <c r="AE173" s="27"/>
      <c r="AF173" s="170" t="n">
        <f aca="false">AI139+AI140</f>
        <v>55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H147</f>
        <v>23499.996</v>
      </c>
      <c r="B176" s="42" t="n">
        <f aca="false">B111</f>
        <v>1000</v>
      </c>
      <c r="C176" s="42"/>
      <c r="D176" s="27"/>
      <c r="E176" s="42" t="n">
        <f aca="false">E111</f>
        <v>1000</v>
      </c>
      <c r="F176" s="27"/>
      <c r="G176" s="27"/>
      <c r="H176" s="107"/>
      <c r="J176" s="171" t="e">
        <f aca="false">Q141</f>
        <v>#VALUE!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e">
        <f aca="false">Z141</f>
        <v>#VALUE!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e">
        <f aca="false">AI141</f>
        <v>#VALUE!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2000</v>
      </c>
      <c r="B179" s="42" t="n">
        <f aca="false">G154</f>
        <v>0</v>
      </c>
      <c r="C179" s="42"/>
      <c r="D179" s="27"/>
      <c r="E179" s="42" t="n">
        <f aca="false">G158</f>
        <v>22919.996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e">
        <f aca="false">J176-J179-K179</f>
        <v>#VALUE!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e">
        <f aca="false">S176-S179-T179</f>
        <v>#VALUE!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e">
        <f aca="false">AB176-AB179-AC179</f>
        <v>#VALUE!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(A167*B59)+E185-E179-A185</f>
        <v>5205.8058935604</v>
      </c>
      <c r="B182" s="42" t="n">
        <f aca="false">B114</f>
        <v>239.99</v>
      </c>
      <c r="C182" s="42"/>
      <c r="D182" s="27"/>
      <c r="E182" s="42" t="n">
        <f aca="false">E179+A182+B182+A185</f>
        <v>28390.7918935604</v>
      </c>
      <c r="F182" s="27"/>
      <c r="G182" s="27"/>
      <c r="H182" s="107"/>
      <c r="J182" s="113" t="e">
        <f aca="false">(J167*K59)+N185-N179-J185</f>
        <v>#VALUE!</v>
      </c>
      <c r="K182" s="42" t="n">
        <f aca="false">K114</f>
        <v>239.99</v>
      </c>
      <c r="L182" s="42"/>
      <c r="M182" s="27"/>
      <c r="N182" s="42" t="e">
        <f aca="false">N179+J182+K182+J185</f>
        <v>#VALUE!</v>
      </c>
      <c r="O182" s="27"/>
      <c r="P182" s="27"/>
      <c r="Q182" s="107"/>
      <c r="S182" s="113" t="e">
        <f aca="false">(S167*T59)+W185-W179-S185</f>
        <v>#VALUE!</v>
      </c>
      <c r="T182" s="42" t="n">
        <f aca="false">T114</f>
        <v>199.99</v>
      </c>
      <c r="U182" s="42"/>
      <c r="V182" s="27"/>
      <c r="W182" s="42" t="e">
        <f aca="false">W179+S182+T182+S185</f>
        <v>#VALUE!</v>
      </c>
      <c r="X182" s="27"/>
      <c r="Y182" s="27"/>
      <c r="Z182" s="107"/>
      <c r="AB182" s="113" t="e">
        <f aca="false">(AB167*AC59)+AF185-AF179-AB185</f>
        <v>#VALUE!</v>
      </c>
      <c r="AC182" s="42" t="n">
        <f aca="false">AC114</f>
        <v>239.99</v>
      </c>
      <c r="AD182" s="42"/>
      <c r="AE182" s="27"/>
      <c r="AF182" s="42" t="e">
        <f aca="false">AF179+AB182+AC182+AB185</f>
        <v>#VALUE!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A179+B182</f>
        <v>2239.99</v>
      </c>
      <c r="C185" s="42"/>
      <c r="D185" s="27"/>
      <c r="E185" s="42" t="n">
        <f aca="false">IF(A40=0,(E167+A185),(E170+A185))</f>
        <v>1196.90841223168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20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10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10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IF(E105="YES",B61*0.000002,0)*100</f>
        <v>0</v>
      </c>
      <c r="B188" s="42" t="n">
        <f aca="false">(G158*B67)</f>
        <v>343.79994</v>
      </c>
      <c r="C188" s="36"/>
      <c r="D188" s="36"/>
      <c r="E188" s="42" t="n">
        <f aca="false">(E40*A108)*0.1*(C45/100)</f>
        <v>0</v>
      </c>
      <c r="F188" s="27"/>
      <c r="G188" s="27"/>
      <c r="H188" s="37"/>
      <c r="J188" s="113" t="n">
        <f aca="false">IF(N105="YES",H15*0.000002,0)</f>
        <v>0</v>
      </c>
      <c r="K188" s="42" t="e">
        <f aca="false">(P158*K67)/1.2</f>
        <v>#VALUE!</v>
      </c>
      <c r="L188" s="36"/>
      <c r="M188" s="36"/>
      <c r="N188" s="42" t="n">
        <f aca="false">(E40*J108)*0.1</f>
        <v>0</v>
      </c>
      <c r="O188" s="27"/>
      <c r="P188" s="27"/>
      <c r="Q188" s="37"/>
      <c r="S188" s="113" t="n">
        <f aca="false">IF(W105="YES",Z15*0.000002,0)</f>
        <v>0</v>
      </c>
      <c r="T188" s="42" t="e">
        <f aca="false">(Y158*T67)/1.2</f>
        <v>#VALUE!</v>
      </c>
      <c r="U188" s="36"/>
      <c r="V188" s="36"/>
      <c r="W188" s="42" t="n">
        <f aca="false">(E40*S108)*0.1</f>
        <v>0</v>
      </c>
      <c r="X188" s="36"/>
      <c r="Y188" s="36"/>
      <c r="Z188" s="37"/>
      <c r="AB188" s="113" t="n">
        <f aca="false">IF(AF105="YES",AI15*0.000002,0)</f>
        <v>0</v>
      </c>
      <c r="AC188" s="42" t="e">
        <f aca="false">(AH158*AC67)/1.2</f>
        <v>#VALUE!</v>
      </c>
      <c r="AD188" s="36"/>
      <c r="AE188" s="36"/>
      <c r="AF188" s="42" t="n">
        <f aca="false">(E40*AB108)*0.1</f>
        <v>0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20.0</v>
      </c>
      <c r="B191" s="42" t="n">
        <f aca="false">B188+E188+A191</f>
        <v>363.79994</v>
      </c>
      <c r="C191" s="36"/>
      <c r="D191" s="36"/>
      <c r="E191" s="42" t="n">
        <f aca="false">H148</f>
        <v>2083.33</v>
      </c>
      <c r="F191" s="27"/>
      <c r="G191" s="27"/>
      <c r="H191" s="37"/>
      <c r="J191" s="113" t="n">
        <f aca="false">K185-100</f>
        <v>1139.99</v>
      </c>
      <c r="K191" s="42" t="e">
        <f aca="false">K188+N188+J191</f>
        <v>#VALUE!</v>
      </c>
      <c r="L191" s="36"/>
      <c r="M191" s="36"/>
      <c r="N191" s="42" t="e">
        <f aca="false">Q148</f>
        <v>#VALUE!</v>
      </c>
      <c r="O191" s="27"/>
      <c r="P191" s="27"/>
      <c r="Q191" s="37"/>
      <c r="S191" s="113" t="n">
        <f aca="false">T185-100</f>
        <v>1099.99</v>
      </c>
      <c r="T191" s="42" t="e">
        <f aca="false">T188+W188+S191</f>
        <v>#VALUE!</v>
      </c>
      <c r="U191" s="36"/>
      <c r="V191" s="36"/>
      <c r="W191" s="42" t="e">
        <f aca="false">Z148</f>
        <v>#VALUE!</v>
      </c>
      <c r="X191" s="36"/>
      <c r="Y191" s="36"/>
      <c r="Z191" s="37"/>
      <c r="AB191" s="113" t="n">
        <f aca="false">AC185-100</f>
        <v>1139.99</v>
      </c>
      <c r="AC191" s="42" t="e">
        <f aca="false">AC188+AF188+AB191</f>
        <v>#VALUE!</v>
      </c>
      <c r="AD191" s="36"/>
      <c r="AE191" s="36"/>
      <c r="AF191" s="42" t="e">
        <f aca="false">AI148</f>
        <v>#VALUE!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8000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8000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8000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8000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24</v>
      </c>
      <c r="B197" s="78" t="n">
        <f aca="false">B96</f>
        <v>1171.90841223168</v>
      </c>
      <c r="C197" s="78"/>
      <c r="D197" s="78"/>
      <c r="E197" s="27"/>
      <c r="F197" s="27"/>
      <c r="G197" s="27"/>
      <c r="H197" s="37"/>
      <c r="J197" s="77" t="n">
        <f aca="false">K29</f>
        <v>24</v>
      </c>
      <c r="K197" s="78" t="e">
        <f aca="false">K96</f>
        <v>#VALUE!</v>
      </c>
      <c r="L197" s="78"/>
      <c r="M197" s="78"/>
      <c r="N197" s="27"/>
      <c r="O197" s="27"/>
      <c r="P197" s="27"/>
      <c r="Q197" s="37"/>
      <c r="S197" s="77" t="n">
        <f aca="false">K29</f>
        <v>24</v>
      </c>
      <c r="T197" s="78" t="e">
        <f aca="false">T96</f>
        <v>#VALUE!</v>
      </c>
      <c r="U197" s="78"/>
      <c r="V197" s="78"/>
      <c r="W197" s="27"/>
      <c r="X197" s="27"/>
      <c r="Y197" s="27"/>
      <c r="Z197" s="37"/>
      <c r="AB197" s="77" t="n">
        <f aca="false">K29</f>
        <v>24</v>
      </c>
      <c r="AC197" s="78" t="e">
        <f aca="false">AC96</f>
        <v>#VALUE!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3334.324</v>
      </c>
      <c r="B201" s="47" t="n">
        <f aca="false">E179+A201+B182+A185</f>
        <v>26519.31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n">
        <f aca="false">A197</f>
        <v>24</v>
      </c>
      <c r="C209" s="164"/>
      <c r="D209" s="164"/>
      <c r="E209" s="164" t="n">
        <f aca="false">B196</f>
        <v>8000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1171.90841223168</v>
      </c>
      <c r="B212" s="166" t="str">
        <f aca="false">B167</f>
        <v>0</v>
      </c>
      <c r="C212" s="164"/>
      <c r="D212" s="164"/>
      <c r="E212" s="166" t="n">
        <f aca="false">E167</f>
        <v>1171.90841223168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19583.33</v>
      </c>
      <c r="B215" s="42" t="n">
        <f aca="false">B173</f>
        <v>3916.666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23499.996</v>
      </c>
      <c r="B218" s="42" t="n">
        <f aca="false">B176</f>
        <v>1000</v>
      </c>
      <c r="C218" s="42"/>
      <c r="D218" s="27"/>
      <c r="E218" s="42" t="n">
        <f aca="false">E176</f>
        <v>1000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2000</v>
      </c>
      <c r="B221" s="42" t="n">
        <f aca="false">B179</f>
        <v>0</v>
      </c>
      <c r="C221" s="42"/>
      <c r="D221" s="27"/>
      <c r="E221" s="42" t="n">
        <f aca="false">E179</f>
        <v>22919.996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5205.8058935604</v>
      </c>
      <c r="B224" s="42" t="n">
        <f aca="false">B182</f>
        <v>239.99</v>
      </c>
      <c r="C224" s="42"/>
      <c r="D224" s="27"/>
      <c r="E224" s="42" t="n">
        <f aca="false">E182</f>
        <v>28390.7918935604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2239.99</v>
      </c>
      <c r="C227" s="42"/>
      <c r="D227" s="27"/>
      <c r="E227" s="42" t="n">
        <f aca="false">B59</f>
        <v>23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1171.90841223168</v>
      </c>
      <c r="B230" s="42" t="str">
        <f aca="false">B167</f>
        <v>0</v>
      </c>
      <c r="C230" s="47"/>
      <c r="D230" s="47"/>
      <c r="E230" s="42" t="n">
        <f aca="false">E167</f>
        <v>1171.90841223168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0</v>
      </c>
      <c r="B233" s="42" t="n">
        <f aca="false">E185</f>
        <v>1196.90841223168</v>
      </c>
      <c r="C233" s="36"/>
      <c r="D233" s="36"/>
      <c r="E233" s="42" t="n">
        <f aca="false">J18*0.000006*100*1.2</f>
        <v>26.9316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IF(E105="YES",J18*0.000002,0)*100*1.2</f>
        <v>0</v>
      </c>
      <c r="B236" s="42" t="n">
        <f aca="false">E233+A236</f>
        <v>26.9316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B68</f>
        <v>343.79994</v>
      </c>
      <c r="C240" s="36"/>
      <c r="D240" s="36"/>
      <c r="E240" s="42" t="n">
        <f aca="false">E188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1027.12994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0.095</v>
      </c>
      <c r="C253" s="182"/>
      <c r="D253" s="183" t="s">
        <v>227</v>
      </c>
      <c r="E253" s="183"/>
      <c r="F253" s="181" t="n">
        <f aca="false">B83</f>
        <v>0.1675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1896.4818935604</v>
      </c>
      <c r="C254" s="182"/>
      <c r="D254" s="183" t="s">
        <v>229</v>
      </c>
      <c r="E254" s="183"/>
      <c r="F254" s="185" t="n">
        <f aca="false">F261+F267+F269+B270+B271</f>
        <v>343.79994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1572.6819535604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0.0725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0.1675</v>
      </c>
      <c r="C260" s="47"/>
      <c r="D260" s="156" t="s">
        <v>228</v>
      </c>
      <c r="E260" s="156"/>
      <c r="F260" s="135" t="n">
        <f aca="false">B254</f>
        <v>1896.4818935604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0.015</v>
      </c>
      <c r="C261" s="36"/>
      <c r="D261" s="156" t="s">
        <v>234</v>
      </c>
      <c r="E261" s="156"/>
      <c r="F261" s="142" t="n">
        <f aca="false">B68</f>
        <v>343.79994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1572.6819535604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  <c r="J271" s="6" t="n">
        <v>4</v>
      </c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60">
    <mergeCell ref="A1:F1"/>
    <mergeCell ref="D7:E18"/>
    <mergeCell ref="A16:C18"/>
    <mergeCell ref="A19:D19"/>
    <mergeCell ref="A21:D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B105 K105 N105 T105 W105 AC105 AF105 B108:D108 K108:M108 T108:V108 AC108:AE108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 A111" type="list">
      <formula1>HirePurchaseNonRegulated!$K$9:$K$10</formula1>
      <formula2>0</formula2>
    </dataValidation>
    <dataValidation allowBlank="true" errorStyle="stop" operator="between" showDropDown="false" showErrorMessage="true" showInputMessage="false" sqref="B70" type="list">
      <formula1>HirePurchaseNonRegulated!$K$9:$K$10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54" colorId="64" zoomScale="100" zoomScaleNormal="100" zoomScalePageLayoutView="100" workbookViewId="0">
      <selection pane="topLeft" activeCell="B66" activeCellId="0" sqref="B66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102"/>
      <c r="H1" s="102"/>
      <c r="I1" s="7"/>
      <c r="J1" s="7"/>
    </row>
    <row r="2" customFormat="false" ht="19.7" hidden="false" customHeight="false" outlineLevel="0" collapsed="false">
      <c r="A2" s="9" t="s">
        <v>15</v>
      </c>
      <c r="B2" s="10" t="n">
        <f aca="false">B9+B11</f>
        <v>17333.33</v>
      </c>
      <c r="C2" s="9" t="s">
        <v>16</v>
      </c>
      <c r="D2" s="10" t="n">
        <f aca="false">C9</f>
        <v>3466.666</v>
      </c>
      <c r="E2" s="9" t="s">
        <v>17</v>
      </c>
      <c r="F2" s="11" t="n">
        <f aca="false">B13</f>
        <v>0</v>
      </c>
      <c r="G2" s="351"/>
      <c r="H2" s="352"/>
      <c r="I2" s="7"/>
      <c r="J2" s="7"/>
    </row>
    <row r="3" customFormat="false" ht="18.75" hidden="false" customHeight="false" outlineLevel="0" collapsed="false">
      <c r="A3" s="244"/>
      <c r="B3" s="245"/>
      <c r="C3" s="245"/>
      <c r="D3" s="245"/>
      <c r="E3" s="245"/>
      <c r="F3" s="246" t="s">
        <v>10</v>
      </c>
      <c r="G3" s="353"/>
      <c r="H3" s="354"/>
      <c r="I3" s="7"/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20799.996</v>
      </c>
      <c r="C4" s="247"/>
      <c r="D4" s="247"/>
      <c r="E4" s="247"/>
      <c r="F4" s="248" t="s">
        <v>10</v>
      </c>
      <c r="G4" s="123"/>
      <c r="H4" s="125"/>
      <c r="I4" s="7"/>
      <c r="J4" s="7"/>
    </row>
    <row r="5" customFormat="false" ht="18.75" hidden="false" customHeight="false" outlineLevel="0" collapsed="false">
      <c r="A5" s="67"/>
      <c r="B5" s="67"/>
      <c r="C5" s="67"/>
      <c r="D5" s="67"/>
      <c r="E5" s="67"/>
      <c r="F5" s="67" t="s">
        <v>10</v>
      </c>
      <c r="G5" s="353"/>
      <c r="H5" s="37"/>
      <c r="I5" s="7"/>
      <c r="J5" s="7"/>
    </row>
    <row r="6" customFormat="false" ht="18.75" hidden="false" customHeight="false" outlineLevel="0" collapsed="false">
      <c r="A6" s="67"/>
      <c r="B6" s="67"/>
      <c r="C6" s="67"/>
      <c r="D6" s="67"/>
      <c r="E6" s="67"/>
      <c r="F6" s="67"/>
      <c r="G6" s="146"/>
      <c r="H6" s="37"/>
      <c r="I6" s="7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146"/>
      <c r="H7" s="37"/>
      <c r="I7" s="7"/>
      <c r="J7" s="7"/>
    </row>
    <row r="8" customFormat="false" ht="18.75" hidden="false" customHeight="false" outlineLevel="0" collapsed="false">
      <c r="A8" s="250"/>
      <c r="B8" s="67"/>
      <c r="C8" s="67"/>
      <c r="D8" s="249"/>
      <c r="E8" s="249"/>
      <c r="F8" s="67"/>
      <c r="G8" s="36"/>
      <c r="H8" s="37"/>
      <c r="I8" s="7"/>
      <c r="J8" s="7"/>
      <c r="L8" s="18" t="s">
        <v>17</v>
      </c>
      <c r="M8" s="14" t="n">
        <f aca="false">H13+H14</f>
        <v>0</v>
      </c>
    </row>
    <row r="9" customFormat="false" ht="19.7" hidden="false" customHeight="false" outlineLevel="0" collapsed="false">
      <c r="A9" s="15" t="s">
        <v>21</v>
      </c>
      <c r="B9" s="19" t="n">
        <v>17708.33</v>
      </c>
      <c r="C9" s="14" t="n">
        <f aca="false">B9*0.2</f>
        <v>3466.666</v>
      </c>
      <c r="D9" s="249"/>
      <c r="E9" s="249"/>
      <c r="F9" s="67"/>
      <c r="G9" s="129"/>
      <c r="H9" s="355"/>
      <c r="I9" s="7"/>
      <c r="J9" s="7"/>
      <c r="K9" s="6" t="s">
        <v>31</v>
      </c>
      <c r="L9" s="14"/>
      <c r="M9" s="14"/>
    </row>
    <row r="10" customFormat="false" ht="18.75" hidden="false" customHeight="false" outlineLevel="0" collapsed="false">
      <c r="A10" s="251"/>
      <c r="B10" s="67"/>
      <c r="C10" s="67"/>
      <c r="D10" s="249"/>
      <c r="E10" s="249"/>
      <c r="F10" s="67"/>
      <c r="G10" s="146"/>
      <c r="H10" s="354"/>
      <c r="I10" s="7"/>
      <c r="J10" s="7"/>
      <c r="K10" s="6" t="s">
        <v>32</v>
      </c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146"/>
      <c r="H11" s="37"/>
      <c r="I11" s="7"/>
      <c r="J11" s="7"/>
      <c r="L11" s="14"/>
      <c r="M11" s="14"/>
    </row>
    <row r="12" customFormat="false" ht="18.75" hidden="false" customHeight="false" outlineLevel="0" collapsed="false">
      <c r="A12" s="251"/>
      <c r="B12" s="67"/>
      <c r="C12" s="67"/>
      <c r="D12" s="249"/>
      <c r="E12" s="249"/>
      <c r="F12" s="67"/>
      <c r="G12" s="146"/>
      <c r="H12" s="354"/>
      <c r="I12" s="7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146"/>
      <c r="H13" s="354"/>
      <c r="I13" s="7"/>
      <c r="J13" s="7"/>
    </row>
    <row r="14" customFormat="false" ht="18.75" hidden="false" customHeight="false" outlineLevel="0" collapsed="false">
      <c r="A14" s="251"/>
      <c r="B14" s="67"/>
      <c r="C14" s="67"/>
      <c r="D14" s="249"/>
      <c r="E14" s="249"/>
      <c r="F14" s="67"/>
      <c r="G14" s="146"/>
      <c r="H14" s="354"/>
      <c r="I14" s="7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17333.33</v>
      </c>
      <c r="C15" s="14" t="n">
        <f aca="false">SUM(C9:C13)</f>
        <v>3466.666</v>
      </c>
      <c r="D15" s="249"/>
      <c r="E15" s="249"/>
      <c r="F15" s="67"/>
      <c r="G15" s="146"/>
      <c r="H15" s="356"/>
      <c r="I15" s="7"/>
      <c r="J15" s="21" t="n">
        <f aca="false">H15</f>
        <v>0</v>
      </c>
    </row>
    <row r="16" customFormat="false" ht="18.75" hidden="false" customHeight="false" outlineLevel="0" collapsed="false">
      <c r="A16" s="252"/>
      <c r="B16" s="252"/>
      <c r="C16" s="252"/>
      <c r="D16" s="249"/>
      <c r="E16" s="249"/>
      <c r="F16" s="67"/>
      <c r="G16" s="146"/>
      <c r="H16" s="354"/>
      <c r="I16" s="7"/>
      <c r="J16" s="7"/>
      <c r="Y16" s="23" t="s">
        <v>26</v>
      </c>
    </row>
    <row r="17" customFormat="false" ht="18.75" hidden="false" customHeight="false" outlineLevel="0" collapsed="false">
      <c r="A17" s="252"/>
      <c r="B17" s="252"/>
      <c r="C17" s="252"/>
      <c r="D17" s="249"/>
      <c r="E17" s="249"/>
      <c r="F17" s="67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252"/>
      <c r="B18" s="252"/>
      <c r="C18" s="252"/>
      <c r="D18" s="249"/>
      <c r="E18" s="249"/>
      <c r="F18" s="67"/>
      <c r="G18" s="43"/>
      <c r="H18" s="357"/>
      <c r="I18" s="7"/>
      <c r="J18" s="21" t="n">
        <v>37405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20799.996</v>
      </c>
      <c r="F19" s="67"/>
      <c r="G19" s="43"/>
      <c r="H19" s="357"/>
      <c r="I19" s="7"/>
      <c r="J19" s="7"/>
      <c r="Z19" s="7" t="s">
        <v>31</v>
      </c>
    </row>
    <row r="20" customFormat="false" ht="18.75" hidden="false" customHeight="false" outlineLevel="0" collapsed="false">
      <c r="A20" s="254"/>
      <c r="B20" s="67"/>
      <c r="C20" s="67"/>
      <c r="D20" s="67"/>
      <c r="E20" s="255"/>
      <c r="F20" s="67"/>
      <c r="G20" s="43"/>
      <c r="H20" s="357"/>
      <c r="I20" s="7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17333.33</v>
      </c>
      <c r="F21" s="67"/>
      <c r="G21" s="358"/>
      <c r="H21" s="359"/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32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95</v>
      </c>
      <c r="K29" s="360" t="n">
        <v>24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8000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0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/>
      <c r="J32" s="33" t="s">
        <v>49</v>
      </c>
      <c r="K32" s="46" t="n">
        <v>0</v>
      </c>
    </row>
    <row r="33" customFormat="false" ht="34.3" hidden="false" customHeight="false" outlineLevel="0" collapsed="false">
      <c r="A33" s="167" t="n">
        <f aca="false">A52</f>
        <v>36</v>
      </c>
      <c r="B33" s="217" t="n">
        <f aca="false">B51</f>
        <v>10000</v>
      </c>
      <c r="C33" s="36"/>
      <c r="D33" s="36"/>
      <c r="E33" s="361" t="n">
        <f aca="false">K48</f>
        <v>585.202909409456</v>
      </c>
      <c r="F33" s="361"/>
      <c r="G33" s="361"/>
      <c r="H33" s="51"/>
      <c r="I33" s="7"/>
      <c r="J33" s="38" t="s">
        <v>366</v>
      </c>
      <c r="K33" s="52" t="n">
        <f aca="false">E21</f>
        <v>17333.33</v>
      </c>
      <c r="L33" s="6" t="n">
        <f aca="false">H21-H11+(H16*20%)</f>
        <v>0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0.07</v>
      </c>
    </row>
    <row r="36" customFormat="false" ht="18.75" hidden="false" customHeight="false" outlineLevel="0" collapsed="false">
      <c r="A36" s="171" t="n">
        <f aca="false">K47</f>
        <v>535.202909409456</v>
      </c>
      <c r="B36" s="217" t="n">
        <f aca="false">IF(B26="YES",K42,"0.00")</f>
        <v>50</v>
      </c>
      <c r="C36" s="217"/>
      <c r="D36" s="217"/>
      <c r="E36" s="361" t="n">
        <f aca="false">K31</f>
        <v>0</v>
      </c>
      <c r="F36" s="361"/>
      <c r="G36" s="361"/>
      <c r="H36" s="51"/>
      <c r="I36" s="7"/>
      <c r="J36" s="7" t="s">
        <v>63</v>
      </c>
      <c r="K36" s="7" t="n">
        <f aca="false">K29</f>
        <v>36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17333.33</v>
      </c>
      <c r="L39" s="7" t="n">
        <f aca="false">(L47*K46)+K44</f>
        <v>24289.8483387249</v>
      </c>
      <c r="N39" s="6" t="n">
        <f aca="false">K39-L39</f>
        <v>-6956.5183387249</v>
      </c>
    </row>
    <row r="40" customFormat="false" ht="18.75" hidden="false" customHeight="false" outlineLevel="0" collapsed="false">
      <c r="A40" s="109" t="n">
        <f aca="false">E36*A45/100</f>
        <v>0</v>
      </c>
      <c r="B40" s="109" t="n">
        <f aca="false">IF(B26="YES",K42,"0.00")</f>
        <v>50</v>
      </c>
      <c r="C40" s="109"/>
      <c r="D40" s="109"/>
      <c r="E40" s="170" t="n">
        <f aca="false">K32</f>
        <v>1800</v>
      </c>
      <c r="F40" s="47"/>
      <c r="G40" s="47"/>
      <c r="H40" s="51"/>
      <c r="J40" s="7" t="s">
        <v>119</v>
      </c>
      <c r="K40" s="7" t="n">
        <f aca="false">(A40)/1.2</f>
        <v>0</v>
      </c>
      <c r="L40" s="7" t="n">
        <f aca="false">K39-L39</f>
        <v>-6956.5183387249</v>
      </c>
      <c r="N40" s="6" t="n">
        <f aca="false">N38-N39</f>
        <v>9868.1983387249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0.00583333333333333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(K32/K36)*C45/100</f>
        <v>50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0</v>
      </c>
      <c r="L44" s="7"/>
    </row>
    <row r="45" customFormat="false" ht="18.75" hidden="false" customHeight="false" outlineLevel="0" collapsed="false">
      <c r="A45" s="65" t="n">
        <v>100</v>
      </c>
      <c r="B45" s="36"/>
      <c r="C45" s="66" t="n">
        <v>100</v>
      </c>
      <c r="D45" s="66"/>
      <c r="E45" s="66"/>
      <c r="F45" s="36"/>
      <c r="G45" s="36"/>
      <c r="H45" s="37"/>
      <c r="J45" s="7" t="s">
        <v>377</v>
      </c>
      <c r="K45" s="7" t="n">
        <f aca="false">(K39-K44)</f>
        <v>17333.33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32.3864644516332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535.202909409456</v>
      </c>
      <c r="L47" s="7" t="n">
        <f aca="false">L49-K42</f>
        <v>750</v>
      </c>
      <c r="M47" s="6" t="n">
        <f aca="false">K47-L47</f>
        <v>-214.797090590544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585.202909409456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10000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36</v>
      </c>
      <c r="B52" s="78" t="n">
        <f aca="false">K48</f>
        <v>585.202909409456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35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35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35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35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37405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37405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37405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37405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0.07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8581.71066965814</v>
      </c>
      <c r="C65" s="36"/>
      <c r="D65" s="36"/>
      <c r="E65" s="27"/>
      <c r="F65" s="27"/>
      <c r="G65" s="27"/>
      <c r="H65" s="37"/>
      <c r="J65" s="60" t="s">
        <v>103</v>
      </c>
      <c r="K65" s="69" t="e">
        <f aca="false">(K89*K59)-(K47*K29)</f>
        <v>#VALUE!</v>
      </c>
      <c r="L65" s="36"/>
      <c r="M65" s="36"/>
      <c r="N65" s="27"/>
      <c r="O65" s="27"/>
      <c r="P65" s="27"/>
      <c r="Q65" s="37"/>
      <c r="S65" s="60" t="s">
        <v>103</v>
      </c>
      <c r="T65" s="69" t="e">
        <f aca="false">(T89*T59)-(K47*K29)</f>
        <v>#VALUE!</v>
      </c>
      <c r="U65" s="36"/>
      <c r="V65" s="36"/>
      <c r="W65" s="27"/>
      <c r="X65" s="27"/>
      <c r="Y65" s="27"/>
      <c r="Z65" s="37"/>
      <c r="AB65" s="60" t="s">
        <v>103</v>
      </c>
      <c r="AC65" s="69" t="e">
        <f aca="false">(AC89*AC59)-(K47*K29)</f>
        <v>#VALUE!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0.02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0.075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0.01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0.01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468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2805.375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374.05</v>
      </c>
      <c r="U68" s="36"/>
      <c r="V68" s="36"/>
      <c r="W68" s="27"/>
      <c r="X68" s="27"/>
      <c r="Y68" s="27"/>
      <c r="Z68" s="37"/>
      <c r="AB68" s="60" t="s">
        <v>106</v>
      </c>
      <c r="AC68" s="69" t="e">
        <f aca="false">AH158*AC67</f>
        <v>#VALUE!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B73*K29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36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535.202909409456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535.202909409456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585.202909409456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585.202909409456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23400</v>
      </c>
      <c r="C81" s="36"/>
      <c r="D81" s="36"/>
      <c r="E81" s="27"/>
      <c r="F81" s="29" t="s">
        <v>118</v>
      </c>
      <c r="G81" s="31" t="n">
        <f aca="false">G158</f>
        <v>23400</v>
      </c>
      <c r="H81" s="37"/>
      <c r="J81" s="29" t="s">
        <v>118</v>
      </c>
      <c r="K81" s="31" t="e">
        <f aca="false">P158</f>
        <v>#VALUE!</v>
      </c>
      <c r="L81" s="36"/>
      <c r="M81" s="36"/>
      <c r="N81" s="27"/>
      <c r="O81" s="27"/>
      <c r="P81" s="27"/>
      <c r="Q81" s="37"/>
      <c r="S81" s="29" t="s">
        <v>118</v>
      </c>
      <c r="T81" s="31" t="e">
        <f aca="false">Y158</f>
        <v>#VALUE!</v>
      </c>
      <c r="U81" s="36"/>
      <c r="V81" s="36"/>
      <c r="W81" s="27"/>
      <c r="X81" s="27"/>
      <c r="Y81" s="27"/>
      <c r="Z81" s="37"/>
      <c r="AB81" s="29" t="s">
        <v>118</v>
      </c>
      <c r="AC81" s="31" t="e">
        <f aca="false">AH158</f>
        <v>#VALUE!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0</v>
      </c>
      <c r="C82" s="36"/>
      <c r="D82" s="36"/>
      <c r="E82" s="27"/>
      <c r="F82" s="35" t="s">
        <v>119</v>
      </c>
      <c r="G82" s="37" t="n">
        <f aca="false">IF(A111="YES",A40,0)</f>
        <v>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0.12</v>
      </c>
      <c r="C83" s="36"/>
      <c r="D83" s="36"/>
      <c r="E83" s="27"/>
      <c r="F83" s="35" t="s">
        <v>120</v>
      </c>
      <c r="G83" s="95" t="n">
        <f aca="false">B63</f>
        <v>0.07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0.131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0.131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</v>
      </c>
      <c r="C84" s="36"/>
      <c r="D84" s="36"/>
      <c r="E84" s="27"/>
      <c r="F84" s="35" t="s">
        <v>121</v>
      </c>
      <c r="G84" s="88" t="n">
        <f aca="false">G83/12</f>
        <v>0.00583333333333333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0.0109166666666667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0.0109166666666667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B59</f>
        <v>35</v>
      </c>
      <c r="C85" s="36"/>
      <c r="D85" s="36"/>
      <c r="E85" s="27"/>
      <c r="F85" s="35" t="s">
        <v>122</v>
      </c>
      <c r="G85" s="37" t="n">
        <f aca="false">B59</f>
        <v>35</v>
      </c>
      <c r="H85" s="37"/>
      <c r="J85" s="35" t="s">
        <v>122</v>
      </c>
      <c r="K85" s="37" t="n">
        <f aca="false">IF(K82=0,(K59+K58),(K59))</f>
        <v>36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35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35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0</v>
      </c>
      <c r="C86" s="36"/>
      <c r="D86" s="36"/>
      <c r="E86" s="27"/>
      <c r="F86" s="35" t="s">
        <v>123</v>
      </c>
      <c r="G86" s="37" t="n">
        <f aca="false">(G82/((1+G84)^(G85+1)))</f>
        <v>0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0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29.4085800876469</v>
      </c>
      <c r="C87" s="36"/>
      <c r="D87" s="36"/>
      <c r="E87" s="27"/>
      <c r="F87" s="35" t="s">
        <v>124</v>
      </c>
      <c r="G87" s="37" t="n">
        <f aca="false">((1-(1/((1+G84)^G85)))/G84)</f>
        <v>31.5753854942677</v>
      </c>
      <c r="H87" s="37"/>
      <c r="J87" s="35" t="s">
        <v>124</v>
      </c>
      <c r="K87" s="37" t="n">
        <f aca="false">((1-(1/((1+K84)^K85)))/K84)</f>
        <v>25.4888424823874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28.9600651941078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28.9600651941078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23400</v>
      </c>
      <c r="C88" s="36"/>
      <c r="D88" s="36"/>
      <c r="E88" s="27"/>
      <c r="F88" s="35" t="s">
        <v>125</v>
      </c>
      <c r="G88" s="37" t="n">
        <f aca="false">G81-G86</f>
        <v>23400</v>
      </c>
      <c r="H88" s="37"/>
      <c r="J88" s="35" t="s">
        <v>125</v>
      </c>
      <c r="K88" s="37" t="e">
        <f aca="false">K81-K86</f>
        <v>#VALUE!</v>
      </c>
      <c r="L88" s="36"/>
      <c r="M88" s="36"/>
      <c r="N88" s="27"/>
      <c r="O88" s="27"/>
      <c r="P88" s="27"/>
      <c r="Q88" s="37"/>
      <c r="S88" s="35" t="s">
        <v>125</v>
      </c>
      <c r="T88" s="37" t="e">
        <f aca="false">T81-T86</f>
        <v>#VALUE!</v>
      </c>
      <c r="U88" s="36"/>
      <c r="V88" s="36"/>
      <c r="W88" s="27"/>
      <c r="X88" s="27"/>
      <c r="Y88" s="27"/>
      <c r="Z88" s="37"/>
      <c r="AB88" s="35" t="s">
        <v>125</v>
      </c>
      <c r="AC88" s="37" t="e">
        <f aca="false">AC81-AC86</f>
        <v>#VALUE!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795.686154525673</v>
      </c>
      <c r="C89" s="36"/>
      <c r="D89" s="36"/>
      <c r="E89" s="27"/>
      <c r="F89" s="35" t="s">
        <v>126</v>
      </c>
      <c r="G89" s="37" t="n">
        <f aca="false">(G88/G87)</f>
        <v>741.083588805214</v>
      </c>
      <c r="H89" s="37"/>
      <c r="J89" s="35" t="s">
        <v>126</v>
      </c>
      <c r="K89" s="37" t="e">
        <f aca="false">(K88/K87)</f>
        <v>#VALUE!</v>
      </c>
      <c r="L89" s="36"/>
      <c r="M89" s="36"/>
      <c r="N89" s="27"/>
      <c r="O89" s="27"/>
      <c r="P89" s="27"/>
      <c r="Q89" s="37"/>
      <c r="S89" s="35" t="s">
        <v>126</v>
      </c>
      <c r="T89" s="37" t="e">
        <f aca="false">(T88/T87)</f>
        <v>#VALUE!</v>
      </c>
      <c r="U89" s="36"/>
      <c r="V89" s="36"/>
      <c r="W89" s="27"/>
      <c r="X89" s="27"/>
      <c r="Y89" s="27"/>
      <c r="Z89" s="37"/>
      <c r="AB89" s="35" t="s">
        <v>126</v>
      </c>
      <c r="AC89" s="37" t="e">
        <f aca="false">(AC88/AC87)</f>
        <v>#VALUE!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27849.0154083985</v>
      </c>
      <c r="C90" s="36"/>
      <c r="D90" s="36"/>
      <c r="E90" s="27"/>
      <c r="F90" s="35" t="s">
        <v>127</v>
      </c>
      <c r="G90" s="37" t="n">
        <f aca="false">((G89*(G85))+G77)</f>
        <v>25937.9256081825</v>
      </c>
      <c r="H90" s="37"/>
      <c r="J90" s="35" t="s">
        <v>127</v>
      </c>
      <c r="K90" s="37" t="e">
        <f aca="false">((K89*(K85))+K77)</f>
        <v>#VALUE!</v>
      </c>
      <c r="L90" s="36"/>
      <c r="M90" s="36"/>
      <c r="N90" s="27"/>
      <c r="O90" s="27"/>
      <c r="P90" s="27"/>
      <c r="Q90" s="37"/>
      <c r="S90" s="35" t="s">
        <v>127</v>
      </c>
      <c r="T90" s="37" t="e">
        <f aca="false">(T89*(T85))+T77</f>
        <v>#VALUE!</v>
      </c>
      <c r="U90" s="36"/>
      <c r="V90" s="36"/>
      <c r="W90" s="27"/>
      <c r="X90" s="27"/>
      <c r="Y90" s="27"/>
      <c r="Z90" s="37"/>
      <c r="AB90" s="35" t="s">
        <v>127</v>
      </c>
      <c r="AC90" s="37" t="e">
        <f aca="false">(AC89*(AC59))+AC77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e">
        <f aca="false">(K90/(1-K71))*K71</f>
        <v>#VALUE!</v>
      </c>
      <c r="L91" s="36"/>
      <c r="M91" s="36"/>
      <c r="N91" s="27"/>
      <c r="O91" s="27"/>
      <c r="P91" s="27"/>
      <c r="Q91" s="37"/>
      <c r="S91" s="35" t="s">
        <v>128</v>
      </c>
      <c r="T91" s="37" t="e">
        <f aca="false">(T90/(1-T71))*T71</f>
        <v>#VALUE!</v>
      </c>
      <c r="U91" s="36"/>
      <c r="V91" s="36"/>
      <c r="W91" s="27"/>
      <c r="X91" s="27"/>
      <c r="Y91" s="27"/>
      <c r="Z91" s="37"/>
      <c r="AB91" s="35" t="s">
        <v>128</v>
      </c>
      <c r="AC91" s="37" t="e">
        <f aca="false">(AC90/(1-AC71))*AC71</f>
        <v>#VALUE!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27849.0154083985</v>
      </c>
      <c r="C92" s="36"/>
      <c r="D92" s="36"/>
      <c r="E92" s="27"/>
      <c r="F92" s="60" t="s">
        <v>129</v>
      </c>
      <c r="G92" s="69" t="n">
        <f aca="false">(G90+G91)</f>
        <v>25937.9256081825</v>
      </c>
      <c r="H92" s="37"/>
      <c r="J92" s="60" t="s">
        <v>129</v>
      </c>
      <c r="K92" s="69" t="e">
        <f aca="false">(K90+K91)</f>
        <v>#VALUE!</v>
      </c>
      <c r="L92" s="36"/>
      <c r="M92" s="36"/>
      <c r="N92" s="27"/>
      <c r="O92" s="27"/>
      <c r="P92" s="27"/>
      <c r="Q92" s="37"/>
      <c r="S92" s="60" t="s">
        <v>129</v>
      </c>
      <c r="T92" s="69" t="e">
        <f aca="false">(T90+T91)</f>
        <v>#VALUE!</v>
      </c>
      <c r="U92" s="36"/>
      <c r="V92" s="36"/>
      <c r="W92" s="27"/>
      <c r="X92" s="27"/>
      <c r="Y92" s="27"/>
      <c r="Z92" s="37"/>
      <c r="AB92" s="60" t="s">
        <v>129</v>
      </c>
      <c r="AC92" s="69" t="e">
        <f aca="false">(AC90+AC91)</f>
        <v>#VALUE!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6" t="n">
        <f aca="false">IF(B26="YES",((E40/B85)*(1+A108)*(C45/100)),"0")</f>
        <v>61.7142857142857</v>
      </c>
      <c r="C94" s="36"/>
      <c r="D94" s="36"/>
      <c r="E94" s="27"/>
      <c r="F94" s="92" t="s">
        <v>130</v>
      </c>
      <c r="G94" s="96" t="n">
        <f aca="false">IF(B26="YES",((E40/B85)*(1+A108)*(C45/100)),"0")</f>
        <v>61.7142857142857</v>
      </c>
      <c r="H94" s="37"/>
      <c r="J94" s="92" t="s">
        <v>130</v>
      </c>
      <c r="K94" s="93" t="n">
        <f aca="false">((E40/K85)*(1+J108))*1.2</f>
        <v>78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61.7142857142857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74.0571428571429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(B92/B85)</f>
        <v>795.686154525673</v>
      </c>
      <c r="C95" s="36"/>
      <c r="D95" s="36"/>
      <c r="E95" s="27"/>
      <c r="F95" s="97" t="s">
        <v>131</v>
      </c>
      <c r="G95" s="98" t="n">
        <f aca="false">G92/(G85)</f>
        <v>741.083588805214</v>
      </c>
      <c r="H95" s="37"/>
      <c r="J95" s="97" t="s">
        <v>131</v>
      </c>
      <c r="K95" s="98" t="e">
        <f aca="false">K92/(K85)</f>
        <v>#VALUE!</v>
      </c>
      <c r="L95" s="36"/>
      <c r="M95" s="36"/>
      <c r="N95" s="27"/>
      <c r="O95" s="27"/>
      <c r="P95" s="27"/>
      <c r="Q95" s="37"/>
      <c r="S95" s="97" t="s">
        <v>131</v>
      </c>
      <c r="T95" s="98" t="e">
        <f aca="false">T92/(T85)</f>
        <v>#VALUE!</v>
      </c>
      <c r="U95" s="36"/>
      <c r="V95" s="36"/>
      <c r="W95" s="27"/>
      <c r="X95" s="27"/>
      <c r="Y95" s="27"/>
      <c r="Z95" s="37"/>
      <c r="AB95" s="97" t="s">
        <v>131</v>
      </c>
      <c r="AC95" s="98" t="e">
        <f aca="false">AC92/(AC59)</f>
        <v>#VALUE!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857.400440239958</v>
      </c>
      <c r="C96" s="36"/>
      <c r="D96" s="36"/>
      <c r="E96" s="27"/>
      <c r="F96" s="99" t="s">
        <v>132</v>
      </c>
      <c r="G96" s="100" t="n">
        <f aca="false">G94+G95</f>
        <v>802.797874519499</v>
      </c>
      <c r="H96" s="37"/>
      <c r="J96" s="99" t="s">
        <v>132</v>
      </c>
      <c r="K96" s="100" t="e">
        <f aca="false">(K94+K95)</f>
        <v>#VALUE!</v>
      </c>
      <c r="L96" s="36"/>
      <c r="M96" s="36"/>
      <c r="N96" s="27"/>
      <c r="O96" s="27"/>
      <c r="P96" s="27"/>
      <c r="Q96" s="37"/>
      <c r="S96" s="99" t="s">
        <v>132</v>
      </c>
      <c r="T96" s="100" t="e">
        <f aca="false">T94+T95</f>
        <v>#VALUE!</v>
      </c>
      <c r="U96" s="36"/>
      <c r="V96" s="36"/>
      <c r="W96" s="27"/>
      <c r="X96" s="27"/>
      <c r="Y96" s="27"/>
      <c r="Z96" s="37"/>
      <c r="AB96" s="99" t="s">
        <v>132</v>
      </c>
      <c r="AC96" s="100" t="e">
        <f aca="false">AC94+AC95</f>
        <v>#VALUE!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362" t="s">
        <v>32</v>
      </c>
      <c r="F105" s="362"/>
      <c r="G105" s="362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0.2</v>
      </c>
      <c r="B108" s="109" t="n">
        <v>0</v>
      </c>
      <c r="C108" s="109"/>
      <c r="D108" s="109" t="n">
        <v>0</v>
      </c>
      <c r="E108" s="110" t="n">
        <f aca="false">B83</f>
        <v>0.12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0.131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0.131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1000</v>
      </c>
      <c r="C111" s="109"/>
      <c r="D111" s="109"/>
      <c r="E111" s="109" t="n">
        <v>1000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1000</v>
      </c>
      <c r="B114" s="109" t="n">
        <v>199.991666666667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B9</f>
        <v>17333.33</v>
      </c>
      <c r="C121" s="44" t="n">
        <v>19791.67</v>
      </c>
      <c r="D121" s="29" t="n">
        <f aca="false">D3</f>
        <v>0</v>
      </c>
      <c r="E121" s="44" t="n">
        <f aca="false">D121</f>
        <v>0</v>
      </c>
      <c r="F121" s="29" t="n">
        <f aca="false">B11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0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str">
        <f aca="false">F3</f>
        <v> </v>
      </c>
      <c r="P121" s="44" t="str">
        <f aca="false">O121</f>
        <v> </v>
      </c>
      <c r="Q121" s="121" t="n">
        <f aca="false">H3</f>
        <v>0</v>
      </c>
      <c r="S121" s="29" t="s">
        <v>161</v>
      </c>
      <c r="T121" s="29" t="n">
        <f aca="false">B3</f>
        <v>0</v>
      </c>
      <c r="U121" s="44" t="n">
        <f aca="false">T121</f>
        <v>0</v>
      </c>
      <c r="V121" s="29" t="n">
        <f aca="false">D3</f>
        <v>0</v>
      </c>
      <c r="W121" s="44" t="n">
        <f aca="false">V121</f>
        <v>0</v>
      </c>
      <c r="X121" s="29" t="str">
        <f aca="false">F3</f>
        <v> </v>
      </c>
      <c r="Y121" s="44" t="str">
        <f aca="false">X121</f>
        <v> </v>
      </c>
      <c r="Z121" s="121" t="n">
        <f aca="false">H3</f>
        <v>0</v>
      </c>
      <c r="AB121" s="29" t="s">
        <v>161</v>
      </c>
      <c r="AC121" s="29" t="n">
        <f aca="false">B3</f>
        <v>0</v>
      </c>
      <c r="AD121" s="44" t="n">
        <f aca="false">AC121</f>
        <v>0</v>
      </c>
      <c r="AE121" s="29" t="n">
        <f aca="false">D3</f>
        <v>0</v>
      </c>
      <c r="AF121" s="44" t="n">
        <f aca="false">AE121</f>
        <v>0</v>
      </c>
      <c r="AG121" s="29" t="str">
        <f aca="false">F3</f>
        <v> </v>
      </c>
      <c r="AH121" s="44" t="str">
        <f aca="false">AG121</f>
        <v> 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v>0</v>
      </c>
      <c r="D122" s="122" t="n">
        <v>0</v>
      </c>
      <c r="E122" s="123" t="n">
        <v>0</v>
      </c>
      <c r="F122" s="122" t="n">
        <v>0</v>
      </c>
      <c r="G122" s="363" t="n">
        <v>0</v>
      </c>
      <c r="H122" s="125"/>
      <c r="J122" s="35" t="s">
        <v>162</v>
      </c>
      <c r="K122" s="122" t="n">
        <f aca="false">B4</f>
        <v>20799.996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str">
        <f aca="false">F4</f>
        <v> </v>
      </c>
      <c r="P122" s="363" t="str">
        <f aca="false">O122</f>
        <v> </v>
      </c>
      <c r="Q122" s="125"/>
      <c r="S122" s="35" t="s">
        <v>162</v>
      </c>
      <c r="T122" s="122" t="n">
        <f aca="false">B4</f>
        <v>20799.996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str">
        <f aca="false">F4</f>
        <v> </v>
      </c>
      <c r="Y122" s="363" t="str">
        <f aca="false">X122</f>
        <v> </v>
      </c>
      <c r="Z122" s="125"/>
      <c r="AB122" s="35" t="s">
        <v>162</v>
      </c>
      <c r="AC122" s="122" t="n">
        <f aca="false">B4</f>
        <v>20799.996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str">
        <f aca="false">F4</f>
        <v> </v>
      </c>
      <c r="AH122" s="363" t="str">
        <f aca="false">AG122</f>
        <v> 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v>0</v>
      </c>
      <c r="D123" s="35" t="n">
        <v>0</v>
      </c>
      <c r="E123" s="44" t="n">
        <v>0</v>
      </c>
      <c r="F123" s="35" t="n"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str">
        <f aca="false">F5</f>
        <v> </v>
      </c>
      <c r="P123" s="44" t="str">
        <f aca="false">O123</f>
        <v> 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str">
        <f aca="false">F5</f>
        <v> </v>
      </c>
      <c r="Y123" s="44" t="str">
        <f aca="false">X123</f>
        <v> 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str">
        <f aca="false">F5</f>
        <v> </v>
      </c>
      <c r="AH123" s="44" t="str">
        <f aca="false">AG123</f>
        <v> 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0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e">
        <f aca="false">(O121*O122)+O123</f>
        <v>#VALUE!</v>
      </c>
      <c r="P124" s="31" t="e">
        <f aca="false">(P121*P122)+P123</f>
        <v>#VALUE!</v>
      </c>
      <c r="Q124" s="37"/>
      <c r="S124" s="35" t="s">
        <v>164</v>
      </c>
      <c r="T124" s="35" t="n">
        <f aca="false">(T121*T122)+T123</f>
        <v>0</v>
      </c>
      <c r="U124" s="31" t="n">
        <f aca="false">(U121*U122)+U123</f>
        <v>0</v>
      </c>
      <c r="V124" s="35" t="n">
        <f aca="false">(V121*V122)+V123</f>
        <v>0</v>
      </c>
      <c r="W124" s="31" t="n">
        <f aca="false">(W121*W122)+W123</f>
        <v>0</v>
      </c>
      <c r="X124" s="35" t="e">
        <f aca="false">(X121*X122)+X123</f>
        <v>#VALUE!</v>
      </c>
      <c r="Y124" s="31" t="e">
        <f aca="false">(Y121*Y122)+Y123</f>
        <v>#VALUE!</v>
      </c>
      <c r="Z124" s="37"/>
      <c r="AB124" s="35" t="s">
        <v>164</v>
      </c>
      <c r="AC124" s="35" t="n">
        <f aca="false">(AC121*AC122)+AC123</f>
        <v>0</v>
      </c>
      <c r="AD124" s="31" t="n">
        <f aca="false">(AD121*AD122)+AD123</f>
        <v>0</v>
      </c>
      <c r="AE124" s="35" t="n">
        <f aca="false">(AE121*AE122)+AE123</f>
        <v>0</v>
      </c>
      <c r="AF124" s="31" t="n">
        <f aca="false">(AF121*AF122)+AF123</f>
        <v>0</v>
      </c>
      <c r="AG124" s="35" t="e">
        <f aca="false">(AG121*AG122)+AG123</f>
        <v>#VALUE!</v>
      </c>
      <c r="AH124" s="31" t="e">
        <f aca="false">(AH121*AH122)+AH123</f>
        <v>#VALUE!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17333.33</v>
      </c>
      <c r="C125" s="69" t="n">
        <f aca="false">C121-C124</f>
        <v>19375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0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e">
        <f aca="false">O121-O124</f>
        <v>#VALUE!</v>
      </c>
      <c r="P125" s="69" t="e">
        <f aca="false">P121-P124</f>
        <v>#VALUE!</v>
      </c>
      <c r="Q125" s="69"/>
      <c r="S125" s="60" t="s">
        <v>165</v>
      </c>
      <c r="T125" s="60" t="n">
        <f aca="false">T121-T124</f>
        <v>0</v>
      </c>
      <c r="U125" s="69" t="n">
        <f aca="false">U121-U124</f>
        <v>0</v>
      </c>
      <c r="V125" s="60" t="n">
        <f aca="false">V121-V124</f>
        <v>0</v>
      </c>
      <c r="W125" s="69" t="n">
        <f aca="false">W121-W124</f>
        <v>0</v>
      </c>
      <c r="X125" s="60" t="e">
        <f aca="false">X121-X124</f>
        <v>#VALUE!</v>
      </c>
      <c r="Y125" s="69" t="e">
        <f aca="false">Y121-Y124</f>
        <v>#VALUE!</v>
      </c>
      <c r="Z125" s="69"/>
      <c r="AB125" s="60" t="s">
        <v>165</v>
      </c>
      <c r="AC125" s="60" t="n">
        <f aca="false">AC121-AC124</f>
        <v>0</v>
      </c>
      <c r="AD125" s="69" t="n">
        <f aca="false">AD121-AD124</f>
        <v>0</v>
      </c>
      <c r="AE125" s="60" t="n">
        <f aca="false">AE121-AE124</f>
        <v>0</v>
      </c>
      <c r="AF125" s="69" t="n">
        <f aca="false">AF121-AF124</f>
        <v>0</v>
      </c>
      <c r="AG125" s="60" t="e">
        <f aca="false">AG121-AG124</f>
        <v>#VALUE!</v>
      </c>
      <c r="AH125" s="69" t="e">
        <f aca="false">AH121-AH124</f>
        <v>#VALUE!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B121</f>
        <v>17333.33</v>
      </c>
      <c r="H135" s="144" t="n">
        <f aca="false">C125+E125+G125+H128</f>
        <v>19375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0</v>
      </c>
      <c r="Q135" s="144" t="e">
        <f aca="false">L125+N125+P125+Q128</f>
        <v>#VALUE!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0</v>
      </c>
      <c r="Z135" s="144" t="e">
        <f aca="false">U125+W125+Y125+Z128</f>
        <v>#VALUE!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0</v>
      </c>
      <c r="AI135" s="144" t="e">
        <f aca="false">AD125+AF125+AH125+AI128</f>
        <v>#VALUE!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0</v>
      </c>
      <c r="Q136" s="37" t="n">
        <f aca="false">P136</f>
        <v>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0</v>
      </c>
      <c r="Z136" s="37" t="n">
        <f aca="false">Y136</f>
        <v>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0</v>
      </c>
      <c r="AI136" s="37" t="n">
        <f aca="false">AH136</f>
        <v>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3466.666</v>
      </c>
      <c r="H137" s="37" t="n">
        <f aca="false">(H135+H136)*20%</f>
        <v>3875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0</v>
      </c>
      <c r="Q137" s="37" t="e">
        <f aca="false">(Q135+Q136)*20%</f>
        <v>#VALUE!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0</v>
      </c>
      <c r="Z137" s="37" t="e">
        <f aca="false">(Z135+Z136)*20%</f>
        <v>#VALUE!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0</v>
      </c>
      <c r="AI137" s="37" t="e">
        <f aca="false">(AI135+AI136)*20%</f>
        <v>#VALUE!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0</v>
      </c>
      <c r="Q139" s="37" t="n">
        <f aca="false">P139</f>
        <v>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0</v>
      </c>
      <c r="Z139" s="37" t="n">
        <f aca="false">Y139</f>
        <v>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0</v>
      </c>
      <c r="AI139" s="37" t="n">
        <f aca="false">AH139</f>
        <v>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0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0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0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20799.996</v>
      </c>
      <c r="H141" s="147" t="n">
        <f aca="false">(H135+H136+H139+H140+H137)-H138</f>
        <v>23250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0</v>
      </c>
      <c r="Q141" s="147" t="e">
        <f aca="false">(Q135+Q136+Q139+Q140+Q137)-Q138</f>
        <v>#VALUE!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0</v>
      </c>
      <c r="Z141" s="147" t="e">
        <f aca="false">(Z135+Z136+Z139+Z140+Z137)-Z138</f>
        <v>#VALUE!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0</v>
      </c>
      <c r="AI141" s="147" t="e">
        <f aca="false">(AI135+AI136+AI139+AI140+AI137)-AI138</f>
        <v>#VALUE!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20799.996</v>
      </c>
      <c r="H147" s="154" t="n">
        <f aca="false">H141-((H144*1.2)+(H145*1.2)+(H146*1.2)+(H142*1.2))</f>
        <v>23250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0</v>
      </c>
      <c r="Q147" s="154" t="e">
        <f aca="false">Q141-((Q144*1.2)+(Q145*1.2)+(Q146*1.2)+(Q142*1.2))</f>
        <v>#VALUE!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0</v>
      </c>
      <c r="Z147" s="154" t="e">
        <f aca="false">Z141-((Z144*1.2)+(Z145*1.2)+(Z146*1.2)+(Z142*1.2))</f>
        <v>#VALUE!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0</v>
      </c>
      <c r="AI147" s="154" t="e">
        <f aca="false">AI141-((AI144*1.2)+(AI145*1.2)+(AI146*1.2)+(AI142*1.2))</f>
        <v>#VALUE!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2041.67</v>
      </c>
      <c r="I148" s="6" t="n">
        <f aca="false">(H148-G81)/1.2</f>
        <v>-17798.6083333333</v>
      </c>
      <c r="J148" s="145" t="s">
        <v>184</v>
      </c>
      <c r="K148" s="145"/>
      <c r="L148" s="145"/>
      <c r="M148" s="145"/>
      <c r="N148" s="145"/>
      <c r="O148" s="145"/>
      <c r="P148" s="146"/>
      <c r="Q148" s="44" t="e">
        <f aca="false">Q147-P147</f>
        <v>#VALUE!</v>
      </c>
      <c r="S148" s="145" t="s">
        <v>184</v>
      </c>
      <c r="T148" s="145"/>
      <c r="U148" s="145"/>
      <c r="V148" s="145"/>
      <c r="W148" s="145"/>
      <c r="X148" s="145"/>
      <c r="Y148" s="146"/>
      <c r="Z148" s="44" t="e">
        <f aca="false">Z147-Y147</f>
        <v>#VALUE!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e">
        <f aca="false">AI147-AH147</f>
        <v>#VALUE!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1420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1000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23400</v>
      </c>
      <c r="H158" s="160"/>
      <c r="J158" s="159" t="s">
        <v>192</v>
      </c>
      <c r="K158" s="36"/>
      <c r="L158" s="36"/>
      <c r="M158" s="27"/>
      <c r="N158" s="36"/>
      <c r="O158" s="27"/>
      <c r="P158" s="160" t="e">
        <f aca="false">Q147-P154-P157</f>
        <v>#VALUE!</v>
      </c>
      <c r="Q158" s="160"/>
      <c r="S158" s="159" t="s">
        <v>192</v>
      </c>
      <c r="T158" s="36"/>
      <c r="U158" s="36"/>
      <c r="V158" s="27"/>
      <c r="W158" s="36"/>
      <c r="X158" s="27"/>
      <c r="Y158" s="160" t="e">
        <f aca="false">Z147-Y154-Y157</f>
        <v>#VALUE!</v>
      </c>
      <c r="Z158" s="160"/>
      <c r="AB158" s="159" t="s">
        <v>192</v>
      </c>
      <c r="AC158" s="36"/>
      <c r="AD158" s="36"/>
      <c r="AE158" s="27"/>
      <c r="AF158" s="36"/>
      <c r="AG158" s="27"/>
      <c r="AH158" s="160" t="e">
        <f aca="false">AI147-AH154-AH157</f>
        <v>#VALUE!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241" t="n">
        <f aca="false">B95</f>
        <v>795.686154525673</v>
      </c>
      <c r="B167" s="166" t="n">
        <f aca="false">B94</f>
        <v>61.7142857142857</v>
      </c>
      <c r="C167" s="164"/>
      <c r="D167" s="164"/>
      <c r="E167" s="166" t="n">
        <f aca="false">B96</f>
        <v>857.400440239958</v>
      </c>
      <c r="F167" s="27"/>
      <c r="G167" s="27" t="n">
        <f aca="false">ROUND(G95,2)</f>
        <v>741.08</v>
      </c>
      <c r="H167" s="37"/>
      <c r="J167" s="165" t="e">
        <f aca="false">K95</f>
        <v>#VALUE!</v>
      </c>
      <c r="K167" s="166" t="n">
        <f aca="false">K94</f>
        <v>78</v>
      </c>
      <c r="L167" s="164"/>
      <c r="M167" s="164"/>
      <c r="N167" s="166" t="e">
        <f aca="false">K96</f>
        <v>#VALUE!</v>
      </c>
      <c r="O167" s="27"/>
      <c r="P167" s="27"/>
      <c r="Q167" s="37"/>
      <c r="S167" s="165" t="e">
        <f aca="false">T95</f>
        <v>#VALUE!</v>
      </c>
      <c r="T167" s="166" t="n">
        <f aca="false">T94</f>
        <v>61.7142857142857</v>
      </c>
      <c r="U167" s="164"/>
      <c r="V167" s="164"/>
      <c r="W167" s="166" t="e">
        <f aca="false">T96</f>
        <v>#VALUE!</v>
      </c>
      <c r="X167" s="27"/>
      <c r="Y167" s="27"/>
      <c r="Z167" s="37"/>
      <c r="AB167" s="165" t="e">
        <f aca="false">AC95</f>
        <v>#VALUE!</v>
      </c>
      <c r="AC167" s="166" t="n">
        <f aca="false">AC94</f>
        <v>74.0571428571429</v>
      </c>
      <c r="AD167" s="164"/>
      <c r="AE167" s="164"/>
      <c r="AF167" s="166" t="e">
        <f aca="false">AC96</f>
        <v>#VALUE!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36</v>
      </c>
      <c r="B170" s="168" t="n">
        <f aca="false">K30</f>
        <v>10000</v>
      </c>
      <c r="C170" s="169"/>
      <c r="D170" s="27"/>
      <c r="E170" s="170" t="n">
        <f aca="false">IF(A111="YES",A40,0)</f>
        <v>0</v>
      </c>
      <c r="F170" s="27"/>
      <c r="G170" s="27"/>
      <c r="H170" s="37"/>
      <c r="J170" s="167" t="n">
        <f aca="false">K29</f>
        <v>36</v>
      </c>
      <c r="K170" s="168" t="n">
        <f aca="false">K30</f>
        <v>10000</v>
      </c>
      <c r="L170" s="169"/>
      <c r="M170" s="27"/>
      <c r="N170" s="170" t="n">
        <f aca="false">IF(A111="YES",A40,0)</f>
        <v>0</v>
      </c>
      <c r="O170" s="27"/>
      <c r="P170" s="27"/>
      <c r="Q170" s="37"/>
      <c r="S170" s="167" t="n">
        <f aca="false">K29</f>
        <v>36</v>
      </c>
      <c r="T170" s="168" t="n">
        <f aca="false">K30</f>
        <v>10000</v>
      </c>
      <c r="U170" s="169"/>
      <c r="V170" s="27"/>
      <c r="W170" s="170" t="n">
        <f aca="false">IF(A111="YES",A40,0)</f>
        <v>0</v>
      </c>
      <c r="X170" s="27"/>
      <c r="Y170" s="27"/>
      <c r="Z170" s="37"/>
      <c r="AB170" s="167" t="n">
        <f aca="false">K29</f>
        <v>36</v>
      </c>
      <c r="AC170" s="168" t="n">
        <f aca="false">K30</f>
        <v>10000</v>
      </c>
      <c r="AD170" s="169"/>
      <c r="AE170" s="27"/>
      <c r="AF170" s="170" t="n">
        <f aca="false">IF(A111="YES",A40,0)</f>
        <v>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19375</v>
      </c>
      <c r="B173" s="42" t="n">
        <f aca="false">H137</f>
        <v>3875</v>
      </c>
      <c r="C173" s="47"/>
      <c r="D173" s="27"/>
      <c r="E173" s="170" t="n">
        <f aca="false">H139+H140</f>
        <v>0</v>
      </c>
      <c r="F173" s="27"/>
      <c r="G173" s="27"/>
      <c r="H173" s="37"/>
      <c r="J173" s="171" t="e">
        <f aca="false">Q141-Q137-Q139-Q140</f>
        <v>#VALUE!</v>
      </c>
      <c r="K173" s="42" t="e">
        <f aca="false">Q137</f>
        <v>#VALUE!</v>
      </c>
      <c r="L173" s="47"/>
      <c r="M173" s="27"/>
      <c r="N173" s="170" t="n">
        <f aca="false">Q139+Q140</f>
        <v>55</v>
      </c>
      <c r="O173" s="27"/>
      <c r="P173" s="27"/>
      <c r="Q173" s="37"/>
      <c r="S173" s="171" t="e">
        <f aca="false">Z141-Z137-Z139-Z140</f>
        <v>#VALUE!</v>
      </c>
      <c r="T173" s="42" t="e">
        <f aca="false">Z137</f>
        <v>#VALUE!</v>
      </c>
      <c r="U173" s="47"/>
      <c r="V173" s="27"/>
      <c r="W173" s="170" t="n">
        <f aca="false">Z139+Z140</f>
        <v>55</v>
      </c>
      <c r="X173" s="27"/>
      <c r="Y173" s="27"/>
      <c r="Z173" s="37"/>
      <c r="AB173" s="171" t="e">
        <f aca="false">AI141-AI137-AI139-AI140</f>
        <v>#VALUE!</v>
      </c>
      <c r="AC173" s="42" t="e">
        <f aca="false">AI137</f>
        <v>#VALUE!</v>
      </c>
      <c r="AD173" s="47"/>
      <c r="AE173" s="27"/>
      <c r="AF173" s="170" t="n">
        <f aca="false">AI139+AI140</f>
        <v>55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H147</f>
        <v>23250</v>
      </c>
      <c r="B176" s="42" t="n">
        <f aca="false">B111</f>
        <v>1000</v>
      </c>
      <c r="C176" s="42"/>
      <c r="D176" s="27"/>
      <c r="E176" s="42" t="n">
        <f aca="false">E111</f>
        <v>0</v>
      </c>
      <c r="F176" s="27"/>
      <c r="G176" s="27"/>
      <c r="H176" s="107"/>
      <c r="J176" s="171" t="e">
        <f aca="false">Q141</f>
        <v>#VALUE!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e">
        <f aca="false">Z141</f>
        <v>#VALUE!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e">
        <f aca="false">AI141</f>
        <v>#VALUE!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1000</v>
      </c>
      <c r="B179" s="42" t="n">
        <f aca="false">G154</f>
        <v>0</v>
      </c>
      <c r="C179" s="42"/>
      <c r="D179" s="27"/>
      <c r="E179" s="42" t="n">
        <f aca="false">G158</f>
        <v>23400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e">
        <f aca="false">J176-J179-K179</f>
        <v>#VALUE!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e">
        <f aca="false">S176-S179-T179</f>
        <v>#VALUE!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e">
        <f aca="false">AB176-AB179-AC179</f>
        <v>#VALUE!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(A167*B59)+E185-E179-A185</f>
        <v>5306.4158486385</v>
      </c>
      <c r="B182" s="42" t="n">
        <f aca="false">B114</f>
        <v>199.991666666667</v>
      </c>
      <c r="C182" s="42"/>
      <c r="D182" s="27"/>
      <c r="E182" s="42" t="n">
        <f aca="false">E179+A182+(B182*1.2)+A185</f>
        <v>28956.4058486385</v>
      </c>
      <c r="F182" s="27"/>
      <c r="G182" s="27"/>
      <c r="H182" s="107"/>
      <c r="J182" s="113" t="e">
        <f aca="false">(J167*K59)+N185-N179-J185</f>
        <v>#VALUE!</v>
      </c>
      <c r="K182" s="42" t="n">
        <f aca="false">K114</f>
        <v>239.99</v>
      </c>
      <c r="L182" s="42"/>
      <c r="M182" s="27"/>
      <c r="N182" s="42" t="e">
        <f aca="false">N179+J182+K182+J185</f>
        <v>#VALUE!</v>
      </c>
      <c r="O182" s="27"/>
      <c r="P182" s="27"/>
      <c r="Q182" s="107"/>
      <c r="S182" s="113" t="e">
        <f aca="false">(S167*T59)+W185-W179-S185</f>
        <v>#VALUE!</v>
      </c>
      <c r="T182" s="42" t="n">
        <f aca="false">T114</f>
        <v>199.99</v>
      </c>
      <c r="U182" s="42"/>
      <c r="V182" s="27"/>
      <c r="W182" s="42" t="e">
        <f aca="false">W179+S182+T182+S185</f>
        <v>#VALUE!</v>
      </c>
      <c r="X182" s="27"/>
      <c r="Y182" s="27"/>
      <c r="Z182" s="107"/>
      <c r="AB182" s="113" t="e">
        <f aca="false">(AB167*AC59)+AF185-AF179-AB185</f>
        <v>#VALUE!</v>
      </c>
      <c r="AC182" s="42" t="n">
        <f aca="false">AC114</f>
        <v>239.99</v>
      </c>
      <c r="AD182" s="42"/>
      <c r="AE182" s="27"/>
      <c r="AF182" s="42" t="e">
        <f aca="false">AF179+AB182+AC182+AB185</f>
        <v>#VALUE!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A179+(B182*1.2)</f>
        <v>1239.99</v>
      </c>
      <c r="C185" s="42"/>
      <c r="D185" s="27"/>
      <c r="E185" s="42" t="n">
        <f aca="false">IF(A40=0,(E167+A185),(E170+A185))</f>
        <v>867.400440239958</v>
      </c>
      <c r="F185" s="27"/>
      <c r="G185" s="42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20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10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10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IF(E105="YES",B61*0.000002,0)*100</f>
        <v>7.481</v>
      </c>
      <c r="B188" s="42" t="n">
        <f aca="false">(G158*B67)</f>
        <v>468</v>
      </c>
      <c r="C188" s="36"/>
      <c r="D188" s="36"/>
      <c r="E188" s="42" t="n">
        <f aca="false">(E40*A108)*0.1*(C45/100)</f>
        <v>36</v>
      </c>
      <c r="F188" s="27"/>
      <c r="G188" s="27"/>
      <c r="H188" s="37"/>
      <c r="J188" s="113" t="n">
        <f aca="false">IF(N105="YES",H15*0.000002,0)</f>
        <v>0</v>
      </c>
      <c r="K188" s="42" t="e">
        <f aca="false">(P158*K67)/1.2</f>
        <v>#VALUE!</v>
      </c>
      <c r="L188" s="36"/>
      <c r="M188" s="36"/>
      <c r="N188" s="42" t="n">
        <f aca="false">(E40*J108)*0.1</f>
        <v>54</v>
      </c>
      <c r="O188" s="27"/>
      <c r="P188" s="27"/>
      <c r="Q188" s="37"/>
      <c r="S188" s="113" t="n">
        <f aca="false">IF(W105="YES",Z15*0.000002,0)</f>
        <v>0</v>
      </c>
      <c r="T188" s="42" t="e">
        <f aca="false">(Y158*T67)/1.2</f>
        <v>#VALUE!</v>
      </c>
      <c r="U188" s="36"/>
      <c r="V188" s="36"/>
      <c r="W188" s="42" t="n">
        <f aca="false">(E40*S108)*0.1</f>
        <v>36</v>
      </c>
      <c r="X188" s="36"/>
      <c r="Y188" s="36"/>
      <c r="Z188" s="37"/>
      <c r="AB188" s="113" t="n">
        <f aca="false">IF(AF105="YES",AI15*0.000002,0)</f>
        <v>0</v>
      </c>
      <c r="AC188" s="42" t="e">
        <f aca="false">(AH158*AC67)/1.2</f>
        <v>#VALUE!</v>
      </c>
      <c r="AD188" s="36"/>
      <c r="AE188" s="36"/>
      <c r="AF188" s="42" t="n">
        <f aca="false">(E40*AB108)*0.1</f>
        <v>36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524</v>
      </c>
      <c r="C191" s="36"/>
      <c r="D191" s="36"/>
      <c r="E191" s="42" t="n">
        <f aca="false">H148</f>
        <v>2041.67</v>
      </c>
      <c r="F191" s="27"/>
      <c r="G191" s="27"/>
      <c r="H191" s="37"/>
      <c r="J191" s="113" t="n">
        <f aca="false">K185-100</f>
        <v>1139.99</v>
      </c>
      <c r="K191" s="42" t="e">
        <f aca="false">K188+N188+J191</f>
        <v>#VALUE!</v>
      </c>
      <c r="L191" s="36"/>
      <c r="M191" s="36"/>
      <c r="N191" s="42" t="e">
        <f aca="false">Q148</f>
        <v>#VALUE!</v>
      </c>
      <c r="O191" s="27"/>
      <c r="P191" s="27"/>
      <c r="Q191" s="37"/>
      <c r="S191" s="113" t="n">
        <f aca="false">T185-100</f>
        <v>1099.99</v>
      </c>
      <c r="T191" s="42" t="e">
        <f aca="false">T188+W188+S191</f>
        <v>#VALUE!</v>
      </c>
      <c r="U191" s="36"/>
      <c r="V191" s="36"/>
      <c r="W191" s="42" t="e">
        <f aca="false">Z148</f>
        <v>#VALUE!</v>
      </c>
      <c r="X191" s="36"/>
      <c r="Y191" s="36"/>
      <c r="Z191" s="37"/>
      <c r="AB191" s="113" t="n">
        <f aca="false">AC185-100</f>
        <v>1139.99</v>
      </c>
      <c r="AC191" s="42" t="e">
        <f aca="false">AC188+AF188+AB191</f>
        <v>#VALUE!</v>
      </c>
      <c r="AD191" s="36"/>
      <c r="AE191" s="36"/>
      <c r="AF191" s="42" t="e">
        <f aca="false">AI148</f>
        <v>#VALUE!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10000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10000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10000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10000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36</v>
      </c>
      <c r="B197" s="78" t="n">
        <f aca="false">B96</f>
        <v>857.400440239958</v>
      </c>
      <c r="C197" s="78"/>
      <c r="D197" s="78"/>
      <c r="E197" s="27"/>
      <c r="F197" s="27"/>
      <c r="G197" s="27"/>
      <c r="H197" s="37"/>
      <c r="J197" s="77" t="n">
        <f aca="false">K29</f>
        <v>36</v>
      </c>
      <c r="K197" s="78" t="e">
        <f aca="false">K96</f>
        <v>#VALUE!</v>
      </c>
      <c r="L197" s="78"/>
      <c r="M197" s="78"/>
      <c r="N197" s="27"/>
      <c r="O197" s="27"/>
      <c r="P197" s="27"/>
      <c r="Q197" s="37"/>
      <c r="S197" s="77" t="n">
        <f aca="false">K29</f>
        <v>36</v>
      </c>
      <c r="T197" s="78" t="e">
        <f aca="false">T96</f>
        <v>#VALUE!</v>
      </c>
      <c r="U197" s="78"/>
      <c r="V197" s="78"/>
      <c r="W197" s="27"/>
      <c r="X197" s="27"/>
      <c r="Y197" s="27"/>
      <c r="Z197" s="37"/>
      <c r="AB197" s="77" t="n">
        <f aca="false">K29</f>
        <v>36</v>
      </c>
      <c r="AC197" s="78" t="e">
        <f aca="false">AC96</f>
        <v>#VALUE!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3278.88</v>
      </c>
      <c r="B201" s="47" t="n">
        <f aca="false">E179+A201+(B182*1.2)+A185</f>
        <v>26928.87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n">
        <f aca="false">A197</f>
        <v>36</v>
      </c>
      <c r="C209" s="164"/>
      <c r="D209" s="164"/>
      <c r="E209" s="164" t="n">
        <f aca="false">B196</f>
        <v>10000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795.686154525673</v>
      </c>
      <c r="B212" s="166" t="n">
        <f aca="false">B167</f>
        <v>61.7142857142857</v>
      </c>
      <c r="C212" s="164"/>
      <c r="D212" s="164"/>
      <c r="E212" s="166" t="n">
        <f aca="false">E167</f>
        <v>857.400440239958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19375</v>
      </c>
      <c r="B215" s="42" t="n">
        <f aca="false">B173</f>
        <v>3875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23250</v>
      </c>
      <c r="B218" s="42" t="n">
        <f aca="false">B176</f>
        <v>1000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1000</v>
      </c>
      <c r="B221" s="42" t="n">
        <f aca="false">B179</f>
        <v>0</v>
      </c>
      <c r="C221" s="42"/>
      <c r="D221" s="27"/>
      <c r="E221" s="42" t="n">
        <f aca="false">E179</f>
        <v>23400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5306.4158486385</v>
      </c>
      <c r="B224" s="42" t="n">
        <f aca="false">B182</f>
        <v>199.991666666667</v>
      </c>
      <c r="C224" s="42"/>
      <c r="D224" s="27"/>
      <c r="E224" s="42" t="n">
        <f aca="false">E182</f>
        <v>28956.4058486385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1239.99</v>
      </c>
      <c r="C227" s="42"/>
      <c r="D227" s="27"/>
      <c r="E227" s="42" t="n">
        <f aca="false">B59</f>
        <v>35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795.686154525673</v>
      </c>
      <c r="B230" s="42" t="n">
        <f aca="false">B167</f>
        <v>61.7142857142857</v>
      </c>
      <c r="C230" s="47"/>
      <c r="D230" s="47"/>
      <c r="E230" s="42" t="n">
        <f aca="false">E167</f>
        <v>857.400440239958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0</v>
      </c>
      <c r="B233" s="42" t="n">
        <f aca="false">E185</f>
        <v>867.400440239958</v>
      </c>
      <c r="C233" s="36"/>
      <c r="D233" s="36"/>
      <c r="E233" s="42" t="n">
        <f aca="false">J18*0.000006*100</f>
        <v>22.443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IF(E105="YES",J18*0.000002,0)*100</f>
        <v>7.481</v>
      </c>
      <c r="B236" s="42" t="n">
        <f aca="false">E233+A236</f>
        <v>29.924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2041.67</v>
      </c>
      <c r="B240" s="42" t="n">
        <f aca="false">B68</f>
        <v>468</v>
      </c>
      <c r="C240" s="36"/>
      <c r="D240" s="36"/>
      <c r="E240" s="42" t="n">
        <f aca="false">E188</f>
        <v>36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1415.67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</v>
      </c>
      <c r="C253" s="182"/>
      <c r="D253" s="183" t="s">
        <v>227</v>
      </c>
      <c r="E253" s="183"/>
      <c r="F253" s="181" t="n">
        <f aca="false">B83</f>
        <v>0.12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5" t="n">
        <f aca="false">(E182-B182)-(B201-B182-A185)</f>
        <v>2037.5358486385</v>
      </c>
      <c r="C254" s="182"/>
      <c r="D254" s="183" t="s">
        <v>229</v>
      </c>
      <c r="E254" s="183"/>
      <c r="F254" s="185" t="n">
        <f aca="false">F261+F267+F269+B270+B271</f>
        <v>468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380</v>
      </c>
      <c r="C255" s="182"/>
      <c r="D255" s="183" t="s">
        <v>231</v>
      </c>
      <c r="E255" s="183"/>
      <c r="F255" s="185" t="n">
        <f aca="false">(B254-F254)+B255</f>
        <v>1949.5358486385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0.12</v>
      </c>
      <c r="C260" s="47"/>
      <c r="D260" s="156" t="s">
        <v>228</v>
      </c>
      <c r="E260" s="156"/>
      <c r="F260" s="135" t="n">
        <f aca="false">B254</f>
        <v>2037.5358486385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0.02</v>
      </c>
      <c r="C261" s="36"/>
      <c r="D261" s="156" t="s">
        <v>234</v>
      </c>
      <c r="E261" s="156"/>
      <c r="F261" s="142" t="n">
        <f aca="false">B68</f>
        <v>468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360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1949.5358486385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  <c r="J271" s="6" t="n">
        <v>4</v>
      </c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60">
    <mergeCell ref="A1:F1"/>
    <mergeCell ref="D7:E18"/>
    <mergeCell ref="A16:C18"/>
    <mergeCell ref="A19:D19"/>
    <mergeCell ref="A21:D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B105 K105 N105 T105 W105 AC105 AF105 B108:D108 K108:M108 T108:V108 AC108:AE108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 A111" type="list">
      <formula1>HirePurchaseNonRegulated!$K$9:$K$10</formula1>
      <formula2>0</formula2>
    </dataValidation>
    <dataValidation allowBlank="true" errorStyle="stop" operator="between" showDropDown="false" showErrorMessage="true" showInputMessage="false" sqref="B70" type="list">
      <formula1>HirePurchaseNonRegulated!$K$9:$K$10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37" colorId="64" zoomScale="100" zoomScaleNormal="100" zoomScalePageLayoutView="100" workbookViewId="0">
      <selection pane="topLeft" activeCell="F261" activeCellId="0" sqref="F261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102"/>
      <c r="H1" s="102"/>
      <c r="I1" s="7"/>
      <c r="J1" s="7"/>
    </row>
    <row r="2" customFormat="false" ht="19.7" hidden="false" customHeight="fals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351"/>
      <c r="H2" s="352"/>
      <c r="I2" s="7"/>
      <c r="J2" s="7"/>
    </row>
    <row r="3" customFormat="false" ht="18.75" hidden="false" customHeight="false" outlineLevel="0" collapsed="false">
      <c r="A3" s="244"/>
      <c r="B3" s="245"/>
      <c r="C3" s="245"/>
      <c r="D3" s="245"/>
      <c r="E3" s="245"/>
      <c r="F3" s="246" t="s">
        <v>10</v>
      </c>
      <c r="G3" s="353"/>
      <c r="H3" s="354"/>
      <c r="I3" s="7"/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123"/>
      <c r="H4" s="125"/>
      <c r="I4" s="7"/>
      <c r="J4" s="7"/>
    </row>
    <row r="5" customFormat="false" ht="18.75" hidden="false" customHeight="false" outlineLevel="0" collapsed="false">
      <c r="A5" s="67"/>
      <c r="B5" s="67"/>
      <c r="C5" s="67"/>
      <c r="D5" s="67"/>
      <c r="E5" s="67"/>
      <c r="F5" s="67" t="s">
        <v>10</v>
      </c>
      <c r="G5" s="353"/>
      <c r="H5" s="37"/>
      <c r="I5" s="7"/>
      <c r="J5" s="7"/>
    </row>
    <row r="6" customFormat="false" ht="18.75" hidden="false" customHeight="false" outlineLevel="0" collapsed="false">
      <c r="A6" s="67"/>
      <c r="B6" s="67"/>
      <c r="C6" s="67"/>
      <c r="D6" s="67"/>
      <c r="E6" s="67"/>
      <c r="F6" s="67"/>
      <c r="G6" s="146"/>
      <c r="H6" s="37"/>
      <c r="I6" s="7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146"/>
      <c r="H7" s="37"/>
      <c r="I7" s="7"/>
      <c r="J7" s="7"/>
    </row>
    <row r="8" customFormat="false" ht="18.75" hidden="false" customHeight="false" outlineLevel="0" collapsed="false">
      <c r="A8" s="250"/>
      <c r="B8" s="67"/>
      <c r="C8" s="67"/>
      <c r="D8" s="249"/>
      <c r="E8" s="249"/>
      <c r="F8" s="67"/>
      <c r="G8" s="36"/>
      <c r="H8" s="37"/>
      <c r="I8" s="7"/>
      <c r="J8" s="7"/>
      <c r="L8" s="18" t="s">
        <v>17</v>
      </c>
      <c r="M8" s="14" t="n">
        <f aca="false">H13+H14</f>
        <v>0</v>
      </c>
    </row>
    <row r="9" customFormat="false" ht="19.7" hidden="false" customHeight="fals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129"/>
      <c r="H9" s="355"/>
      <c r="I9" s="7"/>
      <c r="J9" s="7"/>
      <c r="K9" s="6" t="s">
        <v>31</v>
      </c>
      <c r="L9" s="14"/>
      <c r="M9" s="14"/>
    </row>
    <row r="10" customFormat="false" ht="18.75" hidden="false" customHeight="false" outlineLevel="0" collapsed="false">
      <c r="A10" s="251"/>
      <c r="B10" s="67"/>
      <c r="C10" s="67"/>
      <c r="D10" s="249"/>
      <c r="E10" s="249"/>
      <c r="F10" s="67"/>
      <c r="G10" s="146"/>
      <c r="H10" s="354"/>
      <c r="I10" s="7"/>
      <c r="J10" s="7"/>
      <c r="K10" s="6" t="s">
        <v>32</v>
      </c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146"/>
      <c r="H11" s="37"/>
      <c r="I11" s="7"/>
      <c r="J11" s="7"/>
      <c r="L11" s="14"/>
      <c r="M11" s="14"/>
    </row>
    <row r="12" customFormat="false" ht="18.75" hidden="false" customHeight="false" outlineLevel="0" collapsed="false">
      <c r="A12" s="251"/>
      <c r="B12" s="67"/>
      <c r="C12" s="67"/>
      <c r="D12" s="249"/>
      <c r="E12" s="249"/>
      <c r="F12" s="67"/>
      <c r="G12" s="146"/>
      <c r="H12" s="354"/>
      <c r="I12" s="7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146"/>
      <c r="H13" s="354"/>
      <c r="I13" s="7"/>
      <c r="J13" s="7"/>
    </row>
    <row r="14" customFormat="false" ht="18.75" hidden="false" customHeight="false" outlineLevel="0" collapsed="false">
      <c r="A14" s="251"/>
      <c r="B14" s="67"/>
      <c r="C14" s="67"/>
      <c r="D14" s="249"/>
      <c r="E14" s="249"/>
      <c r="F14" s="67"/>
      <c r="G14" s="146"/>
      <c r="H14" s="354"/>
      <c r="I14" s="7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146"/>
      <c r="H15" s="356"/>
      <c r="I15" s="7"/>
      <c r="J15" s="21" t="n">
        <f aca="false">H15</f>
        <v>0</v>
      </c>
    </row>
    <row r="16" customFormat="false" ht="18.75" hidden="false" customHeight="false" outlineLevel="0" collapsed="false">
      <c r="A16" s="252"/>
      <c r="B16" s="252"/>
      <c r="C16" s="252"/>
      <c r="D16" s="249"/>
      <c r="E16" s="249"/>
      <c r="F16" s="67"/>
      <c r="G16" s="146"/>
      <c r="H16" s="354"/>
      <c r="I16" s="7"/>
      <c r="J16" s="7"/>
      <c r="Y16" s="23" t="s">
        <v>26</v>
      </c>
    </row>
    <row r="17" customFormat="false" ht="18.75" hidden="false" customHeight="false" outlineLevel="0" collapsed="false">
      <c r="A17" s="252"/>
      <c r="B17" s="252"/>
      <c r="C17" s="252"/>
      <c r="D17" s="249"/>
      <c r="E17" s="249"/>
      <c r="F17" s="67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252"/>
      <c r="B18" s="252"/>
      <c r="C18" s="252"/>
      <c r="D18" s="249"/>
      <c r="E18" s="249"/>
      <c r="F18" s="67"/>
      <c r="G18" s="43"/>
      <c r="H18" s="357"/>
      <c r="I18" s="7"/>
      <c r="J18" s="21" t="n">
        <v>37405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43"/>
      <c r="H19" s="357"/>
      <c r="I19" s="7"/>
      <c r="J19" s="7"/>
      <c r="Z19" s="7" t="s">
        <v>31</v>
      </c>
    </row>
    <row r="20" customFormat="false" ht="18.75" hidden="false" customHeight="false" outlineLevel="0" collapsed="false">
      <c r="A20" s="254"/>
      <c r="B20" s="67"/>
      <c r="C20" s="67"/>
      <c r="D20" s="67"/>
      <c r="E20" s="255"/>
      <c r="F20" s="67"/>
      <c r="G20" s="43"/>
      <c r="H20" s="357"/>
      <c r="I20" s="7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358"/>
      <c r="H21" s="359"/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31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95</v>
      </c>
      <c r="K29" s="360" t="n">
        <v>24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8000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50000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/>
      <c r="J32" s="33" t="s">
        <v>49</v>
      </c>
      <c r="K32" s="46" t="n">
        <v>3000</v>
      </c>
    </row>
    <row r="33" customFormat="false" ht="34.3" hidden="false" customHeight="false" outlineLevel="0" collapsed="false">
      <c r="A33" s="167" t="n">
        <f aca="false">A52</f>
        <v>24</v>
      </c>
      <c r="B33" s="217" t="n">
        <f aca="false">B51</f>
        <v>8000</v>
      </c>
      <c r="C33" s="36"/>
      <c r="D33" s="36"/>
      <c r="E33" s="361" t="n">
        <f aca="false">K48</f>
        <v>783.520134305043</v>
      </c>
      <c r="F33" s="361"/>
      <c r="G33" s="361"/>
      <c r="H33" s="51"/>
      <c r="I33" s="7"/>
      <c r="J33" s="38" t="s">
        <v>366</v>
      </c>
      <c r="K33" s="52" t="n">
        <f aca="false">E21</f>
        <v>17500</v>
      </c>
      <c r="L33" s="6" t="n">
        <f aca="false">H21-H11+(H16*20%)</f>
        <v>0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0.07</v>
      </c>
    </row>
    <row r="36" customFormat="false" ht="18.75" hidden="false" customHeight="false" outlineLevel="0" collapsed="false">
      <c r="A36" s="171" t="n">
        <f aca="false">K47</f>
        <v>783.520134305043</v>
      </c>
      <c r="B36" s="217" t="str">
        <f aca="false">IF(B26="YES",K42,"0.00")</f>
        <v>0.00</v>
      </c>
      <c r="C36" s="217"/>
      <c r="D36" s="217"/>
      <c r="E36" s="361" t="n">
        <f aca="false">K31</f>
        <v>0</v>
      </c>
      <c r="F36" s="361"/>
      <c r="G36" s="361"/>
      <c r="H36" s="51"/>
      <c r="I36" s="7"/>
      <c r="J36" s="7" t="s">
        <v>63</v>
      </c>
      <c r="K36" s="7" t="n">
        <f aca="false">K29</f>
        <v>24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17500</v>
      </c>
      <c r="L39" s="7" t="n">
        <f aca="false">(L47*K46)+K44</f>
        <v>17868.0794366791</v>
      </c>
      <c r="N39" s="6" t="n">
        <f aca="false">K39-L39</f>
        <v>-368.079436679131</v>
      </c>
    </row>
    <row r="40" customFormat="false" ht="18.75" hidden="false" customHeight="false" outlineLevel="0" collapsed="false">
      <c r="A40" s="109" t="n">
        <f aca="false">E36*A45/100</f>
        <v>0</v>
      </c>
      <c r="B40" s="109" t="str">
        <f aca="false">IF(B26="YES",K42,"0.00")</f>
        <v>0.00</v>
      </c>
      <c r="C40" s="109"/>
      <c r="D40" s="109"/>
      <c r="E40" s="170" t="n">
        <f aca="false">K32</f>
        <v>0</v>
      </c>
      <c r="F40" s="47"/>
      <c r="G40" s="47"/>
      <c r="H40" s="51"/>
      <c r="J40" s="7" t="s">
        <v>119</v>
      </c>
      <c r="K40" s="7" t="n">
        <f aca="false">(A40)/1.2</f>
        <v>0</v>
      </c>
      <c r="L40" s="7" t="n">
        <f aca="false">K39-L39</f>
        <v>-368.079436679131</v>
      </c>
      <c r="N40" s="6" t="n">
        <f aca="false">N38-N39</f>
        <v>3279.75943667913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0.00583333333333333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(K32/K36)*C45/100</f>
        <v>0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0</v>
      </c>
      <c r="L44" s="7"/>
    </row>
    <row r="45" customFormat="false" ht="18.75" hidden="false" customHeight="false" outlineLevel="0" collapsed="false">
      <c r="A45" s="65" t="n">
        <v>40</v>
      </c>
      <c r="B45" s="36"/>
      <c r="C45" s="66" t="n">
        <v>40</v>
      </c>
      <c r="D45" s="66"/>
      <c r="E45" s="66"/>
      <c r="F45" s="36"/>
      <c r="G45" s="36"/>
      <c r="H45" s="37"/>
      <c r="J45" s="7" t="s">
        <v>377</v>
      </c>
      <c r="K45" s="7" t="n">
        <f aca="false">(K39-K44)</f>
        <v>17500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22.3350992958489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783.520134305043</v>
      </c>
      <c r="L47" s="7" t="n">
        <f aca="false">L49-K42</f>
        <v>800</v>
      </c>
      <c r="M47" s="6" t="n">
        <f aca="false">K47-L47</f>
        <v>-16.4798656949575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783.520134305043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8000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24</v>
      </c>
      <c r="B52" s="78" t="n">
        <f aca="false">K48</f>
        <v>783.520134305043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23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23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23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23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37405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37405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37405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37405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0.0105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0.0105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0.07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6010.76406313575</v>
      </c>
      <c r="C65" s="36"/>
      <c r="D65" s="36"/>
      <c r="E65" s="27"/>
      <c r="F65" s="27"/>
      <c r="G65" s="27"/>
      <c r="H65" s="37"/>
      <c r="J65" s="60" t="s">
        <v>103</v>
      </c>
      <c r="K65" s="69" t="e">
        <f aca="false">(K89*K59)-(K47*K29)</f>
        <v>#VALUE!</v>
      </c>
      <c r="L65" s="36"/>
      <c r="M65" s="36"/>
      <c r="N65" s="27"/>
      <c r="O65" s="27"/>
      <c r="P65" s="27"/>
      <c r="Q65" s="37"/>
      <c r="S65" s="60" t="s">
        <v>103</v>
      </c>
      <c r="T65" s="69" t="e">
        <f aca="false">(T89*T59)-(K47*K29)</f>
        <v>#VALUE!</v>
      </c>
      <c r="U65" s="36"/>
      <c r="V65" s="36"/>
      <c r="W65" s="27"/>
      <c r="X65" s="27"/>
      <c r="Y65" s="27"/>
      <c r="Z65" s="37"/>
      <c r="AB65" s="60" t="s">
        <v>103</v>
      </c>
      <c r="AC65" s="69" t="e">
        <f aca="false">(AC89*AC59)-(K47*K29)</f>
        <v>#VALUE!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0.015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0.0625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0.0075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0.0075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343.79994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2337.8125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280.5375</v>
      </c>
      <c r="U68" s="36"/>
      <c r="V68" s="36"/>
      <c r="W68" s="27"/>
      <c r="X68" s="27"/>
      <c r="Y68" s="27"/>
      <c r="Z68" s="37"/>
      <c r="AB68" s="60" t="s">
        <v>106</v>
      </c>
      <c r="AC68" s="69" t="e">
        <f aca="false">AH158*AC67</f>
        <v>#VALUE!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B73*K29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36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783.520134305043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783.520134305043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783.520134305043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783.520134305043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22919.996</v>
      </c>
      <c r="C81" s="36"/>
      <c r="D81" s="36"/>
      <c r="E81" s="27"/>
      <c r="F81" s="29" t="s">
        <v>118</v>
      </c>
      <c r="G81" s="31" t="n">
        <f aca="false">G158</f>
        <v>22919.996</v>
      </c>
      <c r="H81" s="37"/>
      <c r="J81" s="29" t="s">
        <v>118</v>
      </c>
      <c r="K81" s="31" t="e">
        <f aca="false">P158</f>
        <v>#VALUE!</v>
      </c>
      <c r="L81" s="36"/>
      <c r="M81" s="36"/>
      <c r="N81" s="27"/>
      <c r="O81" s="27"/>
      <c r="P81" s="27"/>
      <c r="Q81" s="37"/>
      <c r="S81" s="29" t="s">
        <v>118</v>
      </c>
      <c r="T81" s="31" t="e">
        <f aca="false">Y158</f>
        <v>#VALUE!</v>
      </c>
      <c r="U81" s="36"/>
      <c r="V81" s="36"/>
      <c r="W81" s="27"/>
      <c r="X81" s="27"/>
      <c r="Y81" s="27"/>
      <c r="Z81" s="37"/>
      <c r="AB81" s="29" t="s">
        <v>118</v>
      </c>
      <c r="AC81" s="31" t="e">
        <f aca="false">AH158</f>
        <v>#VALUE!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0</v>
      </c>
      <c r="C82" s="36"/>
      <c r="D82" s="36"/>
      <c r="E82" s="27"/>
      <c r="F82" s="35" t="s">
        <v>119</v>
      </c>
      <c r="G82" s="37" t="n">
        <f aca="false">IF(A111="YES",A40,0)</f>
        <v>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0.12</v>
      </c>
      <c r="C83" s="36"/>
      <c r="D83" s="36"/>
      <c r="E83" s="27"/>
      <c r="F83" s="35" t="s">
        <v>120</v>
      </c>
      <c r="G83" s="95" t="n">
        <f aca="false">B63</f>
        <v>0.07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0.1415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0.1415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</v>
      </c>
      <c r="C84" s="36"/>
      <c r="D84" s="36"/>
      <c r="E84" s="27"/>
      <c r="F84" s="35" t="s">
        <v>121</v>
      </c>
      <c r="G84" s="88" t="n">
        <f aca="false">G83/12</f>
        <v>0.00583333333333333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0.0117916666666667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0.0117916666666667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24</v>
      </c>
      <c r="C85" s="36"/>
      <c r="D85" s="36"/>
      <c r="E85" s="27"/>
      <c r="F85" s="35" t="s">
        <v>122</v>
      </c>
      <c r="G85" s="37" t="n">
        <f aca="false">IF(G82=0,(B59+B58),(B59))</f>
        <v>24</v>
      </c>
      <c r="H85" s="37"/>
      <c r="J85" s="35" t="s">
        <v>122</v>
      </c>
      <c r="K85" s="37" t="n">
        <f aca="false">IF(K82=0,(K59+K58),(K59))</f>
        <v>24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23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23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0</v>
      </c>
      <c r="C86" s="36"/>
      <c r="D86" s="36"/>
      <c r="E86" s="27"/>
      <c r="F86" s="35" t="s">
        <v>123</v>
      </c>
      <c r="G86" s="37" t="n">
        <f aca="false">(G82/((1+G84)^(G85+1)))</f>
        <v>0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0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21.2433872576279</v>
      </c>
      <c r="C87" s="36"/>
      <c r="D87" s="36"/>
      <c r="E87" s="27"/>
      <c r="F87" s="35" t="s">
        <v>124</v>
      </c>
      <c r="G87" s="37" t="n">
        <f aca="false">((1-(1/((1+G84)^G85)))/G84)</f>
        <v>22.3350992958489</v>
      </c>
      <c r="H87" s="37"/>
      <c r="J87" s="35" t="s">
        <v>124</v>
      </c>
      <c r="K87" s="37" t="n">
        <f aca="false">((1-(1/((1+K84)^K85)))/K84)</f>
        <v>18.9139256030578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20.0422673930129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20.0422673930129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22919.996</v>
      </c>
      <c r="C88" s="36"/>
      <c r="D88" s="36"/>
      <c r="E88" s="27"/>
      <c r="F88" s="35" t="s">
        <v>125</v>
      </c>
      <c r="G88" s="37" t="n">
        <f aca="false">G81-G86</f>
        <v>22919.996</v>
      </c>
      <c r="H88" s="37"/>
      <c r="J88" s="35" t="s">
        <v>125</v>
      </c>
      <c r="K88" s="37" t="e">
        <f aca="false">K81-K86</f>
        <v>#VALUE!</v>
      </c>
      <c r="L88" s="36"/>
      <c r="M88" s="36"/>
      <c r="N88" s="27"/>
      <c r="O88" s="27"/>
      <c r="P88" s="27"/>
      <c r="Q88" s="37"/>
      <c r="S88" s="35" t="s">
        <v>125</v>
      </c>
      <c r="T88" s="37" t="e">
        <f aca="false">T81-T86</f>
        <v>#VALUE!</v>
      </c>
      <c r="U88" s="36"/>
      <c r="V88" s="36"/>
      <c r="W88" s="27"/>
      <c r="X88" s="27"/>
      <c r="Y88" s="27"/>
      <c r="Z88" s="37"/>
      <c r="AB88" s="35" t="s">
        <v>125</v>
      </c>
      <c r="AC88" s="37" t="e">
        <f aca="false">AC81-AC86</f>
        <v>#VALUE!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1078.92379506334</v>
      </c>
      <c r="C89" s="36"/>
      <c r="D89" s="36"/>
      <c r="E89" s="27"/>
      <c r="F89" s="35" t="s">
        <v>126</v>
      </c>
      <c r="G89" s="37" t="n">
        <f aca="false">(G88/G87)</f>
        <v>1026.18733395377</v>
      </c>
      <c r="H89" s="37"/>
      <c r="J89" s="35" t="s">
        <v>126</v>
      </c>
      <c r="K89" s="37" t="e">
        <f aca="false">(K88/K87)</f>
        <v>#VALUE!</v>
      </c>
      <c r="L89" s="36"/>
      <c r="M89" s="36"/>
      <c r="N89" s="27"/>
      <c r="O89" s="27"/>
      <c r="P89" s="27"/>
      <c r="Q89" s="37"/>
      <c r="S89" s="35" t="s">
        <v>126</v>
      </c>
      <c r="T89" s="37" t="e">
        <f aca="false">(T88/T87)</f>
        <v>#VALUE!</v>
      </c>
      <c r="U89" s="36"/>
      <c r="V89" s="36"/>
      <c r="W89" s="27"/>
      <c r="X89" s="27"/>
      <c r="Y89" s="27"/>
      <c r="Z89" s="37"/>
      <c r="AB89" s="35" t="s">
        <v>126</v>
      </c>
      <c r="AC89" s="37" t="e">
        <f aca="false">(AC88/AC87)</f>
        <v>#VALUE!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25894.1710815201</v>
      </c>
      <c r="C90" s="36"/>
      <c r="D90" s="36"/>
      <c r="E90" s="27"/>
      <c r="F90" s="35" t="s">
        <v>127</v>
      </c>
      <c r="G90" s="37" t="n">
        <f aca="false">((G89*(G85))+G77)</f>
        <v>24628.4960148906</v>
      </c>
      <c r="H90" s="37"/>
      <c r="J90" s="35" t="s">
        <v>127</v>
      </c>
      <c r="K90" s="37" t="e">
        <f aca="false">((K89*(K85))+K77)</f>
        <v>#VALUE!</v>
      </c>
      <c r="L90" s="36"/>
      <c r="M90" s="36"/>
      <c r="N90" s="27"/>
      <c r="O90" s="27"/>
      <c r="P90" s="27"/>
      <c r="Q90" s="37"/>
      <c r="S90" s="35" t="s">
        <v>127</v>
      </c>
      <c r="T90" s="37" t="e">
        <f aca="false">(T89*(T85))+T77</f>
        <v>#VALUE!</v>
      </c>
      <c r="U90" s="36"/>
      <c r="V90" s="36"/>
      <c r="W90" s="27"/>
      <c r="X90" s="27"/>
      <c r="Y90" s="27"/>
      <c r="Z90" s="37"/>
      <c r="AB90" s="35" t="s">
        <v>127</v>
      </c>
      <c r="AC90" s="37" t="e">
        <f aca="false">(AC89*(AC59))+AC77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e">
        <f aca="false">(K90/(1-K71))*K71</f>
        <v>#VALUE!</v>
      </c>
      <c r="L91" s="36"/>
      <c r="M91" s="36"/>
      <c r="N91" s="27"/>
      <c r="O91" s="27"/>
      <c r="P91" s="27"/>
      <c r="Q91" s="37"/>
      <c r="S91" s="35" t="s">
        <v>128</v>
      </c>
      <c r="T91" s="37" t="e">
        <f aca="false">(T90/(1-T71))*T71</f>
        <v>#VALUE!</v>
      </c>
      <c r="U91" s="36"/>
      <c r="V91" s="36"/>
      <c r="W91" s="27"/>
      <c r="X91" s="27"/>
      <c r="Y91" s="27"/>
      <c r="Z91" s="37"/>
      <c r="AB91" s="35" t="s">
        <v>128</v>
      </c>
      <c r="AC91" s="37" t="e">
        <f aca="false">(AC90/(1-AC71))*AC71</f>
        <v>#VALUE!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25894.1710815201</v>
      </c>
      <c r="C92" s="36"/>
      <c r="D92" s="36"/>
      <c r="E92" s="27"/>
      <c r="F92" s="60" t="s">
        <v>129</v>
      </c>
      <c r="G92" s="69" t="n">
        <f aca="false">(G90+G91)</f>
        <v>24628.4960148906</v>
      </c>
      <c r="H92" s="37"/>
      <c r="J92" s="60" t="s">
        <v>129</v>
      </c>
      <c r="K92" s="69" t="e">
        <f aca="false">(K90+K91)</f>
        <v>#VALUE!</v>
      </c>
      <c r="L92" s="36"/>
      <c r="M92" s="36"/>
      <c r="N92" s="27"/>
      <c r="O92" s="27"/>
      <c r="P92" s="27"/>
      <c r="Q92" s="37"/>
      <c r="S92" s="60" t="s">
        <v>129</v>
      </c>
      <c r="T92" s="69" t="e">
        <f aca="false">(T90+T91)</f>
        <v>#VALUE!</v>
      </c>
      <c r="U92" s="36"/>
      <c r="V92" s="36"/>
      <c r="W92" s="27"/>
      <c r="X92" s="27"/>
      <c r="Y92" s="27"/>
      <c r="Z92" s="37"/>
      <c r="AB92" s="60" t="s">
        <v>129</v>
      </c>
      <c r="AC92" s="69" t="e">
        <f aca="false">(AC90+AC91)</f>
        <v>#VALUE!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6" t="str">
        <f aca="false">IF(B26="YES",((E40/B85)*(1+A108)*1.2*(C45/100)),"0")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  <c r="J94" s="92" t="s">
        <v>130</v>
      </c>
      <c r="K94" s="93" t="n">
        <f aca="false">((E40/K85)*(1+J108))*1.2</f>
        <v>0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0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0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1078.92379506334</v>
      </c>
      <c r="C95" s="36"/>
      <c r="D95" s="36"/>
      <c r="E95" s="27"/>
      <c r="F95" s="97" t="s">
        <v>131</v>
      </c>
      <c r="G95" s="98" t="n">
        <f aca="false">G92/(G85)</f>
        <v>1026.18733395377</v>
      </c>
      <c r="H95" s="37"/>
      <c r="J95" s="97" t="s">
        <v>131</v>
      </c>
      <c r="K95" s="98" t="e">
        <f aca="false">K92/(K85)</f>
        <v>#VALUE!</v>
      </c>
      <c r="L95" s="36"/>
      <c r="M95" s="36"/>
      <c r="N95" s="27"/>
      <c r="O95" s="27"/>
      <c r="P95" s="27"/>
      <c r="Q95" s="37"/>
      <c r="S95" s="97" t="s">
        <v>131</v>
      </c>
      <c r="T95" s="98" t="e">
        <f aca="false">T92/(T85)</f>
        <v>#VALUE!</v>
      </c>
      <c r="U95" s="36"/>
      <c r="V95" s="36"/>
      <c r="W95" s="27"/>
      <c r="X95" s="27"/>
      <c r="Y95" s="27"/>
      <c r="Z95" s="37"/>
      <c r="AB95" s="97" t="s">
        <v>131</v>
      </c>
      <c r="AC95" s="98" t="e">
        <f aca="false">AC92/(AC59)</f>
        <v>#VALUE!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1078.92379506334</v>
      </c>
      <c r="C96" s="36"/>
      <c r="D96" s="36"/>
      <c r="E96" s="27"/>
      <c r="F96" s="99" t="s">
        <v>132</v>
      </c>
      <c r="G96" s="100" t="n">
        <f aca="false">G94+G95</f>
        <v>1026.18733395377</v>
      </c>
      <c r="H96" s="37"/>
      <c r="J96" s="99" t="s">
        <v>132</v>
      </c>
      <c r="K96" s="100" t="e">
        <f aca="false">(K94+K95)</f>
        <v>#VALUE!</v>
      </c>
      <c r="L96" s="36"/>
      <c r="M96" s="36"/>
      <c r="N96" s="27"/>
      <c r="O96" s="27"/>
      <c r="P96" s="27"/>
      <c r="Q96" s="37"/>
      <c r="S96" s="99" t="s">
        <v>132</v>
      </c>
      <c r="T96" s="100" t="e">
        <f aca="false">T94+T95</f>
        <v>#VALUE!</v>
      </c>
      <c r="U96" s="36"/>
      <c r="V96" s="36"/>
      <c r="W96" s="27"/>
      <c r="X96" s="27"/>
      <c r="Y96" s="27"/>
      <c r="Z96" s="37"/>
      <c r="AB96" s="99" t="s">
        <v>132</v>
      </c>
      <c r="AC96" s="100" t="e">
        <f aca="false">AC94+AC95</f>
        <v>#VALUE!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362" t="s">
        <v>31</v>
      </c>
      <c r="F105" s="362"/>
      <c r="G105" s="362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0.3</v>
      </c>
      <c r="B108" s="109" t="n">
        <v>0</v>
      </c>
      <c r="C108" s="109"/>
      <c r="D108" s="109" t="n">
        <v>0</v>
      </c>
      <c r="E108" s="110" t="n">
        <f aca="false">B83</f>
        <v>0.12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0.1415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0.1415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1000</v>
      </c>
      <c r="C111" s="109"/>
      <c r="D111" s="109"/>
      <c r="E111" s="109" t="n">
        <v>1000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2000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B9</f>
        <v>17500</v>
      </c>
      <c r="C121" s="44" t="n">
        <v>19791.67</v>
      </c>
      <c r="D121" s="29" t="n">
        <f aca="false">D3</f>
        <v>0</v>
      </c>
      <c r="E121" s="44" t="n">
        <f aca="false">D121</f>
        <v>0</v>
      </c>
      <c r="F121" s="29" t="n">
        <f aca="false">B11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0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str">
        <f aca="false">F3</f>
        <v> </v>
      </c>
      <c r="P121" s="44" t="str">
        <f aca="false">O121</f>
        <v> </v>
      </c>
      <c r="Q121" s="121" t="n">
        <f aca="false">H3</f>
        <v>0</v>
      </c>
      <c r="S121" s="29" t="s">
        <v>161</v>
      </c>
      <c r="T121" s="29" t="n">
        <f aca="false">B3</f>
        <v>0</v>
      </c>
      <c r="U121" s="44" t="n">
        <f aca="false">T121</f>
        <v>0</v>
      </c>
      <c r="V121" s="29" t="n">
        <f aca="false">D3</f>
        <v>0</v>
      </c>
      <c r="W121" s="44" t="n">
        <f aca="false">V121</f>
        <v>0</v>
      </c>
      <c r="X121" s="29" t="str">
        <f aca="false">F3</f>
        <v> </v>
      </c>
      <c r="Y121" s="44" t="str">
        <f aca="false">X121</f>
        <v> </v>
      </c>
      <c r="Z121" s="121" t="n">
        <f aca="false">H3</f>
        <v>0</v>
      </c>
      <c r="AB121" s="29" t="s">
        <v>161</v>
      </c>
      <c r="AC121" s="29" t="n">
        <f aca="false">B3</f>
        <v>0</v>
      </c>
      <c r="AD121" s="44" t="n">
        <f aca="false">AC121</f>
        <v>0</v>
      </c>
      <c r="AE121" s="29" t="n">
        <f aca="false">D3</f>
        <v>0</v>
      </c>
      <c r="AF121" s="44" t="n">
        <f aca="false">AE121</f>
        <v>0</v>
      </c>
      <c r="AG121" s="29" t="str">
        <f aca="false">F3</f>
        <v> </v>
      </c>
      <c r="AH121" s="44" t="str">
        <f aca="false">AG121</f>
        <v> 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v>0</v>
      </c>
      <c r="D122" s="122" t="n">
        <v>0</v>
      </c>
      <c r="E122" s="123" t="n">
        <v>0</v>
      </c>
      <c r="F122" s="122" t="n">
        <v>0</v>
      </c>
      <c r="G122" s="363" t="n">
        <v>0</v>
      </c>
      <c r="H122" s="125"/>
      <c r="J122" s="35" t="s">
        <v>162</v>
      </c>
      <c r="K122" s="122" t="n">
        <f aca="false">B4</f>
        <v>21000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str">
        <f aca="false">F4</f>
        <v> </v>
      </c>
      <c r="P122" s="363" t="str">
        <f aca="false">O122</f>
        <v> </v>
      </c>
      <c r="Q122" s="125"/>
      <c r="S122" s="35" t="s">
        <v>162</v>
      </c>
      <c r="T122" s="122" t="n">
        <f aca="false">B4</f>
        <v>21000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str">
        <f aca="false">F4</f>
        <v> </v>
      </c>
      <c r="Y122" s="363" t="str">
        <f aca="false">X122</f>
        <v> </v>
      </c>
      <c r="Z122" s="125"/>
      <c r="AB122" s="35" t="s">
        <v>162</v>
      </c>
      <c r="AC122" s="122" t="n">
        <f aca="false">B4</f>
        <v>21000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str">
        <f aca="false">F4</f>
        <v> </v>
      </c>
      <c r="AH122" s="363" t="str">
        <f aca="false">AG122</f>
        <v> 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v>0</v>
      </c>
      <c r="D123" s="35" t="n">
        <v>0</v>
      </c>
      <c r="E123" s="44" t="n">
        <v>0</v>
      </c>
      <c r="F123" s="35" t="n"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str">
        <f aca="false">F5</f>
        <v> </v>
      </c>
      <c r="P123" s="44" t="str">
        <f aca="false">O123</f>
        <v> 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str">
        <f aca="false">F5</f>
        <v> </v>
      </c>
      <c r="Y123" s="44" t="str">
        <f aca="false">X123</f>
        <v> 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str">
        <f aca="false">F5</f>
        <v> </v>
      </c>
      <c r="AH123" s="44" t="str">
        <f aca="false">AG123</f>
        <v> 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0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e">
        <f aca="false">(O121*O122)+O123</f>
        <v>#VALUE!</v>
      </c>
      <c r="P124" s="31" t="e">
        <f aca="false">(P121*P122)+P123</f>
        <v>#VALUE!</v>
      </c>
      <c r="Q124" s="37"/>
      <c r="S124" s="35" t="s">
        <v>164</v>
      </c>
      <c r="T124" s="35" t="n">
        <f aca="false">(T121*T122)+T123</f>
        <v>0</v>
      </c>
      <c r="U124" s="31" t="n">
        <f aca="false">(U121*U122)+U123</f>
        <v>0</v>
      </c>
      <c r="V124" s="35" t="n">
        <f aca="false">(V121*V122)+V123</f>
        <v>0</v>
      </c>
      <c r="W124" s="31" t="n">
        <f aca="false">(W121*W122)+W123</f>
        <v>0</v>
      </c>
      <c r="X124" s="35" t="e">
        <f aca="false">(X121*X122)+X123</f>
        <v>#VALUE!</v>
      </c>
      <c r="Y124" s="31" t="e">
        <f aca="false">(Y121*Y122)+Y123</f>
        <v>#VALUE!</v>
      </c>
      <c r="Z124" s="37"/>
      <c r="AB124" s="35" t="s">
        <v>164</v>
      </c>
      <c r="AC124" s="35" t="n">
        <f aca="false">(AC121*AC122)+AC123</f>
        <v>0</v>
      </c>
      <c r="AD124" s="31" t="n">
        <f aca="false">(AD121*AD122)+AD123</f>
        <v>0</v>
      </c>
      <c r="AE124" s="35" t="n">
        <f aca="false">(AE121*AE122)+AE123</f>
        <v>0</v>
      </c>
      <c r="AF124" s="31" t="n">
        <f aca="false">(AF121*AF122)+AF123</f>
        <v>0</v>
      </c>
      <c r="AG124" s="35" t="e">
        <f aca="false">(AG121*AG122)+AG123</f>
        <v>#VALUE!</v>
      </c>
      <c r="AH124" s="31" t="e">
        <f aca="false">(AH121*AH122)+AH123</f>
        <v>#VALUE!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17500</v>
      </c>
      <c r="C125" s="69" t="n">
        <f aca="false">C121-C124</f>
        <v>19583.33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0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e">
        <f aca="false">O121-O124</f>
        <v>#VALUE!</v>
      </c>
      <c r="P125" s="69" t="e">
        <f aca="false">P121-P124</f>
        <v>#VALUE!</v>
      </c>
      <c r="Q125" s="69"/>
      <c r="S125" s="60" t="s">
        <v>165</v>
      </c>
      <c r="T125" s="60" t="n">
        <f aca="false">T121-T124</f>
        <v>0</v>
      </c>
      <c r="U125" s="69" t="n">
        <f aca="false">U121-U124</f>
        <v>0</v>
      </c>
      <c r="V125" s="60" t="n">
        <f aca="false">V121-V124</f>
        <v>0</v>
      </c>
      <c r="W125" s="69" t="n">
        <f aca="false">W121-W124</f>
        <v>0</v>
      </c>
      <c r="X125" s="60" t="e">
        <f aca="false">X121-X124</f>
        <v>#VALUE!</v>
      </c>
      <c r="Y125" s="69" t="e">
        <f aca="false">Y121-Y124</f>
        <v>#VALUE!</v>
      </c>
      <c r="Z125" s="69"/>
      <c r="AB125" s="60" t="s">
        <v>165</v>
      </c>
      <c r="AC125" s="60" t="n">
        <f aca="false">AC121-AC124</f>
        <v>0</v>
      </c>
      <c r="AD125" s="69" t="n">
        <f aca="false">AD121-AD124</f>
        <v>0</v>
      </c>
      <c r="AE125" s="60" t="n">
        <f aca="false">AE121-AE124</f>
        <v>0</v>
      </c>
      <c r="AF125" s="69" t="n">
        <f aca="false">AF121-AF124</f>
        <v>0</v>
      </c>
      <c r="AG125" s="60" t="e">
        <f aca="false">AG121-AG124</f>
        <v>#VALUE!</v>
      </c>
      <c r="AH125" s="69" t="e">
        <f aca="false">AH121-AH124</f>
        <v>#VALUE!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B121</f>
        <v>17500</v>
      </c>
      <c r="H135" s="144" t="n">
        <f aca="false">C125+E125+G125+H128</f>
        <v>19583.33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0</v>
      </c>
      <c r="Q135" s="144" t="e">
        <f aca="false">L125+N125+P125+Q128</f>
        <v>#VALUE!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0</v>
      </c>
      <c r="Z135" s="144" t="e">
        <f aca="false">U125+W125+Y125+Z128</f>
        <v>#VALUE!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0</v>
      </c>
      <c r="AI135" s="144" t="e">
        <f aca="false">AD125+AF125+AH125+AI128</f>
        <v>#VALUE!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0</v>
      </c>
      <c r="Q136" s="37" t="n">
        <f aca="false">P136</f>
        <v>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0</v>
      </c>
      <c r="Z136" s="37" t="n">
        <f aca="false">Y136</f>
        <v>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0</v>
      </c>
      <c r="AI136" s="37" t="n">
        <f aca="false">AH136</f>
        <v>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3500</v>
      </c>
      <c r="H137" s="37" t="n">
        <f aca="false">(H135+H136)*20%</f>
        <v>3916.666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0</v>
      </c>
      <c r="Q137" s="37" t="e">
        <f aca="false">(Q135+Q136)*20%</f>
        <v>#VALUE!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0</v>
      </c>
      <c r="Z137" s="37" t="e">
        <f aca="false">(Z135+Z136)*20%</f>
        <v>#VALUE!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0</v>
      </c>
      <c r="AI137" s="37" t="e">
        <f aca="false">(AI135+AI136)*20%</f>
        <v>#VALUE!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0</v>
      </c>
      <c r="Q139" s="37" t="n">
        <f aca="false">P139</f>
        <v>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0</v>
      </c>
      <c r="Z139" s="37" t="n">
        <f aca="false">Y139</f>
        <v>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0</v>
      </c>
      <c r="AI139" s="37" t="n">
        <f aca="false">AH139</f>
        <v>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0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0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0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21000</v>
      </c>
      <c r="H141" s="147" t="n">
        <f aca="false">(H135+H136+H139+H140+H137)-H138</f>
        <v>23499.996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0</v>
      </c>
      <c r="Q141" s="147" t="e">
        <f aca="false">(Q135+Q136+Q139+Q140+Q137)-Q138</f>
        <v>#VALUE!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0</v>
      </c>
      <c r="Z141" s="147" t="e">
        <f aca="false">(Z135+Z136+Z139+Z140+Z137)-Z138</f>
        <v>#VALUE!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0</v>
      </c>
      <c r="AI141" s="147" t="e">
        <f aca="false">(AI135+AI136+AI139+AI140+AI137)-AI138</f>
        <v>#VALUE!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21000</v>
      </c>
      <c r="H147" s="154" t="n">
        <f aca="false">H141-((H144*1.2)+(H145*1.2)+(H146*1.2)+(H142*1.2))</f>
        <v>23499.996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0</v>
      </c>
      <c r="Q147" s="154" t="e">
        <f aca="false">Q141-((Q144*1.2)+(Q145*1.2)+(Q146*1.2)+(Q142*1.2))</f>
        <v>#VALUE!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0</v>
      </c>
      <c r="Z147" s="154" t="e">
        <f aca="false">Z141-((Z144*1.2)+(Z145*1.2)+(Z146*1.2)+(Z142*1.2))</f>
        <v>#VALUE!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0</v>
      </c>
      <c r="AI147" s="154" t="e">
        <f aca="false">AI141-((AI144*1.2)+(AI145*1.2)+(AI146*1.2)+(AI142*1.2))</f>
        <v>#VALUE!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-17363.8883333333</v>
      </c>
      <c r="J148" s="145" t="s">
        <v>184</v>
      </c>
      <c r="K148" s="145"/>
      <c r="L148" s="145"/>
      <c r="M148" s="145"/>
      <c r="N148" s="145"/>
      <c r="O148" s="145"/>
      <c r="P148" s="146"/>
      <c r="Q148" s="44" t="e">
        <f aca="false">Q147-P147</f>
        <v>#VALUE!</v>
      </c>
      <c r="S148" s="145" t="s">
        <v>184</v>
      </c>
      <c r="T148" s="145"/>
      <c r="U148" s="145"/>
      <c r="V148" s="145"/>
      <c r="W148" s="145"/>
      <c r="X148" s="145"/>
      <c r="Y148" s="146"/>
      <c r="Z148" s="44" t="e">
        <f aca="false">Z147-Y147</f>
        <v>#VALUE!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e">
        <f aca="false">AI147-AH147</f>
        <v>#VALUE!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1420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2000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22919.996</v>
      </c>
      <c r="H158" s="160"/>
      <c r="J158" s="159" t="s">
        <v>192</v>
      </c>
      <c r="K158" s="36"/>
      <c r="L158" s="36"/>
      <c r="M158" s="27"/>
      <c r="N158" s="36"/>
      <c r="O158" s="27"/>
      <c r="P158" s="160" t="e">
        <f aca="false">Q147-P154-P157</f>
        <v>#VALUE!</v>
      </c>
      <c r="Q158" s="160"/>
      <c r="S158" s="159" t="s">
        <v>192</v>
      </c>
      <c r="T158" s="36"/>
      <c r="U158" s="36"/>
      <c r="V158" s="27"/>
      <c r="W158" s="36"/>
      <c r="X158" s="27"/>
      <c r="Y158" s="160" t="e">
        <f aca="false">Z147-Y154-Y157</f>
        <v>#VALUE!</v>
      </c>
      <c r="Z158" s="160"/>
      <c r="AB158" s="159" t="s">
        <v>192</v>
      </c>
      <c r="AC158" s="36"/>
      <c r="AD158" s="36"/>
      <c r="AE158" s="27"/>
      <c r="AF158" s="36"/>
      <c r="AG158" s="27"/>
      <c r="AH158" s="160" t="e">
        <f aca="false">AI147-AH154-AH157</f>
        <v>#VALUE!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241" t="n">
        <f aca="false">B95</f>
        <v>1078.92379506334</v>
      </c>
      <c r="B167" s="166" t="str">
        <f aca="false">B94</f>
        <v>0</v>
      </c>
      <c r="C167" s="164"/>
      <c r="D167" s="164"/>
      <c r="E167" s="166" t="n">
        <f aca="false">B96</f>
        <v>1078.92379506334</v>
      </c>
      <c r="F167" s="27"/>
      <c r="G167" s="27" t="n">
        <f aca="false">ROUND(G95,2)</f>
        <v>1026.19</v>
      </c>
      <c r="H167" s="37"/>
      <c r="J167" s="165" t="e">
        <f aca="false">K95</f>
        <v>#VALUE!</v>
      </c>
      <c r="K167" s="166" t="n">
        <f aca="false">K94</f>
        <v>0</v>
      </c>
      <c r="L167" s="164"/>
      <c r="M167" s="164"/>
      <c r="N167" s="166" t="e">
        <f aca="false">K96</f>
        <v>#VALUE!</v>
      </c>
      <c r="O167" s="27"/>
      <c r="P167" s="27"/>
      <c r="Q167" s="37"/>
      <c r="S167" s="165" t="e">
        <f aca="false">T95</f>
        <v>#VALUE!</v>
      </c>
      <c r="T167" s="166" t="n">
        <f aca="false">T94</f>
        <v>0</v>
      </c>
      <c r="U167" s="164"/>
      <c r="V167" s="164"/>
      <c r="W167" s="166" t="e">
        <f aca="false">T96</f>
        <v>#VALUE!</v>
      </c>
      <c r="X167" s="27"/>
      <c r="Y167" s="27"/>
      <c r="Z167" s="37"/>
      <c r="AB167" s="165" t="e">
        <f aca="false">AC95</f>
        <v>#VALUE!</v>
      </c>
      <c r="AC167" s="166" t="n">
        <f aca="false">AC94</f>
        <v>0</v>
      </c>
      <c r="AD167" s="164"/>
      <c r="AE167" s="164"/>
      <c r="AF167" s="166" t="e">
        <f aca="false">AC96</f>
        <v>#VALUE!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24</v>
      </c>
      <c r="B170" s="168" t="n">
        <f aca="false">K30</f>
        <v>8000</v>
      </c>
      <c r="C170" s="169"/>
      <c r="D170" s="27"/>
      <c r="E170" s="170" t="n">
        <f aca="false">IF(A111="YES",A40,0)</f>
        <v>0</v>
      </c>
      <c r="F170" s="27"/>
      <c r="G170" s="27"/>
      <c r="H170" s="37"/>
      <c r="J170" s="167" t="n">
        <f aca="false">K29</f>
        <v>24</v>
      </c>
      <c r="K170" s="168" t="n">
        <f aca="false">K30</f>
        <v>8000</v>
      </c>
      <c r="L170" s="169"/>
      <c r="M170" s="27"/>
      <c r="N170" s="170" t="n">
        <f aca="false">IF(A111="YES",A40,0)</f>
        <v>0</v>
      </c>
      <c r="O170" s="27"/>
      <c r="P170" s="27"/>
      <c r="Q170" s="37"/>
      <c r="S170" s="167" t="n">
        <f aca="false">K29</f>
        <v>24</v>
      </c>
      <c r="T170" s="168" t="n">
        <f aca="false">K30</f>
        <v>8000</v>
      </c>
      <c r="U170" s="169"/>
      <c r="V170" s="27"/>
      <c r="W170" s="170" t="n">
        <f aca="false">IF(A111="YES",A40,0)</f>
        <v>0</v>
      </c>
      <c r="X170" s="27"/>
      <c r="Y170" s="27"/>
      <c r="Z170" s="37"/>
      <c r="AB170" s="167" t="n">
        <f aca="false">K29</f>
        <v>24</v>
      </c>
      <c r="AC170" s="168" t="n">
        <f aca="false">K30</f>
        <v>8000</v>
      </c>
      <c r="AD170" s="169"/>
      <c r="AE170" s="27"/>
      <c r="AF170" s="170" t="n">
        <f aca="false">IF(A111="YES",A40,0)</f>
        <v>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19583.33</v>
      </c>
      <c r="B173" s="42" t="n">
        <f aca="false">H137</f>
        <v>3916.666</v>
      </c>
      <c r="C173" s="47"/>
      <c r="D173" s="27"/>
      <c r="E173" s="170" t="n">
        <f aca="false">H139+H140</f>
        <v>0</v>
      </c>
      <c r="F173" s="27"/>
      <c r="G173" s="27"/>
      <c r="H173" s="37"/>
      <c r="J173" s="171" t="e">
        <f aca="false">Q141-Q137-Q139-Q140</f>
        <v>#VALUE!</v>
      </c>
      <c r="K173" s="42" t="e">
        <f aca="false">Q137</f>
        <v>#VALUE!</v>
      </c>
      <c r="L173" s="47"/>
      <c r="M173" s="27"/>
      <c r="N173" s="170" t="n">
        <f aca="false">Q139+Q140</f>
        <v>55</v>
      </c>
      <c r="O173" s="27"/>
      <c r="P173" s="27"/>
      <c r="Q173" s="37"/>
      <c r="S173" s="171" t="e">
        <f aca="false">Z141-Z137-Z139-Z140</f>
        <v>#VALUE!</v>
      </c>
      <c r="T173" s="42" t="e">
        <f aca="false">Z137</f>
        <v>#VALUE!</v>
      </c>
      <c r="U173" s="47"/>
      <c r="V173" s="27"/>
      <c r="W173" s="170" t="n">
        <f aca="false">Z139+Z140</f>
        <v>55</v>
      </c>
      <c r="X173" s="27"/>
      <c r="Y173" s="27"/>
      <c r="Z173" s="37"/>
      <c r="AB173" s="171" t="e">
        <f aca="false">AI141-AI137-AI139-AI140</f>
        <v>#VALUE!</v>
      </c>
      <c r="AC173" s="42" t="e">
        <f aca="false">AI137</f>
        <v>#VALUE!</v>
      </c>
      <c r="AD173" s="47"/>
      <c r="AE173" s="27"/>
      <c r="AF173" s="170" t="n">
        <f aca="false">AI139+AI140</f>
        <v>55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H147</f>
        <v>23499.996</v>
      </c>
      <c r="B176" s="42" t="n">
        <f aca="false">B111</f>
        <v>1000</v>
      </c>
      <c r="C176" s="42"/>
      <c r="D176" s="27"/>
      <c r="E176" s="42" t="n">
        <f aca="false">E111</f>
        <v>1000</v>
      </c>
      <c r="F176" s="27"/>
      <c r="G176" s="27"/>
      <c r="H176" s="107"/>
      <c r="J176" s="171" t="e">
        <f aca="false">Q141</f>
        <v>#VALUE!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e">
        <f aca="false">Z141</f>
        <v>#VALUE!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e">
        <f aca="false">AI141</f>
        <v>#VALUE!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2000</v>
      </c>
      <c r="B179" s="42" t="n">
        <f aca="false">G154</f>
        <v>0</v>
      </c>
      <c r="C179" s="42"/>
      <c r="D179" s="27"/>
      <c r="E179" s="42" t="n">
        <f aca="false">G158</f>
        <v>22919.996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e">
        <f aca="false">J176-J179-K179</f>
        <v>#VALUE!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e">
        <f aca="false">S176-S179-T179</f>
        <v>#VALUE!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e">
        <f aca="false">AB176-AB179-AC179</f>
        <v>#VALUE!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(A167*B59)+E185-E179-A185</f>
        <v>2974.1750815201</v>
      </c>
      <c r="B182" s="42" t="n">
        <f aca="false">B114</f>
        <v>239.99</v>
      </c>
      <c r="C182" s="42"/>
      <c r="D182" s="27"/>
      <c r="E182" s="42" t="n">
        <f aca="false">E179+A182+B182+A185</f>
        <v>26159.1610815201</v>
      </c>
      <c r="F182" s="27"/>
      <c r="G182" s="27"/>
      <c r="H182" s="107"/>
      <c r="J182" s="113" t="e">
        <f aca="false">(J167*K59)+N185-N179-J185</f>
        <v>#VALUE!</v>
      </c>
      <c r="K182" s="42" t="n">
        <f aca="false">K114</f>
        <v>239.99</v>
      </c>
      <c r="L182" s="42"/>
      <c r="M182" s="27"/>
      <c r="N182" s="42" t="e">
        <f aca="false">N179+J182+K182+J185</f>
        <v>#VALUE!</v>
      </c>
      <c r="O182" s="27"/>
      <c r="P182" s="27"/>
      <c r="Q182" s="107"/>
      <c r="S182" s="113" t="e">
        <f aca="false">(S167*T59)+W185-W179-S185</f>
        <v>#VALUE!</v>
      </c>
      <c r="T182" s="42" t="n">
        <f aca="false">T114</f>
        <v>199.99</v>
      </c>
      <c r="U182" s="42"/>
      <c r="V182" s="27"/>
      <c r="W182" s="42" t="e">
        <f aca="false">W179+S182+T182+S185</f>
        <v>#VALUE!</v>
      </c>
      <c r="X182" s="27"/>
      <c r="Y182" s="27"/>
      <c r="Z182" s="107"/>
      <c r="AB182" s="113" t="e">
        <f aca="false">(AB167*AC59)+AF185-AF179-AB185</f>
        <v>#VALUE!</v>
      </c>
      <c r="AC182" s="42" t="n">
        <f aca="false">AC114</f>
        <v>239.99</v>
      </c>
      <c r="AD182" s="42"/>
      <c r="AE182" s="27"/>
      <c r="AF182" s="42" t="e">
        <f aca="false">AF179+AB182+AC182+AB185</f>
        <v>#VALUE!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A179+(B182)</f>
        <v>2239.99</v>
      </c>
      <c r="C185" s="42"/>
      <c r="D185" s="27"/>
      <c r="E185" s="42" t="n">
        <f aca="false">IF(A40=0,(E167+A185),(E170+A185))</f>
        <v>1103.92379506334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20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10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10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IF(E105="YES",B61*0.000002,0)*100*1.2</f>
        <v>0</v>
      </c>
      <c r="B188" s="42" t="n">
        <f aca="false">(G158*B67)</f>
        <v>343.79994</v>
      </c>
      <c r="C188" s="36"/>
      <c r="D188" s="36"/>
      <c r="E188" s="42" t="n">
        <f aca="false">(E40*A108)*0.1*(C45/100)</f>
        <v>0</v>
      </c>
      <c r="F188" s="27"/>
      <c r="G188" s="27"/>
      <c r="H188" s="37"/>
      <c r="J188" s="113" t="n">
        <f aca="false">IF(N105="YES",H15*0.000002,0)</f>
        <v>0</v>
      </c>
      <c r="K188" s="42" t="e">
        <f aca="false">(P158*K67)/1.2</f>
        <v>#VALUE!</v>
      </c>
      <c r="L188" s="36"/>
      <c r="M188" s="36"/>
      <c r="N188" s="42" t="n">
        <f aca="false">(E40*J108)*0.1</f>
        <v>0</v>
      </c>
      <c r="O188" s="27"/>
      <c r="P188" s="27"/>
      <c r="Q188" s="37"/>
      <c r="S188" s="113" t="n">
        <f aca="false">IF(W105="YES",Z15*0.000002,0)</f>
        <v>0</v>
      </c>
      <c r="T188" s="42" t="e">
        <f aca="false">(Y158*T67)/1.2</f>
        <v>#VALUE!</v>
      </c>
      <c r="U188" s="36"/>
      <c r="V188" s="36"/>
      <c r="W188" s="42" t="n">
        <f aca="false">(E40*S108)*0.1</f>
        <v>0</v>
      </c>
      <c r="X188" s="36"/>
      <c r="Y188" s="36"/>
      <c r="Z188" s="37"/>
      <c r="AB188" s="113" t="n">
        <f aca="false">IF(AF105="YES",AI15*0.000002,0)</f>
        <v>0</v>
      </c>
      <c r="AC188" s="42" t="e">
        <f aca="false">(AH158*AC67)/1.2</f>
        <v>#VALUE!</v>
      </c>
      <c r="AD188" s="36"/>
      <c r="AE188" s="36"/>
      <c r="AF188" s="42" t="n">
        <f aca="false">(E40*AB108)*0.1</f>
        <v>0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363.79994</v>
      </c>
      <c r="C191" s="36"/>
      <c r="D191" s="36"/>
      <c r="E191" s="42" t="n">
        <f aca="false">H148</f>
        <v>2083.33</v>
      </c>
      <c r="F191" s="27"/>
      <c r="G191" s="27"/>
      <c r="H191" s="37"/>
      <c r="J191" s="113" t="n">
        <f aca="false">K185-100</f>
        <v>1139.99</v>
      </c>
      <c r="K191" s="42" t="e">
        <f aca="false">K188+N188+J191</f>
        <v>#VALUE!</v>
      </c>
      <c r="L191" s="36"/>
      <c r="M191" s="36"/>
      <c r="N191" s="42" t="e">
        <f aca="false">Q148</f>
        <v>#VALUE!</v>
      </c>
      <c r="O191" s="27"/>
      <c r="P191" s="27"/>
      <c r="Q191" s="37"/>
      <c r="S191" s="113" t="n">
        <f aca="false">T185-100</f>
        <v>1099.99</v>
      </c>
      <c r="T191" s="42" t="e">
        <f aca="false">T188+W188+S191</f>
        <v>#VALUE!</v>
      </c>
      <c r="U191" s="36"/>
      <c r="V191" s="36"/>
      <c r="W191" s="42" t="e">
        <f aca="false">Z148</f>
        <v>#VALUE!</v>
      </c>
      <c r="X191" s="36"/>
      <c r="Y191" s="36"/>
      <c r="Z191" s="37"/>
      <c r="AB191" s="113" t="n">
        <f aca="false">AC185-100</f>
        <v>1139.99</v>
      </c>
      <c r="AC191" s="42" t="e">
        <f aca="false">AC188+AF188+AB191</f>
        <v>#VALUE!</v>
      </c>
      <c r="AD191" s="36"/>
      <c r="AE191" s="36"/>
      <c r="AF191" s="42" t="e">
        <f aca="false">AI148</f>
        <v>#VALUE!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8000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8000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8000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8000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24</v>
      </c>
      <c r="B197" s="78" t="n">
        <f aca="false">B96</f>
        <v>1078.92379506334</v>
      </c>
      <c r="C197" s="78"/>
      <c r="D197" s="78"/>
      <c r="E197" s="27"/>
      <c r="F197" s="27"/>
      <c r="G197" s="27"/>
      <c r="H197" s="37"/>
      <c r="J197" s="77" t="n">
        <f aca="false">K29</f>
        <v>24</v>
      </c>
      <c r="K197" s="78" t="e">
        <f aca="false">K96</f>
        <v>#VALUE!</v>
      </c>
      <c r="L197" s="78"/>
      <c r="M197" s="78"/>
      <c r="N197" s="27"/>
      <c r="O197" s="27"/>
      <c r="P197" s="27"/>
      <c r="Q197" s="37"/>
      <c r="S197" s="77" t="n">
        <f aca="false">K29</f>
        <v>24</v>
      </c>
      <c r="T197" s="78" t="e">
        <f aca="false">T96</f>
        <v>#VALUE!</v>
      </c>
      <c r="U197" s="78"/>
      <c r="V197" s="78"/>
      <c r="W197" s="27"/>
      <c r="X197" s="27"/>
      <c r="Y197" s="27"/>
      <c r="Z197" s="37"/>
      <c r="AB197" s="77" t="n">
        <f aca="false">K29</f>
        <v>24</v>
      </c>
      <c r="AC197" s="78" t="e">
        <f aca="false">AC96</f>
        <v>#VALUE!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1708.564</v>
      </c>
      <c r="B201" s="47" t="n">
        <f aca="false">E179+A201+B182+A185</f>
        <v>24893.55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n">
        <f aca="false">A197</f>
        <v>24</v>
      </c>
      <c r="C209" s="164"/>
      <c r="D209" s="164"/>
      <c r="E209" s="164" t="n">
        <f aca="false">B196</f>
        <v>8000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1078.92379506334</v>
      </c>
      <c r="B212" s="166" t="str">
        <f aca="false">B167</f>
        <v>0</v>
      </c>
      <c r="C212" s="164"/>
      <c r="D212" s="164"/>
      <c r="E212" s="166" t="n">
        <f aca="false">E167</f>
        <v>1078.92379506334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19583.33</v>
      </c>
      <c r="B215" s="42" t="n">
        <f aca="false">B173</f>
        <v>3916.666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23499.996</v>
      </c>
      <c r="B218" s="42" t="n">
        <f aca="false">B176</f>
        <v>1000</v>
      </c>
      <c r="C218" s="42"/>
      <c r="D218" s="27"/>
      <c r="E218" s="42" t="n">
        <f aca="false">E176</f>
        <v>1000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2000</v>
      </c>
      <c r="B221" s="42" t="n">
        <f aca="false">B179</f>
        <v>0</v>
      </c>
      <c r="C221" s="42"/>
      <c r="D221" s="27"/>
      <c r="E221" s="42" t="n">
        <f aca="false">E179</f>
        <v>22919.996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2974.1750815201</v>
      </c>
      <c r="B224" s="42" t="n">
        <f aca="false">B182</f>
        <v>239.99</v>
      </c>
      <c r="C224" s="42"/>
      <c r="D224" s="27"/>
      <c r="E224" s="42" t="n">
        <f aca="false">E182</f>
        <v>26159.1610815201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2239.99</v>
      </c>
      <c r="C227" s="42"/>
      <c r="D227" s="27"/>
      <c r="E227" s="42" t="n">
        <f aca="false">B59</f>
        <v>23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1078.92379506334</v>
      </c>
      <c r="B230" s="42" t="str">
        <f aca="false">B167</f>
        <v>0</v>
      </c>
      <c r="C230" s="47"/>
      <c r="D230" s="47"/>
      <c r="E230" s="42" t="n">
        <f aca="false">E167</f>
        <v>1078.92379506334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0</v>
      </c>
      <c r="B233" s="42" t="n">
        <f aca="false">E185</f>
        <v>1103.92379506334</v>
      </c>
      <c r="C233" s="36"/>
      <c r="D233" s="36"/>
      <c r="E233" s="42" t="n">
        <f aca="false">A188</f>
        <v>0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B68</f>
        <v>343.79994</v>
      </c>
      <c r="C240" s="36"/>
      <c r="D240" s="36"/>
      <c r="E240" s="42" t="n">
        <f aca="false">E188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1027.12994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</v>
      </c>
      <c r="C253" s="182"/>
      <c r="D253" s="183" t="s">
        <v>227</v>
      </c>
      <c r="E253" s="183"/>
      <c r="F253" s="181" t="n">
        <f aca="false">B83</f>
        <v>0.12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1290.6110815201</v>
      </c>
      <c r="C254" s="182"/>
      <c r="D254" s="183" t="s">
        <v>229</v>
      </c>
      <c r="E254" s="183"/>
      <c r="F254" s="185" t="n">
        <f aca="false">F261+F267+F269+B270+B271</f>
        <v>343.79994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966.811141520099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0.12</v>
      </c>
      <c r="C260" s="47"/>
      <c r="D260" s="156" t="s">
        <v>228</v>
      </c>
      <c r="E260" s="156"/>
      <c r="F260" s="135" t="n">
        <f aca="false">B254</f>
        <v>1290.6110815201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0.015</v>
      </c>
      <c r="C261" s="36"/>
      <c r="D261" s="156" t="s">
        <v>234</v>
      </c>
      <c r="E261" s="156"/>
      <c r="F261" s="142" t="n">
        <f aca="false">B68</f>
        <v>343.79994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966.811141520099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  <c r="J271" s="6" t="n">
        <v>4</v>
      </c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60">
    <mergeCell ref="A1:F1"/>
    <mergeCell ref="D7:E18"/>
    <mergeCell ref="A16:C18"/>
    <mergeCell ref="A19:D19"/>
    <mergeCell ref="A21:D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B105 K105 N105 T105 W105 AC105 AF105 B108:D108 K108:M108 T108:V108 AC108:AE108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 A111" type="list">
      <formula1>HirePurchaseNonRegulated!$K$9:$K$10</formula1>
      <formula2>0</formula2>
    </dataValidation>
    <dataValidation allowBlank="true" errorStyle="stop" operator="between" showDropDown="false" showErrorMessage="true" showInputMessage="false" sqref="B70" type="list">
      <formula1>HirePurchaseNonRegulated!$K$9:$K$10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05" colorId="64" zoomScale="100" zoomScaleNormal="100" zoomScalePageLayoutView="100" workbookViewId="0">
      <selection pane="topLeft" activeCell="F261" activeCellId="0" sqref="F261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102"/>
      <c r="H1" s="102"/>
      <c r="I1" s="7"/>
      <c r="J1" s="7"/>
    </row>
    <row r="2" customFormat="false" ht="19.7" hidden="false" customHeight="fals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351"/>
      <c r="H2" s="352"/>
      <c r="I2" s="7"/>
      <c r="J2" s="7"/>
    </row>
    <row r="3" customFormat="false" ht="18.75" hidden="false" customHeight="false" outlineLevel="0" collapsed="false">
      <c r="A3" s="244"/>
      <c r="B3" s="245" t="s">
        <v>10</v>
      </c>
      <c r="C3" s="245" t="n">
        <v>0</v>
      </c>
      <c r="D3" s="245" t="s">
        <v>10</v>
      </c>
      <c r="E3" s="245"/>
      <c r="F3" s="246" t="s">
        <v>10</v>
      </c>
      <c r="G3" s="353"/>
      <c r="H3" s="354"/>
      <c r="I3" s="7"/>
      <c r="J3" s="7"/>
    </row>
    <row r="4" customFormat="false" ht="18.75" hidden="false" customHeight="false" outlineLevel="0" collapsed="false">
      <c r="A4" s="9" t="s">
        <v>18</v>
      </c>
      <c r="B4" s="10" t="n">
        <f aca="false">B15+C15</f>
        <v>21000</v>
      </c>
      <c r="C4" s="247" t="n">
        <v>0</v>
      </c>
      <c r="D4" s="247" t="n">
        <v>0</v>
      </c>
      <c r="E4" s="247"/>
      <c r="F4" s="248" t="s">
        <v>10</v>
      </c>
      <c r="G4" s="123"/>
      <c r="H4" s="125"/>
      <c r="I4" s="7"/>
      <c r="J4" s="7"/>
    </row>
    <row r="5" customFormat="false" ht="18.75" hidden="false" customHeight="false" outlineLevel="0" collapsed="false">
      <c r="A5" s="67"/>
      <c r="B5" s="67" t="n">
        <v>0</v>
      </c>
      <c r="C5" s="67" t="n">
        <v>0</v>
      </c>
      <c r="D5" s="67" t="n">
        <v>0</v>
      </c>
      <c r="E5" s="67"/>
      <c r="F5" s="67" t="s">
        <v>10</v>
      </c>
      <c r="G5" s="353"/>
      <c r="H5" s="37"/>
      <c r="I5" s="7"/>
      <c r="J5" s="7"/>
    </row>
    <row r="6" customFormat="false" ht="18.75" hidden="false" customHeight="false" outlineLevel="0" collapsed="false">
      <c r="A6" s="67"/>
      <c r="B6" s="67"/>
      <c r="C6" s="67"/>
      <c r="D6" s="67"/>
      <c r="E6" s="67"/>
      <c r="F6" s="67"/>
      <c r="G6" s="146"/>
      <c r="H6" s="37"/>
      <c r="I6" s="7"/>
      <c r="J6" s="7"/>
    </row>
    <row r="7" customFormat="false" ht="18.75" hidden="false" customHeight="fals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146"/>
      <c r="H7" s="37"/>
      <c r="I7" s="7"/>
      <c r="J7" s="7"/>
    </row>
    <row r="8" customFormat="false" ht="18.75" hidden="false" customHeight="false" outlineLevel="0" collapsed="false">
      <c r="A8" s="250"/>
      <c r="B8" s="67"/>
      <c r="C8" s="67"/>
      <c r="D8" s="249"/>
      <c r="E8" s="249"/>
      <c r="F8" s="67"/>
      <c r="G8" s="36"/>
      <c r="H8" s="37"/>
      <c r="I8" s="7"/>
      <c r="J8" s="7"/>
      <c r="L8" s="18" t="s">
        <v>17</v>
      </c>
      <c r="M8" s="14" t="n">
        <f aca="false">H13+H14</f>
        <v>0</v>
      </c>
    </row>
    <row r="9" customFormat="false" ht="19.7" hidden="false" customHeight="false" outlineLevel="0" collapsed="false">
      <c r="A9" s="15" t="s">
        <v>21</v>
      </c>
      <c r="B9" s="19" t="n">
        <v>13208.33</v>
      </c>
      <c r="C9" s="14" t="n">
        <f aca="false">B9*0.2</f>
        <v>3500</v>
      </c>
      <c r="D9" s="249"/>
      <c r="E9" s="249"/>
      <c r="F9" s="67"/>
      <c r="G9" s="129"/>
      <c r="H9" s="355"/>
      <c r="I9" s="7"/>
      <c r="J9" s="7"/>
      <c r="K9" s="6" t="s">
        <v>31</v>
      </c>
      <c r="L9" s="14"/>
      <c r="M9" s="14"/>
    </row>
    <row r="10" customFormat="false" ht="18.75" hidden="false" customHeight="false" outlineLevel="0" collapsed="false">
      <c r="A10" s="251"/>
      <c r="B10" s="67"/>
      <c r="C10" s="67"/>
      <c r="D10" s="249"/>
      <c r="E10" s="249"/>
      <c r="F10" s="67"/>
      <c r="G10" s="146"/>
      <c r="H10" s="354"/>
      <c r="I10" s="7"/>
      <c r="J10" s="7"/>
      <c r="K10" s="6" t="s">
        <v>32</v>
      </c>
      <c r="L10" s="20" t="s">
        <v>15</v>
      </c>
      <c r="M10" s="14" t="n">
        <f aca="false">H15-H11-M8</f>
        <v>0</v>
      </c>
    </row>
    <row r="11" customFormat="false" ht="18.75" hidden="false" customHeight="fals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146"/>
      <c r="H11" s="37"/>
      <c r="I11" s="7"/>
      <c r="J11" s="7"/>
      <c r="L11" s="14"/>
      <c r="M11" s="14"/>
    </row>
    <row r="12" customFormat="false" ht="18.75" hidden="false" customHeight="false" outlineLevel="0" collapsed="false">
      <c r="A12" s="251"/>
      <c r="B12" s="67"/>
      <c r="C12" s="67"/>
      <c r="D12" s="249"/>
      <c r="E12" s="249"/>
      <c r="F12" s="67"/>
      <c r="G12" s="146"/>
      <c r="H12" s="354"/>
      <c r="I12" s="7"/>
      <c r="J12" s="7"/>
    </row>
    <row r="13" customFormat="false" ht="18.75" hidden="false" customHeight="fals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146"/>
      <c r="H13" s="354"/>
      <c r="I13" s="7"/>
      <c r="J13" s="7"/>
    </row>
    <row r="14" customFormat="false" ht="18.75" hidden="false" customHeight="false" outlineLevel="0" collapsed="false">
      <c r="A14" s="251"/>
      <c r="B14" s="67"/>
      <c r="C14" s="67"/>
      <c r="D14" s="249"/>
      <c r="E14" s="249"/>
      <c r="F14" s="67"/>
      <c r="G14" s="146"/>
      <c r="H14" s="354"/>
      <c r="I14" s="7"/>
      <c r="J14" s="7" t="s">
        <v>24</v>
      </c>
    </row>
    <row r="15" customFormat="false" ht="18.75" hidden="false" customHeight="fals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146"/>
      <c r="H15" s="356"/>
      <c r="I15" s="7"/>
      <c r="J15" s="21" t="n">
        <f aca="false">H15</f>
        <v>0</v>
      </c>
    </row>
    <row r="16" customFormat="false" ht="18.75" hidden="false" customHeight="false" outlineLevel="0" collapsed="false">
      <c r="A16" s="252"/>
      <c r="B16" s="252"/>
      <c r="C16" s="252"/>
      <c r="D16" s="249"/>
      <c r="E16" s="249"/>
      <c r="F16" s="67"/>
      <c r="G16" s="146"/>
      <c r="H16" s="354"/>
      <c r="I16" s="7"/>
      <c r="J16" s="7"/>
      <c r="Y16" s="23" t="s">
        <v>26</v>
      </c>
    </row>
    <row r="17" customFormat="false" ht="18.75" hidden="false" customHeight="false" outlineLevel="0" collapsed="false">
      <c r="A17" s="252"/>
      <c r="B17" s="252"/>
      <c r="C17" s="252"/>
      <c r="D17" s="249"/>
      <c r="E17" s="249"/>
      <c r="F17" s="67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252"/>
      <c r="B18" s="252"/>
      <c r="C18" s="252"/>
      <c r="D18" s="249"/>
      <c r="E18" s="249"/>
      <c r="F18" s="67"/>
      <c r="G18" s="43"/>
      <c r="H18" s="357"/>
      <c r="I18" s="7"/>
      <c r="J18" s="21" t="n">
        <v>37405</v>
      </c>
      <c r="Y18" s="23" t="s">
        <v>29</v>
      </c>
    </row>
    <row r="19" customFormat="false" ht="21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43"/>
      <c r="H19" s="357"/>
      <c r="I19" s="7"/>
      <c r="J19" s="7"/>
      <c r="Z19" s="7" t="s">
        <v>31</v>
      </c>
    </row>
    <row r="20" customFormat="false" ht="18.75" hidden="false" customHeight="false" outlineLevel="0" collapsed="false">
      <c r="A20" s="254"/>
      <c r="B20" s="67"/>
      <c r="C20" s="67"/>
      <c r="D20" s="67"/>
      <c r="E20" s="255"/>
      <c r="F20" s="67"/>
      <c r="G20" s="43"/>
      <c r="H20" s="357"/>
      <c r="I20" s="7"/>
      <c r="J20" s="7"/>
      <c r="Z20" s="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358"/>
      <c r="H21" s="359"/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32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95</v>
      </c>
      <c r="K29" s="360" t="n">
        <v>35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35000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0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/>
      <c r="J32" s="33" t="s">
        <v>49</v>
      </c>
      <c r="K32" s="46" t="n">
        <v>0</v>
      </c>
    </row>
    <row r="33" customFormat="false" ht="34.3" hidden="false" customHeight="false" outlineLevel="0" collapsed="false">
      <c r="A33" s="167" t="n">
        <f aca="false">A52</f>
        <v>24</v>
      </c>
      <c r="B33" s="217" t="n">
        <f aca="false">B51</f>
        <v>8000</v>
      </c>
      <c r="C33" s="36"/>
      <c r="D33" s="36"/>
      <c r="E33" s="361" t="n">
        <f aca="false">K48</f>
        <v>783.520134305043</v>
      </c>
      <c r="F33" s="361"/>
      <c r="G33" s="361"/>
      <c r="H33" s="51"/>
      <c r="I33" s="7"/>
      <c r="J33" s="38" t="s">
        <v>366</v>
      </c>
      <c r="K33" s="52" t="n">
        <f aca="false">E21</f>
        <v>17500</v>
      </c>
      <c r="L33" s="6" t="n">
        <f aca="false">H21-H11+(H16*20%)</f>
        <v>0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0.095</v>
      </c>
    </row>
    <row r="36" customFormat="false" ht="18.75" hidden="false" customHeight="false" outlineLevel="0" collapsed="false">
      <c r="A36" s="171" t="n">
        <f aca="false">K47</f>
        <v>783.520134305043</v>
      </c>
      <c r="B36" s="217" t="str">
        <f aca="false">IF(B26="YES",K42,"0.00")</f>
        <v>0.00</v>
      </c>
      <c r="C36" s="217"/>
      <c r="D36" s="217"/>
      <c r="E36" s="361" t="n">
        <f aca="false">K31</f>
        <v>0</v>
      </c>
      <c r="F36" s="361"/>
      <c r="G36" s="361"/>
      <c r="H36" s="51"/>
      <c r="I36" s="7"/>
      <c r="J36" s="7" t="s">
        <v>63</v>
      </c>
      <c r="K36" s="7" t="n">
        <f aca="false">K29</f>
        <v>24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17500</v>
      </c>
      <c r="L39" s="7" t="n">
        <f aca="false">(L47*K46)+K44</f>
        <v>17868.0794366791</v>
      </c>
      <c r="N39" s="6" t="n">
        <f aca="false">K39-L39</f>
        <v>-368.079436679131</v>
      </c>
    </row>
    <row r="40" customFormat="false" ht="18.75" hidden="false" customHeight="false" outlineLevel="0" collapsed="false">
      <c r="A40" s="109" t="n">
        <f aca="false">E36*A45/100</f>
        <v>0</v>
      </c>
      <c r="B40" s="109" t="str">
        <f aca="false">IF(B26="YES",K42,"0.00")</f>
        <v>0.00</v>
      </c>
      <c r="C40" s="109"/>
      <c r="D40" s="109"/>
      <c r="E40" s="170" t="n">
        <f aca="false">K32</f>
        <v>0</v>
      </c>
      <c r="F40" s="47"/>
      <c r="G40" s="47"/>
      <c r="H40" s="51"/>
      <c r="J40" s="7" t="s">
        <v>119</v>
      </c>
      <c r="K40" s="7" t="n">
        <f aca="false">(A40)/1.2</f>
        <v>0</v>
      </c>
      <c r="L40" s="7" t="n">
        <f aca="false">K39-L39</f>
        <v>-368.079436679131</v>
      </c>
      <c r="N40" s="6" t="n">
        <f aca="false">N38-N39</f>
        <v>3279.75943667913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0.00583333333333333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(K32/K36)*C45/100</f>
        <v>0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0</v>
      </c>
      <c r="L44" s="7"/>
    </row>
    <row r="45" customFormat="false" ht="18.75" hidden="false" customHeight="false" outlineLevel="0" collapsed="false">
      <c r="A45" s="65" t="n">
        <v>50</v>
      </c>
      <c r="B45" s="36"/>
      <c r="C45" s="66" t="n">
        <v>100</v>
      </c>
      <c r="D45" s="66"/>
      <c r="E45" s="66"/>
      <c r="F45" s="36"/>
      <c r="G45" s="36"/>
      <c r="H45" s="37"/>
      <c r="J45" s="7" t="s">
        <v>377</v>
      </c>
      <c r="K45" s="7" t="n">
        <f aca="false">(K39-K44)</f>
        <v>17500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22.3350992958489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783.520134305043</v>
      </c>
      <c r="L47" s="7" t="n">
        <f aca="false">L49-K42</f>
        <v>800</v>
      </c>
      <c r="M47" s="6" t="n">
        <f aca="false">K47-L47</f>
        <v>-16.4798656949575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783.520134305043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8000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24</v>
      </c>
      <c r="B52" s="78" t="n">
        <f aca="false">K48</f>
        <v>783.520134305043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23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23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23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23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37405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37405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37405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37405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0.0105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0.0105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0.095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0.0425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6010.76406313575</v>
      </c>
      <c r="C65" s="36"/>
      <c r="D65" s="36"/>
      <c r="E65" s="27"/>
      <c r="F65" s="27"/>
      <c r="G65" s="27"/>
      <c r="H65" s="37"/>
      <c r="J65" s="60" t="s">
        <v>103</v>
      </c>
      <c r="K65" s="69" t="e">
        <f aca="false">(K89*K59)-(K47*K29)</f>
        <v>#VALUE!</v>
      </c>
      <c r="L65" s="36"/>
      <c r="M65" s="36"/>
      <c r="N65" s="27"/>
      <c r="O65" s="27"/>
      <c r="P65" s="27"/>
      <c r="Q65" s="37"/>
      <c r="S65" s="60" t="s">
        <v>103</v>
      </c>
      <c r="T65" s="69" t="e">
        <f aca="false">(T89*T59)-(K47*K29)</f>
        <v>#VALUE!</v>
      </c>
      <c r="U65" s="36"/>
      <c r="V65" s="36"/>
      <c r="W65" s="27"/>
      <c r="X65" s="27"/>
      <c r="Y65" s="27"/>
      <c r="Z65" s="37"/>
      <c r="AB65" s="60" t="s">
        <v>103</v>
      </c>
      <c r="AC65" s="69" t="e">
        <f aca="false">(AC89*AC59)-(K47*K29)</f>
        <v>#VALUE!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0.0075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0.0625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0.0075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0.0075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171.89997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2337.8125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280.5375</v>
      </c>
      <c r="U68" s="36"/>
      <c r="V68" s="36"/>
      <c r="W68" s="27"/>
      <c r="X68" s="27"/>
      <c r="Y68" s="27"/>
      <c r="Z68" s="37"/>
      <c r="AB68" s="60" t="s">
        <v>106</v>
      </c>
      <c r="AC68" s="69" t="e">
        <f aca="false">AH158*AC67</f>
        <v>#VALUE!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B73*K29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36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783.520134305043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783.520134305043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783.520134305043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783.520134305043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22919.996</v>
      </c>
      <c r="C81" s="36"/>
      <c r="D81" s="36"/>
      <c r="E81" s="27"/>
      <c r="F81" s="29" t="s">
        <v>118</v>
      </c>
      <c r="G81" s="31" t="n">
        <f aca="false">G158</f>
        <v>22919.996</v>
      </c>
      <c r="H81" s="37"/>
      <c r="J81" s="29" t="s">
        <v>118</v>
      </c>
      <c r="K81" s="31" t="e">
        <f aca="false">P158</f>
        <v>#VALUE!</v>
      </c>
      <c r="L81" s="36"/>
      <c r="M81" s="36"/>
      <c r="N81" s="27"/>
      <c r="O81" s="27"/>
      <c r="P81" s="27"/>
      <c r="Q81" s="37"/>
      <c r="S81" s="29" t="s">
        <v>118</v>
      </c>
      <c r="T81" s="31" t="e">
        <f aca="false">Y158</f>
        <v>#VALUE!</v>
      </c>
      <c r="U81" s="36"/>
      <c r="V81" s="36"/>
      <c r="W81" s="27"/>
      <c r="X81" s="27"/>
      <c r="Y81" s="27"/>
      <c r="Z81" s="37"/>
      <c r="AB81" s="29" t="s">
        <v>118</v>
      </c>
      <c r="AC81" s="31" t="e">
        <f aca="false">AH158</f>
        <v>#VALUE!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0</v>
      </c>
      <c r="C82" s="36"/>
      <c r="D82" s="36"/>
      <c r="E82" s="27"/>
      <c r="F82" s="35" t="s">
        <v>119</v>
      </c>
      <c r="G82" s="37" t="n">
        <f aca="false">IF(A111="YES",A40,0)</f>
        <v>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0.12</v>
      </c>
      <c r="C83" s="36"/>
      <c r="D83" s="36"/>
      <c r="E83" s="27"/>
      <c r="F83" s="35" t="s">
        <v>120</v>
      </c>
      <c r="G83" s="95" t="n">
        <f aca="false">B63</f>
        <v>0.07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0.1415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0.1415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</v>
      </c>
      <c r="C84" s="36"/>
      <c r="D84" s="36"/>
      <c r="E84" s="27"/>
      <c r="F84" s="35" t="s">
        <v>121</v>
      </c>
      <c r="G84" s="88" t="n">
        <f aca="false">G83/12</f>
        <v>0.00583333333333333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0.0117916666666667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0.0117916666666667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24</v>
      </c>
      <c r="C85" s="36"/>
      <c r="D85" s="36"/>
      <c r="E85" s="27"/>
      <c r="F85" s="35" t="s">
        <v>122</v>
      </c>
      <c r="G85" s="37" t="n">
        <f aca="false">IF(G82=0,(B59+B58),(B59))</f>
        <v>24</v>
      </c>
      <c r="H85" s="37"/>
      <c r="J85" s="35" t="s">
        <v>122</v>
      </c>
      <c r="K85" s="37" t="n">
        <f aca="false">IF(K82=0,(K59+K58),(K59))</f>
        <v>24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23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23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0</v>
      </c>
      <c r="C86" s="36"/>
      <c r="D86" s="36"/>
      <c r="E86" s="27"/>
      <c r="F86" s="35" t="s">
        <v>123</v>
      </c>
      <c r="G86" s="37" t="n">
        <f aca="false">(G82/((1+G84)^(G85+1)))</f>
        <v>0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0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21.2433872576279</v>
      </c>
      <c r="C87" s="36"/>
      <c r="D87" s="36"/>
      <c r="E87" s="27"/>
      <c r="F87" s="35" t="s">
        <v>124</v>
      </c>
      <c r="G87" s="37" t="n">
        <f aca="false">((1-(1/((1+G84)^G85)))/G84)</f>
        <v>22.3350992958489</v>
      </c>
      <c r="H87" s="37"/>
      <c r="J87" s="35" t="s">
        <v>124</v>
      </c>
      <c r="K87" s="37" t="n">
        <f aca="false">((1-(1/((1+K84)^K85)))/K84)</f>
        <v>18.9139256030578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20.0422673930129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20.0422673930129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22919.996</v>
      </c>
      <c r="C88" s="36"/>
      <c r="D88" s="36"/>
      <c r="E88" s="27"/>
      <c r="F88" s="35" t="s">
        <v>125</v>
      </c>
      <c r="G88" s="37" t="n">
        <f aca="false">G81-G86</f>
        <v>22919.996</v>
      </c>
      <c r="H88" s="37"/>
      <c r="J88" s="35" t="s">
        <v>125</v>
      </c>
      <c r="K88" s="37" t="e">
        <f aca="false">K81-K86</f>
        <v>#VALUE!</v>
      </c>
      <c r="L88" s="36"/>
      <c r="M88" s="36"/>
      <c r="N88" s="27"/>
      <c r="O88" s="27"/>
      <c r="P88" s="27"/>
      <c r="Q88" s="37"/>
      <c r="S88" s="35" t="s">
        <v>125</v>
      </c>
      <c r="T88" s="37" t="e">
        <f aca="false">T81-T86</f>
        <v>#VALUE!</v>
      </c>
      <c r="U88" s="36"/>
      <c r="V88" s="36"/>
      <c r="W88" s="27"/>
      <c r="X88" s="27"/>
      <c r="Y88" s="27"/>
      <c r="Z88" s="37"/>
      <c r="AB88" s="35" t="s">
        <v>125</v>
      </c>
      <c r="AC88" s="37" t="e">
        <f aca="false">AC81-AC86</f>
        <v>#VALUE!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1078.92379506334</v>
      </c>
      <c r="C89" s="36"/>
      <c r="D89" s="36"/>
      <c r="E89" s="27"/>
      <c r="F89" s="35" t="s">
        <v>126</v>
      </c>
      <c r="G89" s="37" t="n">
        <f aca="false">(G88/G87)</f>
        <v>1026.18733395377</v>
      </c>
      <c r="H89" s="37"/>
      <c r="J89" s="35" t="s">
        <v>126</v>
      </c>
      <c r="K89" s="37" t="e">
        <f aca="false">(K88/K87)</f>
        <v>#VALUE!</v>
      </c>
      <c r="L89" s="36"/>
      <c r="M89" s="36"/>
      <c r="N89" s="27"/>
      <c r="O89" s="27"/>
      <c r="P89" s="27"/>
      <c r="Q89" s="37"/>
      <c r="S89" s="35" t="s">
        <v>126</v>
      </c>
      <c r="T89" s="37" t="e">
        <f aca="false">(T88/T87)</f>
        <v>#VALUE!</v>
      </c>
      <c r="U89" s="36"/>
      <c r="V89" s="36"/>
      <c r="W89" s="27"/>
      <c r="X89" s="27"/>
      <c r="Y89" s="27"/>
      <c r="Z89" s="37"/>
      <c r="AB89" s="35" t="s">
        <v>126</v>
      </c>
      <c r="AC89" s="37" t="e">
        <f aca="false">(AC88/AC87)</f>
        <v>#VALUE!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25894.1710815201</v>
      </c>
      <c r="C90" s="36"/>
      <c r="D90" s="36"/>
      <c r="E90" s="27"/>
      <c r="F90" s="35" t="s">
        <v>127</v>
      </c>
      <c r="G90" s="37" t="n">
        <f aca="false">((G89*(G85))+G77)</f>
        <v>24628.4960148906</v>
      </c>
      <c r="H90" s="37"/>
      <c r="J90" s="35" t="s">
        <v>127</v>
      </c>
      <c r="K90" s="37" t="e">
        <f aca="false">((K89*(K85))+K77)</f>
        <v>#VALUE!</v>
      </c>
      <c r="L90" s="36"/>
      <c r="M90" s="36"/>
      <c r="N90" s="27"/>
      <c r="O90" s="27"/>
      <c r="P90" s="27"/>
      <c r="Q90" s="37"/>
      <c r="S90" s="35" t="s">
        <v>127</v>
      </c>
      <c r="T90" s="37" t="e">
        <f aca="false">(T89*(T85))+T77</f>
        <v>#VALUE!</v>
      </c>
      <c r="U90" s="36"/>
      <c r="V90" s="36"/>
      <c r="W90" s="27"/>
      <c r="X90" s="27"/>
      <c r="Y90" s="27"/>
      <c r="Z90" s="37"/>
      <c r="AB90" s="35" t="s">
        <v>127</v>
      </c>
      <c r="AC90" s="37" t="e">
        <f aca="false">(AC89*(AC59))+AC77</f>
        <v>#VALUE!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e">
        <f aca="false">(K90/(1-K71))*K71</f>
        <v>#VALUE!</v>
      </c>
      <c r="L91" s="36"/>
      <c r="M91" s="36"/>
      <c r="N91" s="27"/>
      <c r="O91" s="27"/>
      <c r="P91" s="27"/>
      <c r="Q91" s="37"/>
      <c r="S91" s="35" t="s">
        <v>128</v>
      </c>
      <c r="T91" s="37" t="e">
        <f aca="false">(T90/(1-T71))*T71</f>
        <v>#VALUE!</v>
      </c>
      <c r="U91" s="36"/>
      <c r="V91" s="36"/>
      <c r="W91" s="27"/>
      <c r="X91" s="27"/>
      <c r="Y91" s="27"/>
      <c r="Z91" s="37"/>
      <c r="AB91" s="35" t="s">
        <v>128</v>
      </c>
      <c r="AC91" s="37" t="e">
        <f aca="false">(AC90/(1-AC71))*AC71</f>
        <v>#VALUE!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25894.1710815201</v>
      </c>
      <c r="C92" s="36"/>
      <c r="D92" s="36"/>
      <c r="E92" s="27"/>
      <c r="F92" s="60" t="s">
        <v>129</v>
      </c>
      <c r="G92" s="69" t="n">
        <f aca="false">(G90+G91)</f>
        <v>24628.4960148906</v>
      </c>
      <c r="H92" s="37"/>
      <c r="J92" s="60" t="s">
        <v>129</v>
      </c>
      <c r="K92" s="69" t="e">
        <f aca="false">(K90+K91)</f>
        <v>#VALUE!</v>
      </c>
      <c r="L92" s="36"/>
      <c r="M92" s="36"/>
      <c r="N92" s="27"/>
      <c r="O92" s="27"/>
      <c r="P92" s="27"/>
      <c r="Q92" s="37"/>
      <c r="S92" s="60" t="s">
        <v>129</v>
      </c>
      <c r="T92" s="69" t="e">
        <f aca="false">(T90+T91)</f>
        <v>#VALUE!</v>
      </c>
      <c r="U92" s="36"/>
      <c r="V92" s="36"/>
      <c r="W92" s="27"/>
      <c r="X92" s="27"/>
      <c r="Y92" s="27"/>
      <c r="Z92" s="37"/>
      <c r="AB92" s="60" t="s">
        <v>129</v>
      </c>
      <c r="AC92" s="69" t="e">
        <f aca="false">(AC90+AC91)</f>
        <v>#VALUE!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6" t="str">
        <f aca="false">IF(B26="YES",((E40/B85)*(1+A108)*(C45/100)),"0")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  <c r="J94" s="92" t="s">
        <v>130</v>
      </c>
      <c r="K94" s="93" t="n">
        <f aca="false">((E40/K85)*(1+J108))*1.2</f>
        <v>0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0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0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1078.92379506334</v>
      </c>
      <c r="C95" s="36"/>
      <c r="D95" s="36"/>
      <c r="E95" s="27"/>
      <c r="F95" s="97" t="s">
        <v>131</v>
      </c>
      <c r="G95" s="98" t="n">
        <f aca="false">G92/(G85)</f>
        <v>1026.18733395377</v>
      </c>
      <c r="H95" s="37"/>
      <c r="J95" s="97" t="s">
        <v>131</v>
      </c>
      <c r="K95" s="98" t="e">
        <f aca="false">K92/(K85)</f>
        <v>#VALUE!</v>
      </c>
      <c r="L95" s="36"/>
      <c r="M95" s="36"/>
      <c r="N95" s="27"/>
      <c r="O95" s="27"/>
      <c r="P95" s="27"/>
      <c r="Q95" s="37"/>
      <c r="S95" s="97" t="s">
        <v>131</v>
      </c>
      <c r="T95" s="98" t="e">
        <f aca="false">T92/(T85)</f>
        <v>#VALUE!</v>
      </c>
      <c r="U95" s="36"/>
      <c r="V95" s="36"/>
      <c r="W95" s="27"/>
      <c r="X95" s="27"/>
      <c r="Y95" s="27"/>
      <c r="Z95" s="37"/>
      <c r="AB95" s="97" t="s">
        <v>131</v>
      </c>
      <c r="AC95" s="98" t="e">
        <f aca="false">AC92/(AC59)</f>
        <v>#VALUE!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1078.92379506334</v>
      </c>
      <c r="C96" s="36"/>
      <c r="D96" s="36"/>
      <c r="E96" s="27"/>
      <c r="F96" s="99" t="s">
        <v>132</v>
      </c>
      <c r="G96" s="100" t="n">
        <f aca="false">G94+G95</f>
        <v>1026.18733395377</v>
      </c>
      <c r="H96" s="37"/>
      <c r="J96" s="99" t="s">
        <v>132</v>
      </c>
      <c r="K96" s="100" t="e">
        <f aca="false">(K94+K95)</f>
        <v>#VALUE!</v>
      </c>
      <c r="L96" s="36"/>
      <c r="M96" s="36"/>
      <c r="N96" s="27"/>
      <c r="O96" s="27"/>
      <c r="P96" s="27"/>
      <c r="Q96" s="37"/>
      <c r="S96" s="99" t="s">
        <v>132</v>
      </c>
      <c r="T96" s="100" t="e">
        <f aca="false">T94+T95</f>
        <v>#VALUE!</v>
      </c>
      <c r="U96" s="36"/>
      <c r="V96" s="36"/>
      <c r="W96" s="27"/>
      <c r="X96" s="27"/>
      <c r="Y96" s="27"/>
      <c r="Z96" s="37"/>
      <c r="AB96" s="99" t="s">
        <v>132</v>
      </c>
      <c r="AC96" s="100" t="e">
        <f aca="false">AC94+AC95</f>
        <v>#VALUE!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362" t="s">
        <v>32</v>
      </c>
      <c r="F105" s="362"/>
      <c r="G105" s="362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0.2</v>
      </c>
      <c r="B108" s="109" t="n">
        <v>0</v>
      </c>
      <c r="C108" s="109"/>
      <c r="D108" s="109" t="n">
        <v>0</v>
      </c>
      <c r="E108" s="110" t="n">
        <f aca="false">B83</f>
        <v>0.12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0.1415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0.1415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1000</v>
      </c>
      <c r="C111" s="109"/>
      <c r="D111" s="109"/>
      <c r="E111" s="109" t="n">
        <v>1000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2000</v>
      </c>
      <c r="B114" s="109" t="n">
        <v>199.991666666667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B9</f>
        <v>17500</v>
      </c>
      <c r="C121" s="44" t="n">
        <v>19791.67</v>
      </c>
      <c r="D121" s="29" t="n">
        <v>0</v>
      </c>
      <c r="E121" s="44" t="n">
        <f aca="false">D121</f>
        <v>0</v>
      </c>
      <c r="F121" s="29" t="n">
        <f aca="false">B11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str">
        <f aca="false">B3</f>
        <v> </v>
      </c>
      <c r="L121" s="44" t="n">
        <v>28629.17</v>
      </c>
      <c r="M121" s="29" t="str">
        <f aca="false">D3</f>
        <v> </v>
      </c>
      <c r="N121" s="44" t="str">
        <f aca="false">M121</f>
        <v> </v>
      </c>
      <c r="O121" s="29" t="str">
        <f aca="false">F3</f>
        <v> </v>
      </c>
      <c r="P121" s="44" t="str">
        <f aca="false">O121</f>
        <v> </v>
      </c>
      <c r="Q121" s="121" t="n">
        <f aca="false">H3</f>
        <v>0</v>
      </c>
      <c r="S121" s="29" t="s">
        <v>161</v>
      </c>
      <c r="T121" s="29" t="str">
        <f aca="false">B3</f>
        <v> </v>
      </c>
      <c r="U121" s="44" t="str">
        <f aca="false">T121</f>
        <v> </v>
      </c>
      <c r="V121" s="29" t="str">
        <f aca="false">D3</f>
        <v> </v>
      </c>
      <c r="W121" s="44" t="str">
        <f aca="false">V121</f>
        <v> </v>
      </c>
      <c r="X121" s="29" t="str">
        <f aca="false">F3</f>
        <v> </v>
      </c>
      <c r="Y121" s="44" t="str">
        <f aca="false">X121</f>
        <v> </v>
      </c>
      <c r="Z121" s="121" t="n">
        <f aca="false">H3</f>
        <v>0</v>
      </c>
      <c r="AB121" s="29" t="s">
        <v>161</v>
      </c>
      <c r="AC121" s="29" t="str">
        <f aca="false">B3</f>
        <v> </v>
      </c>
      <c r="AD121" s="44" t="str">
        <f aca="false">AC121</f>
        <v> </v>
      </c>
      <c r="AE121" s="29" t="str">
        <f aca="false">D3</f>
        <v> </v>
      </c>
      <c r="AF121" s="44" t="str">
        <f aca="false">AE121</f>
        <v> </v>
      </c>
      <c r="AG121" s="29" t="str">
        <f aca="false">F3</f>
        <v> </v>
      </c>
      <c r="AH121" s="44" t="str">
        <f aca="false">AG121</f>
        <v> 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v>0</v>
      </c>
      <c r="C122" s="123" t="n">
        <v>0</v>
      </c>
      <c r="D122" s="122" t="n">
        <v>0</v>
      </c>
      <c r="E122" s="123" t="n">
        <v>0</v>
      </c>
      <c r="F122" s="122" t="n">
        <v>0</v>
      </c>
      <c r="G122" s="363" t="n">
        <v>0</v>
      </c>
      <c r="H122" s="125"/>
      <c r="J122" s="35" t="s">
        <v>162</v>
      </c>
      <c r="K122" s="122" t="n">
        <f aca="false">B4</f>
        <v>21000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str">
        <f aca="false">F4</f>
        <v> </v>
      </c>
      <c r="P122" s="363" t="str">
        <f aca="false">O122</f>
        <v> </v>
      </c>
      <c r="Q122" s="125"/>
      <c r="S122" s="35" t="s">
        <v>162</v>
      </c>
      <c r="T122" s="122" t="n">
        <f aca="false">B4</f>
        <v>21000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str">
        <f aca="false">F4</f>
        <v> </v>
      </c>
      <c r="Y122" s="363" t="str">
        <f aca="false">X122</f>
        <v> </v>
      </c>
      <c r="Z122" s="125"/>
      <c r="AB122" s="35" t="s">
        <v>162</v>
      </c>
      <c r="AC122" s="122" t="n">
        <f aca="false">B4</f>
        <v>21000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str">
        <f aca="false">F4</f>
        <v> </v>
      </c>
      <c r="AH122" s="363" t="str">
        <f aca="false">AG122</f>
        <v> 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v>0</v>
      </c>
      <c r="C123" s="44" t="n">
        <v>0</v>
      </c>
      <c r="D123" s="35" t="n">
        <v>0</v>
      </c>
      <c r="E123" s="44" t="n">
        <v>0</v>
      </c>
      <c r="F123" s="35" t="n"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str">
        <f aca="false">F5</f>
        <v> </v>
      </c>
      <c r="P123" s="44" t="str">
        <f aca="false">O123</f>
        <v> 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str">
        <f aca="false">F5</f>
        <v> </v>
      </c>
      <c r="Y123" s="44" t="str">
        <f aca="false">X123</f>
        <v> 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str">
        <f aca="false">F5</f>
        <v> </v>
      </c>
      <c r="AH123" s="44" t="str">
        <f aca="false">AG123</f>
        <v> 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0</v>
      </c>
      <c r="C124" s="31" t="n">
        <f aca="false">(C121*C122/100)+C123</f>
        <v>0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e">
        <f aca="false">(K121*K122)+K123</f>
        <v>#VALUE!</v>
      </c>
      <c r="L124" s="31" t="n">
        <f aca="false">(L121*L122)+L123</f>
        <v>0</v>
      </c>
      <c r="M124" s="35" t="e">
        <f aca="false">(M121*M122)+M123</f>
        <v>#VALUE!</v>
      </c>
      <c r="N124" s="31" t="e">
        <f aca="false">(N121*N122)+N123</f>
        <v>#VALUE!</v>
      </c>
      <c r="O124" s="35" t="e">
        <f aca="false">(O121*O122)+O123</f>
        <v>#VALUE!</v>
      </c>
      <c r="P124" s="31" t="e">
        <f aca="false">(P121*P122)+P123</f>
        <v>#VALUE!</v>
      </c>
      <c r="Q124" s="37"/>
      <c r="S124" s="35" t="s">
        <v>164</v>
      </c>
      <c r="T124" s="35" t="e">
        <f aca="false">(T121*T122)+T123</f>
        <v>#VALUE!</v>
      </c>
      <c r="U124" s="31" t="e">
        <f aca="false">(U121*U122)+U123</f>
        <v>#VALUE!</v>
      </c>
      <c r="V124" s="35" t="e">
        <f aca="false">(V121*V122)+V123</f>
        <v>#VALUE!</v>
      </c>
      <c r="W124" s="31" t="e">
        <f aca="false">(W121*W122)+W123</f>
        <v>#VALUE!</v>
      </c>
      <c r="X124" s="35" t="e">
        <f aca="false">(X121*X122)+X123</f>
        <v>#VALUE!</v>
      </c>
      <c r="Y124" s="31" t="e">
        <f aca="false">(Y121*Y122)+Y123</f>
        <v>#VALUE!</v>
      </c>
      <c r="Z124" s="37"/>
      <c r="AB124" s="35" t="s">
        <v>164</v>
      </c>
      <c r="AC124" s="35" t="e">
        <f aca="false">(AC121*AC122)+AC123</f>
        <v>#VALUE!</v>
      </c>
      <c r="AD124" s="31" t="e">
        <f aca="false">(AD121*AD122)+AD123</f>
        <v>#VALUE!</v>
      </c>
      <c r="AE124" s="35" t="e">
        <f aca="false">(AE121*AE122)+AE123</f>
        <v>#VALUE!</v>
      </c>
      <c r="AF124" s="31" t="e">
        <f aca="false">(AF121*AF122)+AF123</f>
        <v>#VALUE!</v>
      </c>
      <c r="AG124" s="35" t="e">
        <f aca="false">(AG121*AG122)+AG123</f>
        <v>#VALUE!</v>
      </c>
      <c r="AH124" s="31" t="e">
        <f aca="false">(AH121*AH122)+AH123</f>
        <v>#VALUE!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17500</v>
      </c>
      <c r="C125" s="69" t="n">
        <f aca="false">C121-C124</f>
        <v>19583.33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e">
        <f aca="false">K121-K124</f>
        <v>#VALUE!</v>
      </c>
      <c r="L125" s="69" t="n">
        <f aca="false">L121-L124</f>
        <v>28629.17</v>
      </c>
      <c r="M125" s="60" t="e">
        <f aca="false">M121-M124</f>
        <v>#VALUE!</v>
      </c>
      <c r="N125" s="69" t="e">
        <f aca="false">N121-N124</f>
        <v>#VALUE!</v>
      </c>
      <c r="O125" s="60" t="e">
        <f aca="false">O121-O124</f>
        <v>#VALUE!</v>
      </c>
      <c r="P125" s="69" t="e">
        <f aca="false">P121-P124</f>
        <v>#VALUE!</v>
      </c>
      <c r="Q125" s="69"/>
      <c r="S125" s="60" t="s">
        <v>165</v>
      </c>
      <c r="T125" s="60" t="e">
        <f aca="false">T121-T124</f>
        <v>#VALUE!</v>
      </c>
      <c r="U125" s="69" t="e">
        <f aca="false">U121-U124</f>
        <v>#VALUE!</v>
      </c>
      <c r="V125" s="60" t="e">
        <f aca="false">V121-V124</f>
        <v>#VALUE!</v>
      </c>
      <c r="W125" s="69" t="e">
        <f aca="false">W121-W124</f>
        <v>#VALUE!</v>
      </c>
      <c r="X125" s="60" t="e">
        <f aca="false">X121-X124</f>
        <v>#VALUE!</v>
      </c>
      <c r="Y125" s="69" t="e">
        <f aca="false">Y121-Y124</f>
        <v>#VALUE!</v>
      </c>
      <c r="Z125" s="69"/>
      <c r="AB125" s="60" t="s">
        <v>165</v>
      </c>
      <c r="AC125" s="60" t="e">
        <f aca="false">AC121-AC124</f>
        <v>#VALUE!</v>
      </c>
      <c r="AD125" s="69" t="e">
        <f aca="false">AD121-AD124</f>
        <v>#VALUE!</v>
      </c>
      <c r="AE125" s="60" t="e">
        <f aca="false">AE121-AE124</f>
        <v>#VALUE!</v>
      </c>
      <c r="AF125" s="69" t="e">
        <f aca="false">AF121-AF124</f>
        <v>#VALUE!</v>
      </c>
      <c r="AG125" s="60" t="e">
        <f aca="false">AG121-AG124</f>
        <v>#VALUE!</v>
      </c>
      <c r="AH125" s="69" t="e">
        <f aca="false">AH121-AH124</f>
        <v>#VALUE!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B121</f>
        <v>17500</v>
      </c>
      <c r="H135" s="144" t="n">
        <f aca="false">C125+E125+G125+H128</f>
        <v>19583.33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0</v>
      </c>
      <c r="Q135" s="144" t="e">
        <f aca="false">L125+N125+P125+Q128</f>
        <v>#VALUE!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0</v>
      </c>
      <c r="Z135" s="144" t="e">
        <f aca="false">U125+W125+Y125+Z128</f>
        <v>#VALUE!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0</v>
      </c>
      <c r="AI135" s="144" t="e">
        <f aca="false">AD125+AF125+AH125+AI128</f>
        <v>#VALUE!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0</v>
      </c>
      <c r="H136" s="37" t="n">
        <f aca="false">G136</f>
        <v>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0</v>
      </c>
      <c r="Q136" s="37" t="n">
        <f aca="false">P136</f>
        <v>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0</v>
      </c>
      <c r="Z136" s="37" t="n">
        <f aca="false">Y136</f>
        <v>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0</v>
      </c>
      <c r="AI136" s="37" t="n">
        <f aca="false">AH136</f>
        <v>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37" t="n">
        <f aca="false">(G135+G136)*20%</f>
        <v>3500</v>
      </c>
      <c r="H137" s="37" t="n">
        <f aca="false">(H135+H136)*20%</f>
        <v>3916.666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0</v>
      </c>
      <c r="Q137" s="37" t="e">
        <f aca="false">(Q135+Q136)*20%</f>
        <v>#VALUE!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0</v>
      </c>
      <c r="Z137" s="37" t="e">
        <f aca="false">(Z135+Z136)*20%</f>
        <v>#VALUE!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0</v>
      </c>
      <c r="AI137" s="37" t="e">
        <f aca="false">(AI135+AI136)*20%</f>
        <v>#VALUE!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0</v>
      </c>
      <c r="H139" s="37" t="n">
        <f aca="false">G139</f>
        <v>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0</v>
      </c>
      <c r="Q139" s="37" t="n">
        <f aca="false">P139</f>
        <v>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0</v>
      </c>
      <c r="Z139" s="37" t="n">
        <f aca="false">Y139</f>
        <v>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0</v>
      </c>
      <c r="AI139" s="37" t="n">
        <f aca="false">AH139</f>
        <v>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0</v>
      </c>
      <c r="H140" s="37" t="n">
        <f aca="false">G140</f>
        <v>0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0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0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0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7" t="n">
        <f aca="false">(G135+G136+G139+G140+G137)-G138</f>
        <v>21000</v>
      </c>
      <c r="H141" s="147" t="n">
        <f aca="false">(H135+H136+H139+H140+H137)-H138</f>
        <v>23499.996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0</v>
      </c>
      <c r="Q141" s="147" t="e">
        <f aca="false">(Q135+Q136+Q139+Q140+Q137)-Q138</f>
        <v>#VALUE!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0</v>
      </c>
      <c r="Z141" s="147" t="e">
        <f aca="false">(Z135+Z136+Z139+Z140+Z137)-Z138</f>
        <v>#VALUE!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0</v>
      </c>
      <c r="AI141" s="147" t="e">
        <f aca="false">(AI135+AI136+AI139+AI140+AI137)-AI138</f>
        <v>#VALUE!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21000</v>
      </c>
      <c r="H147" s="154" t="n">
        <f aca="false">H141-((H144*1.2)+(H145*1.2)+(H146*1.2)+(H142*1.2))</f>
        <v>23499.996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0</v>
      </c>
      <c r="Q147" s="154" t="e">
        <f aca="false">Q141-((Q144*1.2)+(Q145*1.2)+(Q146*1.2)+(Q142*1.2))</f>
        <v>#VALUE!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0</v>
      </c>
      <c r="Z147" s="154" t="e">
        <f aca="false">Z141-((Z144*1.2)+(Z145*1.2)+(Z146*1.2)+(Z142*1.2))</f>
        <v>#VALUE!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0</v>
      </c>
      <c r="AI147" s="154" t="e">
        <f aca="false">AI141-((AI144*1.2)+(AI145*1.2)+(AI146*1.2)+(AI142*1.2))</f>
        <v>#VALUE!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2083.33</v>
      </c>
      <c r="I148" s="6" t="n">
        <f aca="false">(H148-G81)/1.2</f>
        <v>-17363.8883333333</v>
      </c>
      <c r="J148" s="145" t="s">
        <v>184</v>
      </c>
      <c r="K148" s="145"/>
      <c r="L148" s="145"/>
      <c r="M148" s="145"/>
      <c r="N148" s="145"/>
      <c r="O148" s="145"/>
      <c r="P148" s="146"/>
      <c r="Q148" s="44" t="e">
        <f aca="false">Q147-P147</f>
        <v>#VALUE!</v>
      </c>
      <c r="S148" s="145" t="s">
        <v>184</v>
      </c>
      <c r="T148" s="145"/>
      <c r="U148" s="145"/>
      <c r="V148" s="145"/>
      <c r="W148" s="145"/>
      <c r="X148" s="145"/>
      <c r="Y148" s="146"/>
      <c r="Z148" s="44" t="e">
        <f aca="false">Z147-Y147</f>
        <v>#VALUE!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e">
        <f aca="false">AI147-AH147</f>
        <v>#VALUE!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35" t="s">
        <v>190</v>
      </c>
      <c r="B156" s="36"/>
      <c r="C156" s="36"/>
      <c r="D156" s="27"/>
      <c r="E156" s="36"/>
      <c r="F156" s="27"/>
      <c r="G156" s="27"/>
      <c r="H156" s="44" t="n">
        <v>1420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2000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22919.996</v>
      </c>
      <c r="H158" s="160"/>
      <c r="J158" s="159" t="s">
        <v>192</v>
      </c>
      <c r="K158" s="36"/>
      <c r="L158" s="36"/>
      <c r="M158" s="27"/>
      <c r="N158" s="36"/>
      <c r="O158" s="27"/>
      <c r="P158" s="160" t="e">
        <f aca="false">Q147-P154-P157</f>
        <v>#VALUE!</v>
      </c>
      <c r="Q158" s="160"/>
      <c r="S158" s="159" t="s">
        <v>192</v>
      </c>
      <c r="T158" s="36"/>
      <c r="U158" s="36"/>
      <c r="V158" s="27"/>
      <c r="W158" s="36"/>
      <c r="X158" s="27"/>
      <c r="Y158" s="160" t="e">
        <f aca="false">Z147-Y154-Y157</f>
        <v>#VALUE!</v>
      </c>
      <c r="Z158" s="160"/>
      <c r="AB158" s="159" t="s">
        <v>192</v>
      </c>
      <c r="AC158" s="36"/>
      <c r="AD158" s="36"/>
      <c r="AE158" s="27"/>
      <c r="AF158" s="36"/>
      <c r="AG158" s="27"/>
      <c r="AH158" s="160" t="e">
        <f aca="false">AI147-AH154-AH157</f>
        <v>#VALUE!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241" t="n">
        <f aca="false">B95</f>
        <v>1078.92379506334</v>
      </c>
      <c r="B167" s="166" t="str">
        <f aca="false">B94</f>
        <v>0</v>
      </c>
      <c r="C167" s="164"/>
      <c r="D167" s="164"/>
      <c r="E167" s="166" t="n">
        <f aca="false">B96</f>
        <v>1078.92379506334</v>
      </c>
      <c r="F167" s="27"/>
      <c r="G167" s="27" t="n">
        <f aca="false">ROUND(G95,2)</f>
        <v>1026.19</v>
      </c>
      <c r="H167" s="37"/>
      <c r="J167" s="165" t="e">
        <f aca="false">K95</f>
        <v>#VALUE!</v>
      </c>
      <c r="K167" s="166" t="n">
        <f aca="false">K94</f>
        <v>0</v>
      </c>
      <c r="L167" s="164"/>
      <c r="M167" s="164"/>
      <c r="N167" s="166" t="e">
        <f aca="false">K96</f>
        <v>#VALUE!</v>
      </c>
      <c r="O167" s="27"/>
      <c r="P167" s="27"/>
      <c r="Q167" s="37"/>
      <c r="S167" s="165" t="e">
        <f aca="false">T95</f>
        <v>#VALUE!</v>
      </c>
      <c r="T167" s="166" t="n">
        <f aca="false">T94</f>
        <v>0</v>
      </c>
      <c r="U167" s="164"/>
      <c r="V167" s="164"/>
      <c r="W167" s="166" t="e">
        <f aca="false">T96</f>
        <v>#VALUE!</v>
      </c>
      <c r="X167" s="27"/>
      <c r="Y167" s="27"/>
      <c r="Z167" s="37"/>
      <c r="AB167" s="165" t="e">
        <f aca="false">AC95</f>
        <v>#VALUE!</v>
      </c>
      <c r="AC167" s="166" t="n">
        <f aca="false">AC94</f>
        <v>0</v>
      </c>
      <c r="AD167" s="164"/>
      <c r="AE167" s="164"/>
      <c r="AF167" s="166" t="e">
        <f aca="false">AC96</f>
        <v>#VALUE!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24</v>
      </c>
      <c r="B170" s="168" t="n">
        <f aca="false">K30</f>
        <v>8000</v>
      </c>
      <c r="C170" s="169"/>
      <c r="D170" s="27"/>
      <c r="E170" s="170" t="n">
        <f aca="false">IF(A111="YES",A40,0)</f>
        <v>0</v>
      </c>
      <c r="F170" s="27"/>
      <c r="G170" s="27"/>
      <c r="H170" s="37"/>
      <c r="J170" s="167" t="n">
        <f aca="false">K29</f>
        <v>24</v>
      </c>
      <c r="K170" s="168" t="n">
        <f aca="false">K30</f>
        <v>8000</v>
      </c>
      <c r="L170" s="169"/>
      <c r="M170" s="27"/>
      <c r="N170" s="170" t="n">
        <f aca="false">IF(A111="YES",A40,0)</f>
        <v>0</v>
      </c>
      <c r="O170" s="27"/>
      <c r="P170" s="27"/>
      <c r="Q170" s="37"/>
      <c r="S170" s="167" t="n">
        <f aca="false">K29</f>
        <v>24</v>
      </c>
      <c r="T170" s="168" t="n">
        <f aca="false">K30</f>
        <v>8000</v>
      </c>
      <c r="U170" s="169"/>
      <c r="V170" s="27"/>
      <c r="W170" s="170" t="n">
        <f aca="false">IF(A111="YES",A40,0)</f>
        <v>0</v>
      </c>
      <c r="X170" s="27"/>
      <c r="Y170" s="27"/>
      <c r="Z170" s="37"/>
      <c r="AB170" s="167" t="n">
        <f aca="false">K29</f>
        <v>24</v>
      </c>
      <c r="AC170" s="168" t="n">
        <f aca="false">K30</f>
        <v>8000</v>
      </c>
      <c r="AD170" s="169"/>
      <c r="AE170" s="27"/>
      <c r="AF170" s="170" t="n">
        <f aca="false">IF(A111="YES",A40,0)</f>
        <v>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19583.33</v>
      </c>
      <c r="B173" s="42" t="n">
        <f aca="false">H137</f>
        <v>3916.666</v>
      </c>
      <c r="C173" s="47"/>
      <c r="D173" s="27"/>
      <c r="E173" s="170" t="n">
        <f aca="false">H139+H140</f>
        <v>0</v>
      </c>
      <c r="F173" s="27"/>
      <c r="G173" s="27"/>
      <c r="H173" s="37"/>
      <c r="J173" s="171" t="e">
        <f aca="false">Q141-Q137-Q139-Q140</f>
        <v>#VALUE!</v>
      </c>
      <c r="K173" s="42" t="e">
        <f aca="false">Q137</f>
        <v>#VALUE!</v>
      </c>
      <c r="L173" s="47"/>
      <c r="M173" s="27"/>
      <c r="N173" s="170" t="n">
        <f aca="false">Q139+Q140</f>
        <v>55</v>
      </c>
      <c r="O173" s="27"/>
      <c r="P173" s="27"/>
      <c r="Q173" s="37"/>
      <c r="S173" s="171" t="e">
        <f aca="false">Z141-Z137-Z139-Z140</f>
        <v>#VALUE!</v>
      </c>
      <c r="T173" s="42" t="e">
        <f aca="false">Z137</f>
        <v>#VALUE!</v>
      </c>
      <c r="U173" s="47"/>
      <c r="V173" s="27"/>
      <c r="W173" s="170" t="n">
        <f aca="false">Z139+Z140</f>
        <v>55</v>
      </c>
      <c r="X173" s="27"/>
      <c r="Y173" s="27"/>
      <c r="Z173" s="37"/>
      <c r="AB173" s="171" t="e">
        <f aca="false">AI141-AI137-AI139-AI140</f>
        <v>#VALUE!</v>
      </c>
      <c r="AC173" s="42" t="e">
        <f aca="false">AI137</f>
        <v>#VALUE!</v>
      </c>
      <c r="AD173" s="47"/>
      <c r="AE173" s="27"/>
      <c r="AF173" s="170" t="n">
        <f aca="false">AI139+AI140</f>
        <v>55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H147</f>
        <v>23499.996</v>
      </c>
      <c r="B176" s="42" t="n">
        <f aca="false">B111</f>
        <v>1000</v>
      </c>
      <c r="C176" s="42"/>
      <c r="D176" s="27"/>
      <c r="E176" s="42" t="n">
        <f aca="false">E111</f>
        <v>1000</v>
      </c>
      <c r="F176" s="27"/>
      <c r="G176" s="27"/>
      <c r="H176" s="107"/>
      <c r="J176" s="171" t="e">
        <f aca="false">Q141</f>
        <v>#VALUE!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e">
        <f aca="false">Z141</f>
        <v>#VALUE!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e">
        <f aca="false">AI141</f>
        <v>#VALUE!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2000</v>
      </c>
      <c r="B179" s="42" t="n">
        <f aca="false">G154</f>
        <v>0</v>
      </c>
      <c r="C179" s="42"/>
      <c r="D179" s="27"/>
      <c r="E179" s="42" t="n">
        <f aca="false">G158</f>
        <v>22919.996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e">
        <f aca="false">J176-J179-K179</f>
        <v>#VALUE!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e">
        <f aca="false">S176-S179-T179</f>
        <v>#VALUE!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e">
        <f aca="false">AB176-AB179-AC179</f>
        <v>#VALUE!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(A167*B59)+E185-E179-A185</f>
        <v>2974.1750815201</v>
      </c>
      <c r="B182" s="42" t="n">
        <f aca="false">B114</f>
        <v>199.991666666667</v>
      </c>
      <c r="C182" s="42"/>
      <c r="D182" s="27"/>
      <c r="E182" s="42" t="n">
        <f aca="false">E179+A182+(B182*1.2)+A185</f>
        <v>26159.1610815201</v>
      </c>
      <c r="F182" s="27"/>
      <c r="G182" s="27"/>
      <c r="H182" s="107"/>
      <c r="J182" s="113" t="e">
        <f aca="false">(J167*K59)+N185-N179-J185</f>
        <v>#VALUE!</v>
      </c>
      <c r="K182" s="42" t="n">
        <f aca="false">K114</f>
        <v>239.99</v>
      </c>
      <c r="L182" s="42"/>
      <c r="M182" s="27"/>
      <c r="N182" s="42" t="e">
        <f aca="false">N179+J182+K182+J185</f>
        <v>#VALUE!</v>
      </c>
      <c r="O182" s="27"/>
      <c r="P182" s="27"/>
      <c r="Q182" s="107"/>
      <c r="S182" s="113" t="e">
        <f aca="false">(S167*T59)+W185-W179-S185</f>
        <v>#VALUE!</v>
      </c>
      <c r="T182" s="42" t="n">
        <f aca="false">T114</f>
        <v>199.99</v>
      </c>
      <c r="U182" s="42"/>
      <c r="V182" s="27"/>
      <c r="W182" s="42" t="e">
        <f aca="false">W179+S182+T182+S185</f>
        <v>#VALUE!</v>
      </c>
      <c r="X182" s="27"/>
      <c r="Y182" s="27"/>
      <c r="Z182" s="107"/>
      <c r="AB182" s="113" t="e">
        <f aca="false">(AB167*AC59)+AF185-AF179-AB185</f>
        <v>#VALUE!</v>
      </c>
      <c r="AC182" s="42" t="n">
        <f aca="false">AC114</f>
        <v>239.99</v>
      </c>
      <c r="AD182" s="42"/>
      <c r="AE182" s="27"/>
      <c r="AF182" s="42" t="e">
        <f aca="false">AF179+AB182+AC182+AB185</f>
        <v>#VALUE!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A179+(B182*1.2)</f>
        <v>2239.99</v>
      </c>
      <c r="C185" s="42"/>
      <c r="D185" s="27"/>
      <c r="E185" s="42" t="n">
        <f aca="false">IF(A40=0,(E167+A185),(E170+A185))</f>
        <v>1103.92379506334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20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10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10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IF(E105="YES",B61*0.000002,0)*100</f>
        <v>0</v>
      </c>
      <c r="B188" s="42" t="n">
        <f aca="false">(G158*B67)</f>
        <v>171.89997</v>
      </c>
      <c r="C188" s="36"/>
      <c r="D188" s="36"/>
      <c r="E188" s="42" t="n">
        <f aca="false">(E40*A108)*0.1*(C45/100)</f>
        <v>0</v>
      </c>
      <c r="F188" s="27"/>
      <c r="G188" s="27"/>
      <c r="H188" s="37"/>
      <c r="J188" s="113" t="n">
        <f aca="false">IF(N105="YES",H15*0.000002,0)</f>
        <v>0</v>
      </c>
      <c r="K188" s="42" t="e">
        <f aca="false">(P158*K67)/1.2</f>
        <v>#VALUE!</v>
      </c>
      <c r="L188" s="36"/>
      <c r="M188" s="36"/>
      <c r="N188" s="42" t="n">
        <f aca="false">(E40*J108)*0.1</f>
        <v>0</v>
      </c>
      <c r="O188" s="27"/>
      <c r="P188" s="27"/>
      <c r="Q188" s="37"/>
      <c r="S188" s="113" t="n">
        <f aca="false">IF(W105="YES",Z15*0.000002,0)</f>
        <v>0</v>
      </c>
      <c r="T188" s="42" t="e">
        <f aca="false">(Y158*T67)/1.2</f>
        <v>#VALUE!</v>
      </c>
      <c r="U188" s="36"/>
      <c r="V188" s="36"/>
      <c r="W188" s="42" t="n">
        <f aca="false">(E40*S108)*0.1</f>
        <v>0</v>
      </c>
      <c r="X188" s="36"/>
      <c r="Y188" s="36"/>
      <c r="Z188" s="37"/>
      <c r="AB188" s="113" t="n">
        <f aca="false">IF(AF105="YES",AI15*0.000002,0)</f>
        <v>0</v>
      </c>
      <c r="AC188" s="42" t="e">
        <f aca="false">(AH158*AC67)/1.2</f>
        <v>#VALUE!</v>
      </c>
      <c r="AD188" s="36"/>
      <c r="AE188" s="36"/>
      <c r="AF188" s="42" t="n">
        <f aca="false">(E40*AB108)*0.1</f>
        <v>0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191.89997</v>
      </c>
      <c r="C191" s="36"/>
      <c r="D191" s="36"/>
      <c r="E191" s="42" t="n">
        <f aca="false">H148</f>
        <v>2083.33</v>
      </c>
      <c r="F191" s="27"/>
      <c r="G191" s="27"/>
      <c r="H191" s="37"/>
      <c r="J191" s="113" t="n">
        <f aca="false">K185-100</f>
        <v>1139.99</v>
      </c>
      <c r="K191" s="42" t="e">
        <f aca="false">K188+N188+J191</f>
        <v>#VALUE!</v>
      </c>
      <c r="L191" s="36"/>
      <c r="M191" s="36"/>
      <c r="N191" s="42" t="e">
        <f aca="false">Q148</f>
        <v>#VALUE!</v>
      </c>
      <c r="O191" s="27"/>
      <c r="P191" s="27"/>
      <c r="Q191" s="37"/>
      <c r="S191" s="113" t="n">
        <f aca="false">T185-100</f>
        <v>1099.99</v>
      </c>
      <c r="T191" s="42" t="e">
        <f aca="false">T188+W188+S191</f>
        <v>#VALUE!</v>
      </c>
      <c r="U191" s="36"/>
      <c r="V191" s="36"/>
      <c r="W191" s="42" t="e">
        <f aca="false">Z148</f>
        <v>#VALUE!</v>
      </c>
      <c r="X191" s="36"/>
      <c r="Y191" s="36"/>
      <c r="Z191" s="37"/>
      <c r="AB191" s="113" t="n">
        <f aca="false">AC185-100</f>
        <v>1139.99</v>
      </c>
      <c r="AC191" s="42" t="e">
        <f aca="false">AC188+AF188+AB191</f>
        <v>#VALUE!</v>
      </c>
      <c r="AD191" s="36"/>
      <c r="AE191" s="36"/>
      <c r="AF191" s="42" t="e">
        <f aca="false">AI148</f>
        <v>#VALUE!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8000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8000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8000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8000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24</v>
      </c>
      <c r="B197" s="78" t="n">
        <f aca="false">B96</f>
        <v>1078.92379506334</v>
      </c>
      <c r="C197" s="78"/>
      <c r="D197" s="78"/>
      <c r="E197" s="27"/>
      <c r="F197" s="27"/>
      <c r="G197" s="27"/>
      <c r="H197" s="37"/>
      <c r="J197" s="77" t="n">
        <f aca="false">K29</f>
        <v>24</v>
      </c>
      <c r="K197" s="78" t="e">
        <f aca="false">K96</f>
        <v>#VALUE!</v>
      </c>
      <c r="L197" s="78"/>
      <c r="M197" s="78"/>
      <c r="N197" s="27"/>
      <c r="O197" s="27"/>
      <c r="P197" s="27"/>
      <c r="Q197" s="37"/>
      <c r="S197" s="77" t="n">
        <f aca="false">K29</f>
        <v>24</v>
      </c>
      <c r="T197" s="78" t="e">
        <f aca="false">T96</f>
        <v>#VALUE!</v>
      </c>
      <c r="U197" s="78"/>
      <c r="V197" s="78"/>
      <c r="W197" s="27"/>
      <c r="X197" s="27"/>
      <c r="Y197" s="27"/>
      <c r="Z197" s="37"/>
      <c r="AB197" s="77" t="n">
        <f aca="false">K29</f>
        <v>24</v>
      </c>
      <c r="AC197" s="78" t="e">
        <f aca="false">AC96</f>
        <v>#VALUE!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1708.564</v>
      </c>
      <c r="B201" s="47" t="n">
        <f aca="false">E179+A201+(B182*1.2)+A185</f>
        <v>24893.55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n">
        <f aca="false">A197</f>
        <v>24</v>
      </c>
      <c r="C209" s="164"/>
      <c r="D209" s="164"/>
      <c r="E209" s="164" t="n">
        <f aca="false">B196</f>
        <v>8000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1078.92379506334</v>
      </c>
      <c r="B212" s="166" t="str">
        <f aca="false">B167</f>
        <v>0</v>
      </c>
      <c r="C212" s="164"/>
      <c r="D212" s="164"/>
      <c r="E212" s="166" t="n">
        <f aca="false">E167</f>
        <v>1078.92379506334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19583.33</v>
      </c>
      <c r="B215" s="42" t="n">
        <f aca="false">B173</f>
        <v>3916.666</v>
      </c>
      <c r="C215" s="47"/>
      <c r="D215" s="27"/>
      <c r="E215" s="170" t="n">
        <f aca="false">E173</f>
        <v>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23499.996</v>
      </c>
      <c r="B218" s="42" t="n">
        <f aca="false">B176</f>
        <v>1000</v>
      </c>
      <c r="C218" s="42"/>
      <c r="D218" s="27"/>
      <c r="E218" s="42" t="n">
        <f aca="false">E176</f>
        <v>1000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2000</v>
      </c>
      <c r="B221" s="42" t="n">
        <f aca="false">B179</f>
        <v>0</v>
      </c>
      <c r="C221" s="42"/>
      <c r="D221" s="27"/>
      <c r="E221" s="42" t="n">
        <f aca="false">E179</f>
        <v>22919.996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2974.1750815201</v>
      </c>
      <c r="B224" s="42" t="n">
        <f aca="false">B182</f>
        <v>199.991666666667</v>
      </c>
      <c r="C224" s="42"/>
      <c r="D224" s="27"/>
      <c r="E224" s="42" t="n">
        <f aca="false">E182</f>
        <v>26159.1610815201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2239.99</v>
      </c>
      <c r="C227" s="42"/>
      <c r="D227" s="27"/>
      <c r="E227" s="42" t="n">
        <f aca="false">B59</f>
        <v>23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1078.92379506334</v>
      </c>
      <c r="B230" s="42" t="str">
        <f aca="false">B167</f>
        <v>0</v>
      </c>
      <c r="C230" s="47"/>
      <c r="D230" s="47"/>
      <c r="E230" s="42" t="n">
        <f aca="false">E167</f>
        <v>1078.92379506334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0</v>
      </c>
      <c r="B233" s="42" t="n">
        <f aca="false">E185</f>
        <v>1103.92379506334</v>
      </c>
      <c r="C233" s="36"/>
      <c r="D233" s="36"/>
      <c r="E233" s="42" t="n">
        <f aca="false">A188</f>
        <v>0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2083.33</v>
      </c>
      <c r="B240" s="42" t="n">
        <f aca="false">B68</f>
        <v>171.89997</v>
      </c>
      <c r="C240" s="36"/>
      <c r="D240" s="36"/>
      <c r="E240" s="42" t="n">
        <f aca="false">E188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855.229970000002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</v>
      </c>
      <c r="C253" s="182"/>
      <c r="D253" s="183" t="s">
        <v>227</v>
      </c>
      <c r="E253" s="183"/>
      <c r="F253" s="181" t="n">
        <f aca="false">B83</f>
        <v>0.12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1290.6110815201</v>
      </c>
      <c r="C254" s="182"/>
      <c r="D254" s="183" t="s">
        <v>229</v>
      </c>
      <c r="E254" s="183"/>
      <c r="F254" s="185" t="n">
        <f aca="false">F261+F267+F269+B270+B271</f>
        <v>171.89997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1138.7111115201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0.12</v>
      </c>
      <c r="C260" s="47"/>
      <c r="D260" s="156" t="s">
        <v>228</v>
      </c>
      <c r="E260" s="156"/>
      <c r="F260" s="135" t="n">
        <f aca="false">B254</f>
        <v>1290.6110815201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0.0075</v>
      </c>
      <c r="C261" s="36"/>
      <c r="D261" s="156" t="s">
        <v>234</v>
      </c>
      <c r="E261" s="156"/>
      <c r="F261" s="142" t="n">
        <f aca="false">B68</f>
        <v>171.89997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1138.7111115201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  <c r="J271" s="6" t="n">
        <v>4</v>
      </c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60">
    <mergeCell ref="A1:F1"/>
    <mergeCell ref="D7:E18"/>
    <mergeCell ref="A16:C18"/>
    <mergeCell ref="A19:D19"/>
    <mergeCell ref="A21:D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B105 K105 N105 T105 W105 AC105 AF105 B108:D108 K108:M108 T108:V108 AC108:AE108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 A111" type="list">
      <formula1>HirePurchaseNonRegulated!$K$9:$K$10</formula1>
      <formula2>0</formula2>
    </dataValidation>
    <dataValidation allowBlank="true" errorStyle="stop" operator="between" showDropDown="false" showErrorMessage="true" showInputMessage="false" sqref="B70" type="list">
      <formula1>HirePurchaseNonRegulated!$K$9:$K$10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I15" activeCellId="0" sqref="I15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42" t="n">
        <v>37405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IF(A32=Z101,1,IF(A32=Z102,1,IF(A32=Z103,3,IF(A32=Z104,6,IF(A32=Z105,9,IF(A32=Z106,12,IF(A32=Z107,3,IF(A32=Z108,6,IF(A32=Z109,9,0)))))))))</f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IF(A32=Z101,H29-H27,IF(A32=Z102,H29-H27,IF(A32=Z103,H29-1,IF(A32=Z104,H29-1,IF(A32=Z105,H29-1,IF(A32=Z106,H29-1,IF(A32=Z107,H29-H27,IF(A32=Z108,H29-H27,IF(A32=Z109,H29-H27,0)))))))))</f>
        <v>11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n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n">
        <f aca="false">IF(A32=Z101,D38,IF(A32=Z102,D38,IF(A32=Z103,(D38*3),IF(A32=Z104,(D38*6),IF(A32=Z105,(D38*9),IF(A32=Z106,(D38*12),IF(A32=Z107,D38,IF(A32=Z108,D38,IF(A32=Z109,D38,0)))))))))</f>
        <v>500</v>
      </c>
      <c r="C32" s="211"/>
      <c r="D32" s="211" t="n">
        <f aca="false">IF(A32=Z101,A41,IF(A32=Z102,A41,IF(A32=Z103,(A41*3),IF(A32=Z104,(A41*6),IF(A32=Z105,(A41*9),IF(A32=Z106,(A41*12),IF(A32=Z107,A41,IF(A32=Z108,A41,IF(A32=Z109,A41,0)))))))))</f>
        <v>0</v>
      </c>
      <c r="E32" s="211"/>
      <c r="F32" s="67"/>
      <c r="G32" s="212" t="s">
        <v>254</v>
      </c>
      <c r="H32" s="210" t="n">
        <f aca="false">A41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/>
      <c r="H33" s="20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n">
        <f aca="false">D41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n">
        <v>500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152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0</v>
      </c>
      <c r="B41" s="224" t="n">
        <f aca="false">IF(B38="YES",D38+A41,D38)</f>
        <v>500</v>
      </c>
      <c r="C41" s="224"/>
      <c r="D41" s="106" t="n">
        <v>12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264</v>
      </c>
      <c r="B43" s="223" t="s">
        <v>265</v>
      </c>
      <c r="C43" s="215"/>
      <c r="D43" s="223" t="s">
        <v>269</v>
      </c>
      <c r="E43" s="226"/>
      <c r="F43" s="67"/>
      <c r="G43" s="67" t="s">
        <v>266</v>
      </c>
      <c r="H43" s="7" t="n">
        <f aca="false">(((D38*(B35-1))+B32)/B35)+(D41/B35)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n">
        <v>1</v>
      </c>
      <c r="B44" s="106" t="n">
        <v>0</v>
      </c>
      <c r="C44" s="106"/>
      <c r="D44" s="256" t="n">
        <f aca="false">A44+B44</f>
        <v>1</v>
      </c>
      <c r="E44" s="256"/>
      <c r="F44" s="67"/>
      <c r="G44" s="67" t="s">
        <v>267</v>
      </c>
      <c r="H44" s="7" t="n">
        <f aca="false">((A41*(B35-1))+D32)/B35</f>
        <v>0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57" t="s">
        <v>284</v>
      </c>
      <c r="B46" s="215"/>
      <c r="C46" s="215"/>
      <c r="D46" s="215"/>
      <c r="E46" s="226"/>
      <c r="F46" s="67"/>
      <c r="G46" s="67" t="s">
        <v>272</v>
      </c>
      <c r="H46" s="7" t="n">
        <f aca="false">H43</f>
        <v>501</v>
      </c>
      <c r="I46" s="7" t="s">
        <v>10</v>
      </c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21"/>
      <c r="B47" s="215"/>
      <c r="C47" s="215"/>
      <c r="D47" s="215"/>
      <c r="E47" s="22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/>
      <c r="H49" s="261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12</v>
      </c>
      <c r="B52" s="78" t="n">
        <f aca="false">H45</f>
        <v>501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IF(B99=Z101,1,IF(B99=Z102,1,IF(B99=Z103,3,IF(B99=Z104,6,IF(B99=Z105,9,IF(B99=Z106,12,IF(B99=Z107,3,IF(B99=Z108,6,IF(B99=Z109,9,0)))))))))</f>
        <v>9</v>
      </c>
      <c r="C57" s="199"/>
      <c r="D57" s="199"/>
      <c r="E57" s="200"/>
      <c r="F57" s="67"/>
      <c r="G57" s="198" t="s">
        <v>97</v>
      </c>
      <c r="H57" s="199" t="n">
        <f aca="false">IF(H99=Z101,1,IF(H99=Z102,1,IF(H99=Z103,3,IF(H99=Z104,6,IF(H99=Z105,9,IF(H99=Z106,12,IF(H99=Z107,3,IF(H99=Z108,6,IF(H99=Z109,9,0)))))))))</f>
        <v>1</v>
      </c>
      <c r="I57" s="199"/>
      <c r="J57" s="199"/>
      <c r="K57" s="200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IF(B99=Z101,H29-B57,IF(B99=Z102,H29-B57,IF(B99=Z103,H29-1,IF(B99=Z104,H29-1,IF(B99=Z105,H29-1,IF(B99=Z106,H29-1,IF(B99=Z107,H29-B57,IF(B99=Z108,H29-B57,IF(B99=Z109,H29-B57,0)))))))))</f>
        <v>3</v>
      </c>
      <c r="C58" s="199" t="s">
        <v>285</v>
      </c>
      <c r="D58" s="199"/>
      <c r="E58" s="200"/>
      <c r="F58" s="67"/>
      <c r="G58" s="198" t="s">
        <v>98</v>
      </c>
      <c r="H58" s="199" t="n">
        <f aca="false">IF(H99=Z101,H29-H57,IF(H99=Z102,H29-H57,IF(H99=Z103,H29-1,IF(H99=Z104,H29-1,IF(H99=Z105,H29-1,IF(H99=Z106,H29-1,IF(H99=Z107,H29-H57,IF(H99=Z108,H29-H57,IF(H99=Z109,H29-H57,0)))))))))</f>
        <v>11</v>
      </c>
      <c r="I58" s="199"/>
      <c r="J58" s="199"/>
      <c r="K58" s="200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286</v>
      </c>
      <c r="B60" s="199" t="n">
        <f aca="false">E19</f>
        <v>21000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f aca="false">G18</f>
        <v>37405</v>
      </c>
      <c r="C61" s="199"/>
      <c r="D61" s="199"/>
      <c r="E61" s="200"/>
      <c r="F61" s="67"/>
      <c r="G61" s="198" t="s">
        <v>27</v>
      </c>
      <c r="H61" s="36" t="n">
        <f aca="false">G18</f>
        <v>37405</v>
      </c>
      <c r="I61" s="199"/>
      <c r="J61" s="199"/>
      <c r="K61" s="200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0.07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0.07</v>
      </c>
      <c r="I63" s="199"/>
      <c r="J63" s="199"/>
      <c r="K63" s="200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B60*B63</f>
        <v>1470</v>
      </c>
      <c r="C64" s="199" t="n">
        <v>10000</v>
      </c>
      <c r="D64" s="36" t="n">
        <f aca="false">B64</f>
        <v>1470</v>
      </c>
      <c r="E64" s="200"/>
      <c r="F64" s="67"/>
      <c r="G64" s="262" t="s">
        <v>103</v>
      </c>
      <c r="H64" s="69" t="n">
        <f aca="false">H61*H63</f>
        <v>2618.35</v>
      </c>
      <c r="I64" s="199"/>
      <c r="J64" s="36" t="n">
        <f aca="false">H64</f>
        <v>2618.35</v>
      </c>
      <c r="K64" s="200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199"/>
      <c r="E65" s="200"/>
      <c r="F65" s="67"/>
      <c r="G65" s="268" t="s">
        <v>104</v>
      </c>
      <c r="H65" s="269" t="n">
        <v>0.005</v>
      </c>
      <c r="I65" s="199"/>
      <c r="J65" s="199"/>
      <c r="K65" s="200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199"/>
      <c r="D66" s="199"/>
      <c r="E66" s="200"/>
      <c r="F66" s="67"/>
      <c r="G66" s="198" t="s">
        <v>105</v>
      </c>
      <c r="H66" s="270" t="n">
        <f aca="false">H65+(H65*0.5*(H29/12-1))</f>
        <v>0.005</v>
      </c>
      <c r="I66" s="199"/>
      <c r="J66" s="199"/>
      <c r="K66" s="200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199"/>
      <c r="D67" s="36"/>
      <c r="E67" s="200"/>
      <c r="F67" s="67"/>
      <c r="G67" s="262" t="s">
        <v>106</v>
      </c>
      <c r="H67" s="69" t="n">
        <f aca="false">H61*H66</f>
        <v>187.025</v>
      </c>
      <c r="I67" s="199"/>
      <c r="J67" s="36"/>
      <c r="K67" s="200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199"/>
      <c r="D68" s="199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0.008625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54</v>
      </c>
      <c r="C73" s="199"/>
      <c r="D73" s="36" t="n">
        <f aca="false">B73+B71</f>
        <v>214</v>
      </c>
      <c r="E73" s="200"/>
      <c r="F73" s="67"/>
      <c r="G73" s="262" t="s">
        <v>112</v>
      </c>
      <c r="H73" s="69" t="n">
        <f aca="false">H72*H29</f>
        <v>54</v>
      </c>
      <c r="I73" s="199"/>
      <c r="J73" s="36" t="n">
        <f aca="false">H73+H71</f>
        <v>214</v>
      </c>
      <c r="K73" s="200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0</v>
      </c>
      <c r="C74" s="199"/>
      <c r="D74" s="199"/>
      <c r="E74" s="200"/>
      <c r="F74" s="67"/>
      <c r="G74" s="268" t="s">
        <v>289</v>
      </c>
      <c r="H74" s="90" t="n">
        <v>150</v>
      </c>
      <c r="I74" s="199"/>
      <c r="J74" s="199"/>
      <c r="K74" s="200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 t="n">
        <f aca="false">IF(G18&gt;40000,325,0)</f>
        <v>0</v>
      </c>
      <c r="D75" s="199"/>
      <c r="E75" s="200"/>
      <c r="F75" s="67"/>
      <c r="G75" s="272" t="s">
        <v>290</v>
      </c>
      <c r="H75" s="81" t="n">
        <f aca="false">IF(G18&gt;40000,325,0)</f>
        <v>0</v>
      </c>
      <c r="I75" s="199"/>
      <c r="J75" s="199"/>
      <c r="K75" s="200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((B74+B75)/12)*(H29-11)</f>
        <v>0</v>
      </c>
      <c r="C76" s="199"/>
      <c r="D76" s="36" t="n">
        <f aca="false">B76</f>
        <v>0</v>
      </c>
      <c r="E76" s="200"/>
      <c r="F76" s="67"/>
      <c r="G76" s="262" t="s">
        <v>291</v>
      </c>
      <c r="H76" s="69" t="n">
        <f aca="false">((H74+H75)/12)*(H29-11)</f>
        <v>12.5</v>
      </c>
      <c r="I76" s="199"/>
      <c r="J76" s="36" t="n">
        <f aca="false">H76</f>
        <v>12.5</v>
      </c>
      <c r="K76" s="200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292</v>
      </c>
      <c r="B77" s="90" t="n">
        <f aca="false">B102/(1-J15)</f>
        <v>470.588235294118</v>
      </c>
      <c r="C77" s="199"/>
      <c r="D77" s="36" t="n">
        <f aca="false">B77</f>
        <v>470.588235294118</v>
      </c>
      <c r="E77" s="200"/>
      <c r="F77" s="67"/>
      <c r="G77" s="268" t="s">
        <v>292</v>
      </c>
      <c r="H77" s="90" t="n">
        <f aca="false">H102</f>
        <v>1200</v>
      </c>
      <c r="I77" s="199"/>
      <c r="J77" s="36" t="n">
        <f aca="false">H77</f>
        <v>1200</v>
      </c>
      <c r="K77" s="200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235.294117647059</v>
      </c>
      <c r="C78" s="199"/>
      <c r="D78" s="36" t="n">
        <f aca="false">B78</f>
        <v>235.294117647059</v>
      </c>
      <c r="E78" s="200"/>
      <c r="F78" s="67"/>
      <c r="G78" s="198" t="s">
        <v>293</v>
      </c>
      <c r="H78" s="37" t="n">
        <f aca="false">J102</f>
        <v>0</v>
      </c>
      <c r="I78" s="199"/>
      <c r="J78" s="36" t="n">
        <f aca="false">H78</f>
        <v>0</v>
      </c>
      <c r="K78" s="200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199"/>
      <c r="D79" s="36" t="n">
        <f aca="false">B79</f>
        <v>300</v>
      </c>
      <c r="E79" s="200"/>
      <c r="F79" s="67"/>
      <c r="G79" s="272" t="s">
        <v>113</v>
      </c>
      <c r="H79" s="81" t="n">
        <v>100</v>
      </c>
      <c r="I79" s="199"/>
      <c r="J79" s="36" t="n">
        <f aca="false">H79</f>
        <v>100</v>
      </c>
      <c r="K79" s="200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199"/>
      <c r="D80" s="36" t="n">
        <f aca="false">B80</f>
        <v>100</v>
      </c>
      <c r="E80" s="200"/>
      <c r="F80" s="67"/>
      <c r="G80" s="275" t="s">
        <v>114</v>
      </c>
      <c r="H80" s="91" t="n">
        <v>100</v>
      </c>
      <c r="I80" s="199"/>
      <c r="J80" s="36" t="n">
        <f aca="false">H80</f>
        <v>100</v>
      </c>
      <c r="K80" s="200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2789.88235294118</v>
      </c>
      <c r="C81" s="199"/>
      <c r="D81" s="199"/>
      <c r="E81" s="200"/>
      <c r="F81" s="67"/>
      <c r="G81" s="276" t="s">
        <v>115</v>
      </c>
      <c r="H81" s="277" t="n">
        <f aca="false">SUM(J64:J80)</f>
        <v>4244.85</v>
      </c>
      <c r="I81" s="199"/>
      <c r="J81" s="199"/>
      <c r="K81" s="200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232.490196078431</v>
      </c>
      <c r="C82" s="199"/>
      <c r="D82" s="199"/>
      <c r="E82" s="200"/>
      <c r="F82" s="67"/>
      <c r="G82" s="198" t="s">
        <v>116</v>
      </c>
      <c r="H82" s="37" t="n">
        <f aca="false">H81/H29</f>
        <v>353.7375</v>
      </c>
      <c r="I82" s="199"/>
      <c r="J82" s="199"/>
      <c r="K82" s="200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H46</f>
        <v>501</v>
      </c>
      <c r="C83" s="199"/>
      <c r="D83" s="199"/>
      <c r="E83" s="200"/>
      <c r="F83" s="67"/>
      <c r="G83" s="278" t="s">
        <v>117</v>
      </c>
      <c r="H83" s="63" t="n">
        <f aca="false">H46</f>
        <v>501</v>
      </c>
      <c r="I83" s="199"/>
      <c r="J83" s="199"/>
      <c r="K83" s="200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199"/>
      <c r="D84" s="199"/>
      <c r="E84" s="200"/>
      <c r="F84" s="67"/>
      <c r="G84" s="198"/>
      <c r="H84" s="36"/>
      <c r="I84" s="199"/>
      <c r="J84" s="199"/>
      <c r="K84" s="200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((B83*(H29)+B81))*1.2</f>
        <v>10562.2588235294</v>
      </c>
      <c r="C85" s="199"/>
      <c r="D85" s="199"/>
      <c r="E85" s="200"/>
      <c r="F85" s="67"/>
      <c r="G85" s="265" t="s">
        <v>127</v>
      </c>
      <c r="H85" s="31" t="n">
        <f aca="false">((H83*(H27+H28))+H81)*1.2</f>
        <v>12308.22</v>
      </c>
      <c r="I85" s="199"/>
      <c r="J85" s="199"/>
      <c r="K85" s="200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(((B83*(H29))+B81)/(1-B70))*B70</f>
        <v>76.5767094128031</v>
      </c>
      <c r="C86" s="199"/>
      <c r="D86" s="199"/>
      <c r="E86" s="200"/>
      <c r="F86" s="67"/>
      <c r="G86" s="198" t="s">
        <v>128</v>
      </c>
      <c r="H86" s="37" t="n">
        <f aca="false">(((H83*(H27+H28))+H81)/(1-H70))*H70</f>
        <v>86.8873941105285</v>
      </c>
      <c r="I86" s="199"/>
      <c r="J86" s="199"/>
      <c r="K86" s="200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10638.8355329422</v>
      </c>
      <c r="C87" s="199"/>
      <c r="D87" s="199"/>
      <c r="E87" s="200"/>
      <c r="F87" s="67"/>
      <c r="G87" s="262" t="s">
        <v>129</v>
      </c>
      <c r="H87" s="69" t="n">
        <f aca="false">IF(H110="YES",((H85+H86)-A151-K114),((H85+H86)-A151))</f>
        <v>12145.1073941105</v>
      </c>
      <c r="I87" s="199"/>
      <c r="J87" s="199"/>
      <c r="K87" s="200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199"/>
      <c r="D88" s="199"/>
      <c r="E88" s="200"/>
      <c r="F88" s="67"/>
      <c r="G88" s="198"/>
      <c r="H88" s="36"/>
      <c r="I88" s="199"/>
      <c r="J88" s="199"/>
      <c r="K88" s="200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9" t="n">
        <f aca="false">IF(B99=Z102,(((H44*B35)+(H44*B35)*(B105/100))/(B58))*1.2,(((H44*B35)+(H44*B35)*(B105/100))/(B57+B58))*1.2)</f>
        <v>0</v>
      </c>
      <c r="C89" s="199"/>
      <c r="D89" s="199"/>
      <c r="E89" s="200"/>
      <c r="F89" s="67"/>
      <c r="G89" s="276" t="s">
        <v>130</v>
      </c>
      <c r="H89" s="277" t="n">
        <f aca="false">(A41+(A41*H105))*1.2</f>
        <v>0</v>
      </c>
      <c r="I89" s="199"/>
      <c r="J89" s="199"/>
      <c r="K89" s="200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IF(B99=Z102,(B87-D105)/(B58),B87/(B57+B58))</f>
        <v>886.569627745184</v>
      </c>
      <c r="C90" s="199"/>
      <c r="D90" s="199"/>
      <c r="E90" s="200"/>
      <c r="F90" s="67"/>
      <c r="G90" s="280" t="s">
        <v>131</v>
      </c>
      <c r="H90" s="281" t="n">
        <f aca="false">IF(H99=AE98,(H87-J105)/(H58),H87/(H57+H58))</f>
        <v>1012.09228284254</v>
      </c>
      <c r="I90" s="199"/>
      <c r="J90" s="199"/>
      <c r="K90" s="200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886.569627745184</v>
      </c>
      <c r="C91" s="199"/>
      <c r="D91" s="199"/>
      <c r="E91" s="200"/>
      <c r="F91" s="67"/>
      <c r="G91" s="282" t="s">
        <v>132</v>
      </c>
      <c r="H91" s="283" t="n">
        <f aca="false">IF(G105="YES",H90+H89,H90)</f>
        <v>1012.09228284254</v>
      </c>
      <c r="I91" s="199"/>
      <c r="J91" s="199"/>
      <c r="K91" s="200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263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46.5" hidden="false" customHeight="true" outlineLevel="0" collapsed="false">
      <c r="A94" s="197" t="s">
        <v>294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/>
      <c r="F95" s="67"/>
      <c r="G95" s="198"/>
      <c r="H95" s="199"/>
      <c r="I95" s="199"/>
      <c r="J95" s="199"/>
      <c r="K95" s="200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199"/>
      <c r="C97" s="199"/>
      <c r="D97" s="199"/>
      <c r="E97" s="200"/>
      <c r="F97" s="67"/>
      <c r="G97" s="198"/>
      <c r="H97" s="199"/>
      <c r="I97" s="199"/>
      <c r="J97" s="199"/>
      <c r="K97" s="200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1000</v>
      </c>
      <c r="E99" s="109"/>
      <c r="F99" s="67"/>
      <c r="G99" s="204" t="s">
        <v>296</v>
      </c>
      <c r="H99" s="284" t="s">
        <v>141</v>
      </c>
      <c r="I99" s="284"/>
      <c r="J99" s="109" t="n">
        <v>0</v>
      </c>
      <c r="K99" s="109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299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 t="s">
        <v>141</v>
      </c>
      <c r="AA101" s="67"/>
    </row>
    <row r="102" customFormat="false" ht="18.75" hidden="false" customHeight="true" outlineLevel="0" collapsed="false">
      <c r="A102" s="285" t="n">
        <v>239.99</v>
      </c>
      <c r="B102" s="109" t="n">
        <v>400</v>
      </c>
      <c r="C102" s="109"/>
      <c r="D102" s="109" t="n">
        <v>200</v>
      </c>
      <c r="E102" s="109"/>
      <c r="F102" s="67"/>
      <c r="G102" s="285" t="n">
        <f aca="false">199.99*1.2</f>
        <v>239.988</v>
      </c>
      <c r="H102" s="109" t="n">
        <v>1200</v>
      </c>
      <c r="I102" s="109"/>
      <c r="J102" s="109" t="n">
        <v>0</v>
      </c>
      <c r="K102" s="109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 t="s">
        <v>273</v>
      </c>
      <c r="AA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Z103" s="67" t="s">
        <v>274</v>
      </c>
      <c r="AA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Z104" s="67" t="s">
        <v>275</v>
      </c>
      <c r="AA104" s="67"/>
    </row>
    <row r="105" customFormat="false" ht="18.75" hidden="false" customHeight="true" outlineLevel="0" collapsed="false">
      <c r="A105" s="206" t="s">
        <v>32</v>
      </c>
      <c r="B105" s="284" t="n">
        <v>0</v>
      </c>
      <c r="C105" s="284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 t="n">
        <v>0</v>
      </c>
      <c r="K105" s="109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Z105" s="67" t="s">
        <v>276</v>
      </c>
      <c r="AA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Z106" s="67" t="s">
        <v>277</v>
      </c>
      <c r="AA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Z107" s="67" t="s">
        <v>278</v>
      </c>
      <c r="AA107" s="67"/>
    </row>
    <row r="108" customFormat="false" ht="18.75" hidden="false" customHeight="true" outlineLevel="0" collapsed="false">
      <c r="A108" s="201" t="s">
        <v>300</v>
      </c>
      <c r="B108" s="201" t="n">
        <v>0</v>
      </c>
      <c r="C108" s="201"/>
      <c r="D108" s="201" t="n">
        <v>0</v>
      </c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Z108" s="67" t="s">
        <v>279</v>
      </c>
      <c r="AA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Z109" s="67" t="s">
        <v>280</v>
      </c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Z110" s="67"/>
    </row>
    <row r="111" customFormat="false" ht="18.75" hidden="false" customHeight="true" outlineLevel="0" collapsed="false">
      <c r="A111" s="198"/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10000</v>
      </c>
      <c r="K112" s="109" t="n">
        <v>5000</v>
      </c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7000</v>
      </c>
      <c r="K113" s="109" t="n">
        <v>7000</v>
      </c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3000</v>
      </c>
      <c r="K114" s="157" t="n">
        <f aca="false">K112-K113</f>
        <v>-2000</v>
      </c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5000</v>
      </c>
      <c r="K115" s="200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199.991666666667</v>
      </c>
      <c r="F118" s="67"/>
      <c r="G118" s="198" t="s">
        <v>66</v>
      </c>
      <c r="H118" s="199"/>
      <c r="I118" s="199"/>
      <c r="J118" s="199"/>
      <c r="K118" s="37" t="n">
        <f aca="false">G102</f>
        <v>239.988</v>
      </c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(E118+E117)-D115</f>
        <v>1199.99166666667</v>
      </c>
      <c r="F119" s="67"/>
      <c r="G119" s="287" t="s">
        <v>302</v>
      </c>
      <c r="H119" s="263"/>
      <c r="I119" s="263"/>
      <c r="J119" s="263"/>
      <c r="K119" s="69" t="n">
        <f aca="false">(K118+K117)-J115</f>
        <v>-4760.012</v>
      </c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12</v>
      </c>
      <c r="C125" s="294"/>
      <c r="D125" s="293" t="n">
        <f aca="false">B160</f>
        <v>5000</v>
      </c>
      <c r="E125" s="291"/>
      <c r="F125" s="67"/>
      <c r="G125" s="198"/>
      <c r="H125" s="199"/>
      <c r="I125" s="199"/>
      <c r="J125" s="199"/>
      <c r="K125" s="200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198" t="s">
        <v>95</v>
      </c>
      <c r="H126" s="199" t="s">
        <v>96</v>
      </c>
      <c r="I126" s="199"/>
      <c r="J126" s="199" t="s">
        <v>98</v>
      </c>
      <c r="K126" s="200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213" t="n">
        <f aca="false">G152</f>
        <v>12</v>
      </c>
      <c r="H127" s="214" t="n">
        <f aca="false">A152</f>
        <v>0</v>
      </c>
      <c r="I127" s="215"/>
      <c r="J127" s="168" t="n">
        <f aca="false">B151</f>
        <v>0</v>
      </c>
      <c r="K127" s="200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886.569627745184</v>
      </c>
      <c r="B128" s="290" t="n">
        <f aca="false">IF(A105="YES",B89,0)</f>
        <v>0</v>
      </c>
      <c r="C128" s="295"/>
      <c r="D128" s="290" t="n">
        <f aca="false">B91</f>
        <v>886.569627745184</v>
      </c>
      <c r="E128" s="291"/>
      <c r="F128" s="67"/>
      <c r="G128" s="198"/>
      <c r="H128" s="199"/>
      <c r="I128" s="199"/>
      <c r="J128" s="199"/>
      <c r="K128" s="200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296" t="s">
        <v>306</v>
      </c>
      <c r="H129" s="297" t="s">
        <v>307</v>
      </c>
      <c r="I129" s="297"/>
      <c r="J129" s="297" t="s">
        <v>308</v>
      </c>
      <c r="K129" s="200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300" t="n">
        <f aca="false">H90</f>
        <v>1012.09228284254</v>
      </c>
      <c r="H130" s="166" t="n">
        <f aca="false">IF(G105="YES",H89*H57,0)</f>
        <v>0</v>
      </c>
      <c r="I130" s="166"/>
      <c r="J130" s="301" t="n">
        <f aca="false">H91</f>
        <v>1012.09228284254</v>
      </c>
      <c r="K130" s="10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Terminal pause with 9 down </v>
      </c>
      <c r="B131" s="42" t="n">
        <f aca="false">B90*B57</f>
        <v>7979.12664970666</v>
      </c>
      <c r="C131" s="199"/>
      <c r="D131" s="42" t="n">
        <f aca="false">IF(A105="YES",B89*B57,0)</f>
        <v>0</v>
      </c>
      <c r="E131" s="200"/>
      <c r="F131" s="67"/>
      <c r="G131" s="198"/>
      <c r="H131" s="199"/>
      <c r="I131" s="199"/>
      <c r="J131" s="199"/>
      <c r="K131" s="200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1012.09228284254</v>
      </c>
      <c r="H133" s="42" t="n">
        <f aca="false">IF(G105="YES",H89*H57,0)</f>
        <v>0</v>
      </c>
      <c r="I133" s="205"/>
      <c r="J133" s="170" t="n">
        <f aca="false">H91*H57</f>
        <v>1012.09228284254</v>
      </c>
      <c r="K133" s="200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7979.12664970666</v>
      </c>
      <c r="B134" s="42" t="n">
        <f aca="false">E114</f>
        <v>0</v>
      </c>
      <c r="C134" s="199"/>
      <c r="D134" s="303" t="n">
        <f aca="false">B58</f>
        <v>3</v>
      </c>
      <c r="E134" s="200"/>
      <c r="F134" s="67"/>
      <c r="G134" s="198"/>
      <c r="H134" s="199"/>
      <c r="I134" s="199"/>
      <c r="J134" s="199"/>
      <c r="K134" s="200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886.569627745184</v>
      </c>
      <c r="B137" s="42" t="n">
        <f aca="false">IF(A105="YES",B89,0)</f>
        <v>0</v>
      </c>
      <c r="C137" s="199"/>
      <c r="D137" s="42" t="n">
        <f aca="false">B91</f>
        <v>886.569627745184</v>
      </c>
      <c r="E137" s="200"/>
      <c r="F137" s="67"/>
      <c r="G137" s="198"/>
      <c r="H137" s="199"/>
      <c r="I137" s="199"/>
      <c r="J137" s="199"/>
      <c r="K137" s="200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239.988</v>
      </c>
      <c r="H139" s="42" t="n">
        <f aca="false">H67</f>
        <v>187.025</v>
      </c>
      <c r="I139" s="42"/>
      <c r="J139" s="42" t="n">
        <f aca="false">H102*0.9</f>
        <v>1080</v>
      </c>
      <c r="K139" s="10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(G18*0.000006)*1.2*100</f>
        <v>26.9316</v>
      </c>
      <c r="B140" s="309" t="n">
        <f aca="false">G18*0.000002*1.2*100</f>
        <v>8.9772</v>
      </c>
      <c r="C140" s="310"/>
      <c r="D140" s="309" t="n">
        <f aca="false">A140+B140</f>
        <v>35.9088</v>
      </c>
      <c r="E140" s="200"/>
      <c r="F140" s="67"/>
      <c r="G140" s="198"/>
      <c r="H140" s="199"/>
      <c r="I140" s="199"/>
      <c r="J140" s="199"/>
      <c r="K140" s="200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IF(G105="YES",H89*0.1,0)</f>
        <v>0</v>
      </c>
      <c r="H142" s="42" t="n">
        <f aca="false">G102-100</f>
        <v>139.988</v>
      </c>
      <c r="I142" s="42"/>
      <c r="J142" s="42" t="n">
        <f aca="false">(H139+J139+G142+H142)-H145</f>
        <v>1407.013</v>
      </c>
      <c r="K142" s="10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199.991666666667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f aca="false">IF((1200-H102)&lt;=0,0,(1200-H102))</f>
        <v>0</v>
      </c>
      <c r="H145" s="42" t="n">
        <f aca="false">(H139+J139+G142+H142)*(G145/H64)</f>
        <v>0</v>
      </c>
      <c r="I145" s="199"/>
      <c r="J145" s="199"/>
      <c r="K145" s="200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IF(A105="YES",(A41*B105)*B125,0)*0.001</f>
        <v>0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700</v>
      </c>
      <c r="E151" s="107"/>
      <c r="F151" s="67"/>
      <c r="G151" s="233"/>
      <c r="H151" s="235" t="n">
        <f aca="false">B51</f>
        <v>5000</v>
      </c>
      <c r="I151" s="235"/>
      <c r="J151" s="199"/>
      <c r="K151" s="200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12</v>
      </c>
      <c r="H152" s="78" t="n">
        <f aca="false">H91</f>
        <v>1012.09228284254</v>
      </c>
      <c r="I152" s="78"/>
      <c r="J152" s="199"/>
      <c r="K152" s="200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9.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12</v>
      </c>
      <c r="B161" s="78" t="n">
        <f aca="false">B91</f>
        <v>886.569627745184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317" t="s">
        <v>303</v>
      </c>
      <c r="B165" s="317"/>
      <c r="C165" s="317"/>
      <c r="D165" s="317"/>
      <c r="E165" s="31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198"/>
      <c r="B166" s="199"/>
      <c r="C166" s="199"/>
      <c r="D166" s="199"/>
      <c r="E166" s="200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88" t="s">
        <v>138</v>
      </c>
      <c r="B167" s="289" t="s">
        <v>52</v>
      </c>
      <c r="C167" s="290"/>
      <c r="D167" s="289" t="s">
        <v>96</v>
      </c>
      <c r="E167" s="291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292" t="s">
        <v>296</v>
      </c>
      <c r="B168" s="318" t="n">
        <f aca="false">A161</f>
        <v>12</v>
      </c>
      <c r="C168" s="294"/>
      <c r="D168" s="290" t="n">
        <f aca="false">B160</f>
        <v>5000</v>
      </c>
      <c r="E168" s="291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288"/>
      <c r="B169" s="289"/>
      <c r="C169" s="289"/>
      <c r="D169" s="289"/>
      <c r="E169" s="291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288" t="s">
        <v>131</v>
      </c>
      <c r="B170" s="289" t="s">
        <v>304</v>
      </c>
      <c r="C170" s="290"/>
      <c r="D170" s="289" t="s">
        <v>305</v>
      </c>
      <c r="E170" s="291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292" t="n">
        <f aca="false">B90</f>
        <v>886.569627745184</v>
      </c>
      <c r="B171" s="290" t="n">
        <f aca="false">IF(A105="YES",B89,0)</f>
        <v>0</v>
      </c>
      <c r="C171" s="295"/>
      <c r="D171" s="290" t="n">
        <f aca="false">B91</f>
        <v>886.569627745184</v>
      </c>
      <c r="E171" s="291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98" t="s">
        <v>36</v>
      </c>
      <c r="B173" s="299" t="s">
        <v>309</v>
      </c>
      <c r="C173" s="215"/>
      <c r="D173" s="299" t="s">
        <v>310</v>
      </c>
      <c r="E173" s="200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302" t="str">
        <f aca="false">B99</f>
        <v> Terminal pause with 9 down </v>
      </c>
      <c r="B174" s="42" t="n">
        <f aca="false">B90*B57</f>
        <v>7979.12664970666</v>
      </c>
      <c r="C174" s="199"/>
      <c r="D174" s="42" t="n">
        <f aca="false">IF(A105="YES",B89*B57,0)</f>
        <v>0</v>
      </c>
      <c r="E174" s="200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198"/>
      <c r="B175" s="199"/>
      <c r="C175" s="199"/>
      <c r="D175" s="199"/>
      <c r="E175" s="200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112" t="s">
        <v>314</v>
      </c>
      <c r="B176" s="43" t="s">
        <v>315</v>
      </c>
      <c r="C176" s="205"/>
      <c r="D176" s="230" t="s">
        <v>219</v>
      </c>
      <c r="E176" s="200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113" t="n">
        <f aca="false">B91*B57</f>
        <v>7979.12664970666</v>
      </c>
      <c r="B177" s="42" t="n">
        <f aca="false">E114</f>
        <v>0</v>
      </c>
      <c r="C177" s="199"/>
      <c r="D177" s="303" t="n">
        <f aca="false">B58</f>
        <v>3</v>
      </c>
      <c r="E177" s="200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13"/>
      <c r="B178" s="304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64" t="s">
        <v>131</v>
      </c>
      <c r="B179" s="305" t="s">
        <v>304</v>
      </c>
      <c r="C179" s="199"/>
      <c r="D179" s="199" t="s">
        <v>305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113" t="n">
        <f aca="false">B90</f>
        <v>886.569627745184</v>
      </c>
      <c r="B180" s="42" t="n">
        <f aca="false">IF(A105="YES",B89,0)</f>
        <v>0</v>
      </c>
      <c r="C180" s="199"/>
      <c r="D180" s="42" t="n">
        <f aca="false">B91</f>
        <v>886.569627745184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306" t="s">
        <v>80</v>
      </c>
      <c r="B182" s="307" t="s">
        <v>322</v>
      </c>
      <c r="C182" s="42"/>
      <c r="D182" s="307" t="s">
        <v>85</v>
      </c>
      <c r="E182" s="10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308" t="n">
        <f aca="false">(G18*0.000006)*1.2*100</f>
        <v>26.9316</v>
      </c>
      <c r="B183" s="309" t="n">
        <f aca="false">G18*0.000002*1.2*100</f>
        <v>8.9772</v>
      </c>
      <c r="C183" s="310"/>
      <c r="D183" s="309" t="n">
        <f aca="false">A183+B183</f>
        <v>35.9088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311"/>
      <c r="B184" s="312"/>
      <c r="C184" s="199"/>
      <c r="D184" s="312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306" t="s">
        <v>326</v>
      </c>
      <c r="B185" s="307" t="s">
        <v>66</v>
      </c>
      <c r="C185" s="42"/>
      <c r="D185" s="307" t="s">
        <v>292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v>0</v>
      </c>
      <c r="B186" s="42" t="n">
        <f aca="false">E118</f>
        <v>199.991666666667</v>
      </c>
      <c r="C186" s="199"/>
      <c r="D186" s="142" t="n">
        <f aca="false">B102</f>
        <v>400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13"/>
      <c r="B187" s="42"/>
      <c r="C187" s="199"/>
      <c r="D187" s="42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13" t="s">
        <v>329</v>
      </c>
      <c r="B188" s="314"/>
      <c r="C188" s="315"/>
      <c r="D188" s="314"/>
      <c r="E188" s="316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11"/>
      <c r="B189" s="312"/>
      <c r="C189" s="199"/>
      <c r="D189" s="312"/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198" t="s">
        <v>330</v>
      </c>
      <c r="B190" s="199" t="s">
        <v>331</v>
      </c>
      <c r="C190" s="199"/>
      <c r="D190" s="199" t="s">
        <v>332</v>
      </c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113" t="n">
        <f aca="false">B67</f>
        <v>250</v>
      </c>
      <c r="B191" s="42" t="n">
        <f aca="false">B102</f>
        <v>400</v>
      </c>
      <c r="C191" s="42"/>
      <c r="D191" s="42" t="n">
        <f aca="false">IF(A105="YES",(A38/100*B105)*B125,0)*0.001</f>
        <v>0</v>
      </c>
      <c r="E191" s="10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98"/>
      <c r="B192" s="199"/>
      <c r="C192" s="199"/>
      <c r="D192" s="199"/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98" t="s">
        <v>334</v>
      </c>
      <c r="B193" s="199" t="s">
        <v>328</v>
      </c>
      <c r="C193" s="199"/>
      <c r="D193" s="199" t="s">
        <v>325</v>
      </c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113" t="n">
        <f aca="false">A151</f>
        <v>250</v>
      </c>
      <c r="B194" s="42" t="n">
        <f aca="false">(A148+B148+D148+A151)*(A143/B64)</f>
        <v>0</v>
      </c>
      <c r="C194" s="42"/>
      <c r="D194" s="42" t="n">
        <f aca="false">D151</f>
        <v>700</v>
      </c>
      <c r="E194" s="10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198"/>
      <c r="B195" s="199"/>
      <c r="C195" s="199"/>
      <c r="D195" s="199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335</v>
      </c>
      <c r="B196" s="199"/>
      <c r="C196" s="199"/>
      <c r="D196" s="199"/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D102</f>
        <v>200</v>
      </c>
      <c r="B197" s="42"/>
      <c r="C197" s="199"/>
      <c r="D197" s="199"/>
      <c r="E197" s="200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262"/>
      <c r="B198" s="263"/>
      <c r="C198" s="263"/>
      <c r="D198" s="263"/>
      <c r="E198" s="264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317" t="s">
        <v>225</v>
      </c>
      <c r="B201" s="317"/>
      <c r="C201" s="317"/>
      <c r="D201" s="317"/>
      <c r="E201" s="31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/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288" t="s">
        <v>226</v>
      </c>
      <c r="B203" s="319" t="n">
        <f aca="false">B209</f>
        <v>0.065</v>
      </c>
      <c r="C203" s="290" t="s">
        <v>228</v>
      </c>
      <c r="D203" s="320" t="n">
        <f aca="false">D64</f>
        <v>1470</v>
      </c>
      <c r="E203" s="291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92"/>
      <c r="B204" s="293"/>
      <c r="C204" s="294"/>
      <c r="D204" s="293"/>
      <c r="E204" s="291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288" t="s">
        <v>229</v>
      </c>
      <c r="B205" s="290" t="n">
        <f aca="false">B213</f>
        <v>250</v>
      </c>
      <c r="C205" s="289" t="s">
        <v>230</v>
      </c>
      <c r="D205" s="320" t="n">
        <f aca="false">B219+E215+B215+B217</f>
        <v>510</v>
      </c>
      <c r="E205" s="291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288"/>
      <c r="B206" s="321"/>
      <c r="C206" s="290"/>
      <c r="D206" s="289"/>
      <c r="E206" s="291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292" t="s">
        <v>231</v>
      </c>
      <c r="B207" s="290" t="n">
        <f aca="false">E217</f>
        <v>1730</v>
      </c>
      <c r="C207" s="294"/>
      <c r="D207" s="290"/>
      <c r="E207" s="291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305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13" t="s">
        <v>226</v>
      </c>
      <c r="B209" s="322" t="n">
        <v>0.065</v>
      </c>
      <c r="C209" s="215"/>
      <c r="D209" s="299"/>
      <c r="E209" s="200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302"/>
      <c r="B210" s="43"/>
      <c r="C210" s="199"/>
      <c r="D210" s="42"/>
      <c r="E210" s="200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04" t="s">
        <v>228</v>
      </c>
      <c r="B211" s="106" t="n">
        <f aca="false">D64</f>
        <v>1470</v>
      </c>
      <c r="C211" s="223" t="s">
        <v>234</v>
      </c>
      <c r="D211" s="199"/>
      <c r="E211" s="270" t="n">
        <f aca="false">B66</f>
        <v>0</v>
      </c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171"/>
      <c r="B212" s="43"/>
      <c r="C212" s="205"/>
      <c r="D212" s="230"/>
      <c r="E212" s="200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113" t="s">
        <v>234</v>
      </c>
      <c r="B213" s="106" t="n">
        <f aca="false">B67</f>
        <v>250</v>
      </c>
      <c r="C213" s="205" t="s">
        <v>336</v>
      </c>
      <c r="D213" s="303"/>
      <c r="E213" s="88" t="n">
        <f aca="false">J15</f>
        <v>0.15</v>
      </c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13"/>
      <c r="B214" s="305"/>
      <c r="C214" s="205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113" t="s">
        <v>336</v>
      </c>
      <c r="B215" s="230" t="n">
        <f aca="false">B191*E213</f>
        <v>60</v>
      </c>
      <c r="C215" s="205" t="s">
        <v>236</v>
      </c>
      <c r="D215" s="199"/>
      <c r="E215" s="37" t="n">
        <f aca="false">A194</f>
        <v>250</v>
      </c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113"/>
      <c r="B216" s="43"/>
      <c r="C216" s="205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337</v>
      </c>
      <c r="B217" s="230" t="n">
        <f aca="false">B78-(B78*(E213))</f>
        <v>200</v>
      </c>
      <c r="C217" s="205" t="s">
        <v>231</v>
      </c>
      <c r="D217" s="199"/>
      <c r="E217" s="37" t="n">
        <f aca="false">(B211-B205+D205)</f>
        <v>1730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323"/>
      <c r="B218" s="307"/>
      <c r="C218" s="42"/>
      <c r="D218" s="307"/>
      <c r="E218" s="15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323" t="s">
        <v>338</v>
      </c>
      <c r="B219" s="307" t="n">
        <f aca="false">D191/0.1</f>
        <v>0</v>
      </c>
      <c r="C219" s="42"/>
      <c r="D219" s="307"/>
      <c r="E219" s="15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323"/>
      <c r="B220" s="307"/>
      <c r="C220" s="42"/>
      <c r="D220" s="307"/>
      <c r="E220" s="15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313" t="s">
        <v>339</v>
      </c>
      <c r="B221" s="324"/>
      <c r="C221" s="315"/>
      <c r="D221" s="314"/>
      <c r="E221" s="316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311"/>
      <c r="B222" s="325"/>
      <c r="C222" s="199"/>
      <c r="D222" s="31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311" t="s">
        <v>238</v>
      </c>
      <c r="B223" s="106" t="n">
        <f aca="false">B71</f>
        <v>160</v>
      </c>
      <c r="C223" s="205" t="s">
        <v>239</v>
      </c>
      <c r="D223" s="312"/>
      <c r="E223" s="140" t="n">
        <f aca="false">B72</f>
        <v>4.5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11"/>
      <c r="B224" s="325"/>
      <c r="C224" s="205" t="s">
        <v>240</v>
      </c>
      <c r="D224" s="312"/>
      <c r="E224" s="37" t="n">
        <f aca="false">D73</f>
        <v>214</v>
      </c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11" t="s">
        <v>241</v>
      </c>
      <c r="B225" s="326" t="n">
        <f aca="false">B68</f>
        <v>0.0075</v>
      </c>
      <c r="C225" s="205" t="s">
        <v>242</v>
      </c>
      <c r="D225" s="312"/>
      <c r="E225" s="270" t="n">
        <f aca="false">B69</f>
        <v>0.15</v>
      </c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11"/>
      <c r="B226" s="325"/>
      <c r="C226" s="205" t="s">
        <v>243</v>
      </c>
      <c r="D226" s="312"/>
      <c r="E226" s="37" t="n">
        <f aca="false">B86</f>
        <v>76.5767094128031</v>
      </c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1" t="s">
        <v>244</v>
      </c>
      <c r="B227" s="106" t="n">
        <f aca="false">B79</f>
        <v>300</v>
      </c>
      <c r="C227" s="327" t="s">
        <v>340</v>
      </c>
      <c r="D227" s="328"/>
      <c r="E227" s="140" t="n">
        <f aca="false">B74</f>
        <v>0</v>
      </c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204"/>
      <c r="B228" s="305"/>
      <c r="C228" s="327"/>
      <c r="D228" s="329"/>
      <c r="E228" s="33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113" t="s">
        <v>245</v>
      </c>
      <c r="B229" s="106" t="n">
        <f aca="false">B80</f>
        <v>100</v>
      </c>
      <c r="C229" s="331" t="s">
        <v>341</v>
      </c>
      <c r="D229" s="331"/>
      <c r="E229" s="140" t="n">
        <f aca="false">B75</f>
        <v>0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198"/>
      <c r="B230" s="199"/>
      <c r="C230" s="199"/>
      <c r="D230" s="199"/>
      <c r="E230" s="200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198"/>
      <c r="B231" s="199"/>
      <c r="C231" s="199"/>
      <c r="D231" s="199"/>
      <c r="E231" s="200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113"/>
      <c r="B232" s="42"/>
      <c r="C232" s="42"/>
      <c r="D232" s="42"/>
      <c r="E232" s="10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198"/>
      <c r="B233" s="199"/>
      <c r="C233" s="199"/>
      <c r="D233" s="199"/>
      <c r="E233" s="200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198"/>
      <c r="B234" s="199"/>
      <c r="C234" s="199"/>
      <c r="D234" s="199"/>
      <c r="E234" s="20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/>
      <c r="B235" s="42"/>
      <c r="C235" s="199"/>
      <c r="D235" s="199"/>
      <c r="E235" s="200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262"/>
      <c r="B236" s="263"/>
      <c r="C236" s="263"/>
      <c r="D236" s="263"/>
      <c r="E236" s="264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6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A50:A51"/>
    <mergeCell ref="B50:C50"/>
    <mergeCell ref="B51:C51"/>
    <mergeCell ref="B52:C52"/>
    <mergeCell ref="A94:E94"/>
    <mergeCell ref="G94:K94"/>
    <mergeCell ref="A96:E96"/>
    <mergeCell ref="G96:K96"/>
    <mergeCell ref="B99:C99"/>
    <mergeCell ref="D99:E99"/>
    <mergeCell ref="H99:I99"/>
    <mergeCell ref="J99:K99"/>
    <mergeCell ref="B102:C102"/>
    <mergeCell ref="D102:E102"/>
    <mergeCell ref="H102:I102"/>
    <mergeCell ref="J102:K102"/>
    <mergeCell ref="B105:C105"/>
    <mergeCell ref="D105:E105"/>
    <mergeCell ref="H105:I105"/>
    <mergeCell ref="J105:K105"/>
    <mergeCell ref="A108:E108"/>
    <mergeCell ref="G108:K108"/>
    <mergeCell ref="A122:E122"/>
    <mergeCell ref="G122:K122"/>
    <mergeCell ref="H124:I124"/>
    <mergeCell ref="G150:G151"/>
    <mergeCell ref="H150:I150"/>
    <mergeCell ref="H151:I151"/>
    <mergeCell ref="H152:I152"/>
    <mergeCell ref="A159:A160"/>
    <mergeCell ref="B159:C159"/>
    <mergeCell ref="B160:C160"/>
    <mergeCell ref="B161:C161"/>
    <mergeCell ref="A165:E165"/>
    <mergeCell ref="A201:E201"/>
  </mergeCells>
  <dataValidations count="4">
    <dataValidation allowBlank="true" errorStyle="stop" operator="between" showDropDown="false" showErrorMessage="true" showInputMessage="false" sqref="A32" type="list">
      <formula1>"Monthly in advance ,Spread rentals initial payment ,Spread rentals with 3 down ,Spread rentals with 6 down ,Spread rentals with 9 down ,Spread rentals with 12 down ,Terminal pause with 3 down ,Terminal Pause with 6 down ,Terminal Pause with 9 dow"</formula1>
      <formula2>0</formula2>
    </dataValidation>
    <dataValidation allowBlank="true" errorStyle="stop" operator="between" showDropDown="false" showErrorMessage="true" showInputMessage="false" sqref="B38 A105 B110" type="list">
      <formula1>"NO,YES"</formula1>
      <formula2>0</formula2>
    </dataValidation>
    <dataValidation allowBlank="true" errorStyle="stop" operator="between" showDropDown="false" showErrorMessage="true" showInputMessage="false" sqref="H99 N99:O99 G105 M105 O107 H110 N110" type="list">
      <formula1>#ref!</formula1>
      <formula2>0</formula2>
    </dataValidation>
    <dataValidation allowBlank="true" errorStyle="stop" operator="between" showDropDown="false" showErrorMessage="true" showInputMessage="false" sqref="B99" type="list">
      <formula1>'BCH (Formula 3) - PCH'!$Z$101:$Z$109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7.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17333.33</v>
      </c>
      <c r="C2" s="9" t="s">
        <v>16</v>
      </c>
      <c r="D2" s="10" t="n">
        <f aca="false">C9</f>
        <v>3466.666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20799.996</v>
      </c>
      <c r="C4" s="247"/>
      <c r="D4" s="247"/>
      <c r="E4" s="247"/>
      <c r="F4" s="248" t="s">
        <v>10</v>
      </c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250"/>
      <c r="B8" s="67"/>
      <c r="C8" s="67"/>
      <c r="D8" s="249"/>
      <c r="E8" s="249"/>
      <c r="F8" s="67"/>
      <c r="G8" s="67"/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3466.666</v>
      </c>
      <c r="D9" s="249"/>
      <c r="E9" s="249"/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67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17333.33</v>
      </c>
      <c r="C15" s="14" t="n">
        <f aca="false">SUM(C9:C13)</f>
        <v>3466.666</v>
      </c>
      <c r="D15" s="249"/>
      <c r="E15" s="249"/>
      <c r="F15" s="67"/>
      <c r="G15" s="21" t="n">
        <f aca="false">E15</f>
        <v>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42" t="n">
        <v>37405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20799.996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17333.33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IF(A32=Z101,1,IF(A32=Z102,1,IF(A32=Z103,3,IF(A32=Z104,6,IF(A32=Z105,9,IF(A32=Z106,12,IF(A32=Z107,3,IF(A32=Z108,6,IF(A32=Z109,9,0)))))))))</f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IF(A32=Z101,H29-H27,IF(A32=Z102,H29-H27,IF(A32=Z103,H29-1,IF(A32=Z104,H29-1,IF(A32=Z105,H29-1,IF(A32=Z106,H29-1,IF(A32=Z107,H29-H27,IF(A32=Z108,H29-H27,IF(A32=Z109,H29-H27,0)))))))))</f>
        <v>11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n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n">
        <f aca="false">IF(A32=Z101,D38,IF(A32=Z102,D38,IF(A32=Z103,(D38*3),IF(A32=Z104,(D38*6),IF(A32=Z105,(D38*9),IF(A32=Z106,(D38*12),IF(A32=Z107,D38,IF(A32=Z108,D38,IF(A32=Z109,D38,0)))))))))</f>
        <v>500</v>
      </c>
      <c r="C32" s="211"/>
      <c r="D32" s="211" t="n">
        <f aca="false">IF(A32=Z101,A41,IF(A32=Z102,A41,IF(A32=Z103,(A41*3),IF(A32=Z104,(A41*6),IF(A32=Z105,(A41*9),IF(A32=Z106,(A41*12),IF(A32=Z107,A41,IF(A32=Z108,A41,IF(A32=Z109,A41,0)))))))))</f>
        <v>50</v>
      </c>
      <c r="E32" s="211"/>
      <c r="F32" s="67"/>
      <c r="G32" s="212" t="s">
        <v>254</v>
      </c>
      <c r="H32" s="210" t="n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/>
      <c r="H33" s="20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n">
        <f aca="false">D41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n">
        <v>500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152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50</v>
      </c>
      <c r="B41" s="224" t="n">
        <f aca="false">IF(B38="YES",D38+A41,D38)</f>
        <v>550</v>
      </c>
      <c r="C41" s="224"/>
      <c r="D41" s="106" t="n">
        <v>12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264</v>
      </c>
      <c r="B43" s="223" t="s">
        <v>265</v>
      </c>
      <c r="C43" s="215"/>
      <c r="D43" s="223" t="s">
        <v>269</v>
      </c>
      <c r="E43" s="226"/>
      <c r="F43" s="67"/>
      <c r="G43" s="67" t="s">
        <v>266</v>
      </c>
      <c r="H43" s="7" t="n">
        <f aca="false">(((D38*(B35-1))+B32)/B35)+(D41/B35)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n">
        <v>1</v>
      </c>
      <c r="B44" s="106" t="n">
        <v>1</v>
      </c>
      <c r="C44" s="106"/>
      <c r="D44" s="256" t="n">
        <f aca="false">A44+B44</f>
        <v>2</v>
      </c>
      <c r="E44" s="256"/>
      <c r="F44" s="67"/>
      <c r="G44" s="67" t="s">
        <v>267</v>
      </c>
      <c r="H44" s="7" t="n">
        <f aca="false">((A41*(B35-1))+D32)/B35</f>
        <v>50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57" t="s">
        <v>284</v>
      </c>
      <c r="B46" s="215"/>
      <c r="C46" s="215"/>
      <c r="D46" s="215"/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21"/>
      <c r="B47" s="215"/>
      <c r="C47" s="215"/>
      <c r="D47" s="215"/>
      <c r="E47" s="22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67"/>
      <c r="H48" s="7" t="n">
        <f aca="false">(A41*(B58+B57))</f>
        <v>600</v>
      </c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/>
      <c r="H49" s="261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12</v>
      </c>
      <c r="B52" s="78" t="n">
        <f aca="false">H45</f>
        <v>551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IF(B99=Z101,1,IF(B99=Z102,1,IF(B99=Z103,3,IF(B99=Z104,6,IF(B99=Z105,9,IF(B99=Z106,12,IF(B99=Z107,3,IF(B99=Z108,6,IF(B99=Z109,9,0)))))))))</f>
        <v>9</v>
      </c>
      <c r="C57" s="199"/>
      <c r="D57" s="199"/>
      <c r="E57" s="200"/>
      <c r="F57" s="67"/>
      <c r="G57" s="198" t="s">
        <v>97</v>
      </c>
      <c r="H57" s="199" t="n">
        <f aca="false">IF(H99=Z101,1,IF(H99=Z102,1,IF(H99=Z103,3,IF(H99=Z104,6,IF(H99=Z105,9,IF(H99=Z106,12,IF(H99=Z107,3,IF(H99=Z108,6,IF(H99=Z109,9,0)))))))))</f>
        <v>1</v>
      </c>
      <c r="I57" s="199"/>
      <c r="J57" s="199"/>
      <c r="K57" s="200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IF(B99=Z101,H29-B57,IF(B99=Z102,H29-B57,IF(B99=Z103,H29-1,IF(B99=Z104,H29-1,IF(B99=Z105,H29-1,IF(B99=Z106,H29-1,IF(B99=Z107,H29-B57,IF(B99=Z108,H29-B57,IF(B99=Z109,H29-B57,0)))))))))</f>
        <v>3</v>
      </c>
      <c r="C58" s="199" t="s">
        <v>285</v>
      </c>
      <c r="D58" s="199"/>
      <c r="E58" s="200"/>
      <c r="F58" s="67"/>
      <c r="G58" s="198" t="s">
        <v>98</v>
      </c>
      <c r="H58" s="199" t="n">
        <f aca="false">IF(H99=Z101,H29-H57,IF(H99=Z102,H29-H57,IF(H99=Z103,H29-1,IF(H99=Z104,H29-1,IF(H99=Z105,H29-1,IF(H99=Z106,H29-1,IF(H99=Z107,H29-H57,IF(H99=Z108,H29-H57,IF(H99=Z109,H29-H57,0)))))))))</f>
        <v>11</v>
      </c>
      <c r="I58" s="199"/>
      <c r="J58" s="199"/>
      <c r="K58" s="200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286</v>
      </c>
      <c r="B60" s="199" t="n">
        <f aca="false">E19</f>
        <v>20799.996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f aca="false">G18</f>
        <v>37405</v>
      </c>
      <c r="C61" s="199"/>
      <c r="D61" s="199"/>
      <c r="E61" s="200"/>
      <c r="F61" s="67"/>
      <c r="G61" s="198" t="s">
        <v>27</v>
      </c>
      <c r="H61" s="36" t="n">
        <f aca="false">G18</f>
        <v>37405</v>
      </c>
      <c r="I61" s="199"/>
      <c r="J61" s="199"/>
      <c r="K61" s="200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0.07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0.07</v>
      </c>
      <c r="I63" s="199"/>
      <c r="J63" s="199"/>
      <c r="K63" s="200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B60*B63</f>
        <v>1455.99972</v>
      </c>
      <c r="C64" s="199" t="n">
        <v>10000</v>
      </c>
      <c r="D64" s="36" t="n">
        <f aca="false">B64</f>
        <v>1455.99972</v>
      </c>
      <c r="E64" s="200"/>
      <c r="F64" s="67"/>
      <c r="G64" s="262" t="s">
        <v>103</v>
      </c>
      <c r="H64" s="69" t="n">
        <f aca="false">H61*H63</f>
        <v>2618.35</v>
      </c>
      <c r="I64" s="199"/>
      <c r="J64" s="36" t="n">
        <f aca="false">H64</f>
        <v>2618.35</v>
      </c>
      <c r="K64" s="200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199"/>
      <c r="E65" s="200"/>
      <c r="F65" s="67"/>
      <c r="G65" s="268" t="s">
        <v>104</v>
      </c>
      <c r="H65" s="269" t="n">
        <v>0.005</v>
      </c>
      <c r="I65" s="199"/>
      <c r="J65" s="199"/>
      <c r="K65" s="200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199"/>
      <c r="D66" s="199"/>
      <c r="E66" s="200"/>
      <c r="F66" s="67"/>
      <c r="G66" s="198" t="s">
        <v>105</v>
      </c>
      <c r="H66" s="270" t="n">
        <f aca="false">H65+(H65*0.5*(H29/12-1))</f>
        <v>0.005</v>
      </c>
      <c r="I66" s="199"/>
      <c r="J66" s="199"/>
      <c r="K66" s="200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199"/>
      <c r="D67" s="36"/>
      <c r="E67" s="200"/>
      <c r="F67" s="67"/>
      <c r="G67" s="262" t="s">
        <v>106</v>
      </c>
      <c r="H67" s="69" t="n">
        <f aca="false">H61*H66</f>
        <v>187.025</v>
      </c>
      <c r="I67" s="199"/>
      <c r="J67" s="36"/>
      <c r="K67" s="200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199"/>
      <c r="D68" s="199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0.0084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54</v>
      </c>
      <c r="C73" s="199"/>
      <c r="D73" s="36" t="n">
        <f aca="false">B73+B71</f>
        <v>214</v>
      </c>
      <c r="E73" s="200"/>
      <c r="F73" s="67"/>
      <c r="G73" s="262" t="s">
        <v>112</v>
      </c>
      <c r="H73" s="69" t="n">
        <f aca="false">H72*H29</f>
        <v>54</v>
      </c>
      <c r="I73" s="199"/>
      <c r="J73" s="36" t="n">
        <f aca="false">H73+H71</f>
        <v>214</v>
      </c>
      <c r="K73" s="200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0</v>
      </c>
      <c r="C74" s="199"/>
      <c r="D74" s="199"/>
      <c r="E74" s="200"/>
      <c r="F74" s="67"/>
      <c r="G74" s="268" t="s">
        <v>289</v>
      </c>
      <c r="H74" s="90" t="n">
        <v>150</v>
      </c>
      <c r="I74" s="199"/>
      <c r="J74" s="199"/>
      <c r="K74" s="200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/>
      <c r="D75" s="199"/>
      <c r="E75" s="200"/>
      <c r="F75" s="67"/>
      <c r="G75" s="272" t="s">
        <v>290</v>
      </c>
      <c r="H75" s="81" t="n">
        <f aca="false">IF(G18&gt;40000,325,0)</f>
        <v>0</v>
      </c>
      <c r="I75" s="199"/>
      <c r="J75" s="199"/>
      <c r="K75" s="200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((B74+B75)/12)*(H29+1)</f>
        <v>0</v>
      </c>
      <c r="C76" s="199"/>
      <c r="D76" s="36" t="n">
        <f aca="false">B76</f>
        <v>0</v>
      </c>
      <c r="E76" s="200"/>
      <c r="F76" s="67"/>
      <c r="G76" s="262" t="s">
        <v>291</v>
      </c>
      <c r="H76" s="69" t="n">
        <f aca="false">((H74+H75)/12)*(H29-11)</f>
        <v>12.5</v>
      </c>
      <c r="I76" s="199"/>
      <c r="J76" s="36" t="n">
        <f aca="false">H76</f>
        <v>12.5</v>
      </c>
      <c r="K76" s="200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292</v>
      </c>
      <c r="B77" s="90" t="n">
        <f aca="false">B102/(1-J15)</f>
        <v>444.444444444444</v>
      </c>
      <c r="C77" s="199"/>
      <c r="D77" s="36" t="n">
        <f aca="false">B77</f>
        <v>444.444444444444</v>
      </c>
      <c r="E77" s="200"/>
      <c r="F77" s="67"/>
      <c r="G77" s="268" t="s">
        <v>292</v>
      </c>
      <c r="H77" s="90" t="n">
        <f aca="false">H102</f>
        <v>1200</v>
      </c>
      <c r="I77" s="199"/>
      <c r="J77" s="36" t="n">
        <f aca="false">H77</f>
        <v>1200</v>
      </c>
      <c r="K77" s="200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222.222222222222</v>
      </c>
      <c r="C78" s="199"/>
      <c r="D78" s="36" t="n">
        <f aca="false">B78</f>
        <v>222.222222222222</v>
      </c>
      <c r="E78" s="200"/>
      <c r="F78" s="67"/>
      <c r="G78" s="198" t="s">
        <v>293</v>
      </c>
      <c r="H78" s="37" t="n">
        <f aca="false">J102</f>
        <v>0</v>
      </c>
      <c r="I78" s="199"/>
      <c r="J78" s="36" t="n">
        <f aca="false">H78</f>
        <v>0</v>
      </c>
      <c r="K78" s="200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199"/>
      <c r="D79" s="36" t="n">
        <f aca="false">B79</f>
        <v>200</v>
      </c>
      <c r="E79" s="200"/>
      <c r="F79" s="67"/>
      <c r="G79" s="272" t="s">
        <v>113</v>
      </c>
      <c r="H79" s="81" t="n">
        <v>100</v>
      </c>
      <c r="I79" s="199"/>
      <c r="J79" s="36" t="n">
        <f aca="false">H79</f>
        <v>100</v>
      </c>
      <c r="K79" s="200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199"/>
      <c r="D80" s="36" t="n">
        <f aca="false">B80</f>
        <v>200</v>
      </c>
      <c r="E80" s="200"/>
      <c r="F80" s="67"/>
      <c r="G80" s="275" t="s">
        <v>114</v>
      </c>
      <c r="H80" s="91" t="n">
        <v>100</v>
      </c>
      <c r="I80" s="199"/>
      <c r="J80" s="36" t="n">
        <f aca="false">H80</f>
        <v>100</v>
      </c>
      <c r="K80" s="200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2736.66638666667</v>
      </c>
      <c r="C81" s="199"/>
      <c r="D81" s="199"/>
      <c r="E81" s="200"/>
      <c r="F81" s="67"/>
      <c r="G81" s="276" t="s">
        <v>115</v>
      </c>
      <c r="H81" s="277" t="n">
        <f aca="false">SUM(J64:J80)</f>
        <v>4244.85</v>
      </c>
      <c r="I81" s="199"/>
      <c r="J81" s="199"/>
      <c r="K81" s="200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228.055532222222</v>
      </c>
      <c r="C82" s="199"/>
      <c r="D82" s="199"/>
      <c r="E82" s="200"/>
      <c r="F82" s="67"/>
      <c r="G82" s="198" t="s">
        <v>116</v>
      </c>
      <c r="H82" s="37" t="n">
        <f aca="false">H81/H29</f>
        <v>353.7375</v>
      </c>
      <c r="I82" s="199"/>
      <c r="J82" s="199"/>
      <c r="K82" s="200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H46</f>
        <v>501</v>
      </c>
      <c r="C83" s="199"/>
      <c r="D83" s="199"/>
      <c r="E83" s="200"/>
      <c r="F83" s="67"/>
      <c r="G83" s="278" t="s">
        <v>117</v>
      </c>
      <c r="H83" s="63" t="n">
        <f aca="false">H46</f>
        <v>501</v>
      </c>
      <c r="I83" s="199"/>
      <c r="J83" s="199"/>
      <c r="K83" s="200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199"/>
      <c r="D84" s="199"/>
      <c r="E84" s="200"/>
      <c r="F84" s="67"/>
      <c r="G84" s="198"/>
      <c r="H84" s="36"/>
      <c r="I84" s="199"/>
      <c r="J84" s="199"/>
      <c r="K84" s="200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((B83*(H29)+B81))</f>
        <v>8748.66638666667</v>
      </c>
      <c r="C85" s="199"/>
      <c r="D85" s="199"/>
      <c r="E85" s="200"/>
      <c r="F85" s="67"/>
      <c r="G85" s="265" t="s">
        <v>127</v>
      </c>
      <c r="H85" s="31" t="n">
        <f aca="false">((H83*(H27+H28))+H81)*1.2</f>
        <v>12308.22</v>
      </c>
      <c r="I85" s="199"/>
      <c r="J85" s="199"/>
      <c r="K85" s="200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(B85/(1-B70))*B70</f>
        <v>74.1113328438887</v>
      </c>
      <c r="C86" s="199"/>
      <c r="D86" s="199"/>
      <c r="E86" s="200"/>
      <c r="F86" s="67"/>
      <c r="G86" s="198" t="s">
        <v>128</v>
      </c>
      <c r="H86" s="37" t="n">
        <f aca="false">(((H83*(H27+H28))+H81)/(1-H70))*H70</f>
        <v>86.8873941105285</v>
      </c>
      <c r="I86" s="199"/>
      <c r="J86" s="199"/>
      <c r="K86" s="200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8822.77771951056</v>
      </c>
      <c r="C87" s="199"/>
      <c r="D87" s="199"/>
      <c r="E87" s="200"/>
      <c r="F87" s="67"/>
      <c r="G87" s="262" t="s">
        <v>129</v>
      </c>
      <c r="H87" s="69" t="n">
        <f aca="false">IF(H110="YES",((H85+H86)-A151-K114),((H85+H86)-A151))</f>
        <v>12145.1073941105</v>
      </c>
      <c r="I87" s="199"/>
      <c r="J87" s="199"/>
      <c r="K87" s="200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199"/>
      <c r="D88" s="199"/>
      <c r="E88" s="200"/>
      <c r="F88" s="67"/>
      <c r="G88" s="198"/>
      <c r="H88" s="36"/>
      <c r="I88" s="199"/>
      <c r="J88" s="199"/>
      <c r="K88" s="200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9" t="n">
        <f aca="false">IF(B99=Z102,(((H44*B35)+(H44*B35)*(B105/100))/(B58)),(((H44*B35)+(H44*B35)*(B105/100))/(B57+B58)))</f>
        <v>65</v>
      </c>
      <c r="C89" s="199" t="s">
        <v>10</v>
      </c>
      <c r="D89" s="199"/>
      <c r="E89" s="200"/>
      <c r="F89" s="67"/>
      <c r="G89" s="276" t="s">
        <v>130</v>
      </c>
      <c r="H89" s="277" t="n">
        <f aca="false">(A41+(A41*H105))*1.2</f>
        <v>72</v>
      </c>
      <c r="I89" s="199"/>
      <c r="J89" s="199"/>
      <c r="K89" s="200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IF(B99=Z102,(B87-D105)/(B58),B87/(B57+B58))</f>
        <v>735.23147662588</v>
      </c>
      <c r="C90" s="199"/>
      <c r="D90" s="199"/>
      <c r="E90" s="200"/>
      <c r="F90" s="67"/>
      <c r="G90" s="280" t="s">
        <v>131</v>
      </c>
      <c r="H90" s="281" t="n">
        <f aca="false">IF(H99=AE98,(H87-J105)/(H58),H87/(H57+H58))</f>
        <v>1012.09228284254</v>
      </c>
      <c r="I90" s="199"/>
      <c r="K90" s="200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800.23147662588</v>
      </c>
      <c r="C91" s="199"/>
      <c r="D91" s="199"/>
      <c r="E91" s="200"/>
      <c r="F91" s="67"/>
      <c r="G91" s="282" t="s">
        <v>132</v>
      </c>
      <c r="H91" s="283" t="n">
        <f aca="false">IF(G105="YES",H90+H89,H90)</f>
        <v>1084.09228284254</v>
      </c>
      <c r="I91" s="199"/>
      <c r="J91" s="199"/>
      <c r="K91" s="200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263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46.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/>
      <c r="F95" s="67"/>
      <c r="G95" s="198"/>
      <c r="H95" s="199"/>
      <c r="I95" s="199"/>
      <c r="J95" s="199"/>
      <c r="K95" s="200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199"/>
      <c r="C97" s="199"/>
      <c r="D97" s="199"/>
      <c r="E97" s="200"/>
      <c r="F97" s="67"/>
      <c r="G97" s="198"/>
      <c r="H97" s="199"/>
      <c r="I97" s="199"/>
      <c r="J97" s="199"/>
      <c r="K97" s="200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204" t="s">
        <v>296</v>
      </c>
      <c r="B99" s="284" t="s">
        <v>362</v>
      </c>
      <c r="C99" s="284"/>
      <c r="D99" s="109" t="n">
        <v>0</v>
      </c>
      <c r="E99" s="109"/>
      <c r="F99" s="67"/>
      <c r="G99" s="204" t="s">
        <v>296</v>
      </c>
      <c r="H99" s="284" t="s">
        <v>141</v>
      </c>
      <c r="I99" s="284"/>
      <c r="J99" s="109" t="n">
        <v>0</v>
      </c>
      <c r="K99" s="109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299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 t="s">
        <v>141</v>
      </c>
      <c r="AA101" s="67"/>
    </row>
    <row r="102" customFormat="false" ht="18.75" hidden="false" customHeight="true" outlineLevel="0" collapsed="false">
      <c r="A102" s="285" t="n">
        <v>199.991666666667</v>
      </c>
      <c r="B102" s="109" t="n">
        <v>400</v>
      </c>
      <c r="C102" s="109"/>
      <c r="D102" s="109" t="n">
        <v>200</v>
      </c>
      <c r="E102" s="109"/>
      <c r="F102" s="67"/>
      <c r="G102" s="285" t="n">
        <f aca="false">199.99*1.2</f>
        <v>239.988</v>
      </c>
      <c r="H102" s="109" t="n">
        <v>1200</v>
      </c>
      <c r="I102" s="109"/>
      <c r="J102" s="109" t="n">
        <v>0</v>
      </c>
      <c r="K102" s="109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 t="s">
        <v>273</v>
      </c>
      <c r="AA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Z103" s="67" t="s">
        <v>274</v>
      </c>
      <c r="AA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Z104" s="67" t="s">
        <v>275</v>
      </c>
      <c r="AA104" s="67"/>
    </row>
    <row r="105" customFormat="false" ht="18.75" hidden="false" customHeight="true" outlineLevel="0" collapsed="false">
      <c r="A105" s="206" t="s">
        <v>31</v>
      </c>
      <c r="B105" s="284" t="n">
        <v>30</v>
      </c>
      <c r="C105" s="284"/>
      <c r="D105" s="109" t="s">
        <v>363</v>
      </c>
      <c r="E105" s="109"/>
      <c r="F105" s="67"/>
      <c r="G105" s="206" t="s">
        <v>31</v>
      </c>
      <c r="H105" s="286" t="n">
        <v>0.2</v>
      </c>
      <c r="I105" s="286"/>
      <c r="J105" s="109" t="n">
        <v>0</v>
      </c>
      <c r="K105" s="109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Z105" s="67" t="s">
        <v>276</v>
      </c>
      <c r="AA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Z106" s="67" t="s">
        <v>277</v>
      </c>
      <c r="AA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Z107" s="67" t="s">
        <v>278</v>
      </c>
      <c r="AA107" s="67"/>
    </row>
    <row r="108" customFormat="false" ht="18.75" hidden="false" customHeight="true" outlineLevel="0" collapsed="false">
      <c r="A108" s="201" t="s">
        <v>300</v>
      </c>
      <c r="B108" s="201" t="n">
        <v>0</v>
      </c>
      <c r="C108" s="201"/>
      <c r="D108" s="201" t="n">
        <v>0</v>
      </c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Z108" s="67" t="s">
        <v>279</v>
      </c>
      <c r="AA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Z109" s="67" t="s">
        <v>280</v>
      </c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Z110" s="67"/>
    </row>
    <row r="111" customFormat="false" ht="18.75" hidden="false" customHeight="true" outlineLevel="0" collapsed="false">
      <c r="A111" s="198"/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10000</v>
      </c>
      <c r="K112" s="109" t="n">
        <v>5000</v>
      </c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7000</v>
      </c>
      <c r="K113" s="109" t="n">
        <v>7000</v>
      </c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3000</v>
      </c>
      <c r="K114" s="157" t="n">
        <f aca="false">K112-K113</f>
        <v>-2000</v>
      </c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5000</v>
      </c>
      <c r="K115" s="200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199.991666666667</v>
      </c>
      <c r="F118" s="67"/>
      <c r="G118" s="198" t="s">
        <v>66</v>
      </c>
      <c r="H118" s="199"/>
      <c r="I118" s="199"/>
      <c r="J118" s="199"/>
      <c r="K118" s="37" t="n">
        <f aca="false">G102</f>
        <v>239.988</v>
      </c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((E118*1.2)+E117)-E114</f>
        <v>239.99</v>
      </c>
      <c r="F119" s="67"/>
      <c r="G119" s="287" t="s">
        <v>302</v>
      </c>
      <c r="H119" s="263"/>
      <c r="I119" s="263"/>
      <c r="J119" s="263"/>
      <c r="K119" s="69" t="n">
        <f aca="false">(K118+K117)-J115</f>
        <v>-4760.012</v>
      </c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12</v>
      </c>
      <c r="C125" s="294"/>
      <c r="D125" s="293" t="n">
        <f aca="false">B160</f>
        <v>5000</v>
      </c>
      <c r="E125" s="291"/>
      <c r="F125" s="67"/>
      <c r="G125" s="198"/>
      <c r="H125" s="199"/>
      <c r="I125" s="199"/>
      <c r="J125" s="199"/>
      <c r="K125" s="200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198" t="s">
        <v>95</v>
      </c>
      <c r="H126" s="199" t="s">
        <v>96</v>
      </c>
      <c r="I126" s="199"/>
      <c r="J126" s="199" t="s">
        <v>98</v>
      </c>
      <c r="K126" s="200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213" t="n">
        <f aca="false">G152</f>
        <v>12</v>
      </c>
      <c r="H127" s="214" t="n">
        <f aca="false">A152</f>
        <v>0</v>
      </c>
      <c r="I127" s="215"/>
      <c r="J127" s="168" t="n">
        <f aca="false">B151</f>
        <v>0</v>
      </c>
      <c r="K127" s="200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735.23147662588</v>
      </c>
      <c r="B128" s="290" t="n">
        <f aca="false">IF(A105="YES",B89,0)</f>
        <v>65</v>
      </c>
      <c r="C128" s="295"/>
      <c r="D128" s="290" t="n">
        <f aca="false">B91</f>
        <v>800.23147662588</v>
      </c>
      <c r="E128" s="291"/>
      <c r="F128" s="67"/>
      <c r="G128" s="198"/>
      <c r="H128" s="199"/>
      <c r="I128" s="199"/>
      <c r="J128" s="199"/>
      <c r="K128" s="200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296" t="s">
        <v>306</v>
      </c>
      <c r="H129" s="297" t="s">
        <v>307</v>
      </c>
      <c r="I129" s="297"/>
      <c r="J129" s="297" t="s">
        <v>308</v>
      </c>
      <c r="K129" s="200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300" t="n">
        <f aca="false">H90</f>
        <v>1012.09228284254</v>
      </c>
      <c r="H130" s="166" t="n">
        <f aca="false">IF(G105="YES",H89*H57,0)</f>
        <v>72</v>
      </c>
      <c r="I130" s="166"/>
      <c r="J130" s="301" t="n">
        <f aca="false">H91</f>
        <v>1084.09228284254</v>
      </c>
      <c r="K130" s="10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Terminal pause with 9 down </v>
      </c>
      <c r="B131" s="42" t="n">
        <f aca="false">B90*B57</f>
        <v>6617.08328963292</v>
      </c>
      <c r="C131" s="199"/>
      <c r="D131" s="42" t="n">
        <f aca="false">IF(A105="YES",B89*B57,0)</f>
        <v>585</v>
      </c>
      <c r="E131" s="200"/>
      <c r="F131" s="67"/>
      <c r="G131" s="198"/>
      <c r="H131" s="199"/>
      <c r="I131" s="199"/>
      <c r="J131" s="199"/>
      <c r="K131" s="200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1012.09228284254</v>
      </c>
      <c r="H133" s="42" t="n">
        <f aca="false">IF(G105="YES",H89*H57,0)</f>
        <v>72</v>
      </c>
      <c r="I133" s="205"/>
      <c r="J133" s="170" t="n">
        <f aca="false">H91*H57</f>
        <v>1084.09228284254</v>
      </c>
      <c r="K133" s="200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7202.08328963292</v>
      </c>
      <c r="B134" s="42" t="n">
        <f aca="false">E114</f>
        <v>0</v>
      </c>
      <c r="C134" s="199"/>
      <c r="D134" s="303" t="n">
        <f aca="false">B58</f>
        <v>3</v>
      </c>
      <c r="E134" s="200"/>
      <c r="F134" s="67"/>
      <c r="G134" s="198"/>
      <c r="H134" s="199"/>
      <c r="I134" s="199"/>
      <c r="J134" s="199"/>
      <c r="K134" s="200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735.23147662588</v>
      </c>
      <c r="B137" s="42" t="n">
        <f aca="false">IF(A105="YES",B89,0)</f>
        <v>65</v>
      </c>
      <c r="C137" s="199"/>
      <c r="D137" s="42" t="n">
        <f aca="false">B91</f>
        <v>800.23147662588</v>
      </c>
      <c r="E137" s="200"/>
      <c r="F137" s="67"/>
      <c r="G137" s="198"/>
      <c r="H137" s="199"/>
      <c r="I137" s="199"/>
      <c r="J137" s="199"/>
      <c r="K137" s="200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239.988</v>
      </c>
      <c r="H139" s="42" t="n">
        <f aca="false">H67</f>
        <v>187.025</v>
      </c>
      <c r="I139" s="42"/>
      <c r="J139" s="42" t="n">
        <f aca="false">H102*0.9</f>
        <v>1080</v>
      </c>
      <c r="K139" s="10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(G18*0.000006)*100</f>
        <v>22.443</v>
      </c>
      <c r="B140" s="309" t="n">
        <f aca="false">G18*0.000002*100</f>
        <v>7.481</v>
      </c>
      <c r="C140" s="310"/>
      <c r="D140" s="309" t="n">
        <f aca="false">A140+B140</f>
        <v>29.924</v>
      </c>
      <c r="E140" s="200"/>
      <c r="F140" s="67"/>
      <c r="G140" s="198"/>
      <c r="H140" s="199"/>
      <c r="I140" s="199"/>
      <c r="J140" s="199"/>
      <c r="K140" s="200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IF(G105="YES",H89*0.1,0)</f>
        <v>7.2</v>
      </c>
      <c r="H142" s="42" t="n">
        <f aca="false">G102-100</f>
        <v>139.988</v>
      </c>
      <c r="I142" s="42"/>
      <c r="J142" s="42" t="n">
        <f aca="false">(H139+J139+G142+H142)-H145</f>
        <v>1414.213</v>
      </c>
      <c r="K142" s="10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199.991666666667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f aca="false">IF((1200-H102)&lt;=0,0,(1200-H102))</f>
        <v>0</v>
      </c>
      <c r="H145" s="42" t="n">
        <f aca="false">(H139+J139+G142+H142)*(G145/H64)</f>
        <v>0</v>
      </c>
      <c r="I145" s="199"/>
      <c r="J145" s="199"/>
      <c r="K145" s="200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IF(A105="YES",(A41*B105)*B125,0)*0.001</f>
        <v>18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718</v>
      </c>
      <c r="E151" s="107"/>
      <c r="F151" s="67"/>
      <c r="G151" s="233"/>
      <c r="H151" s="235" t="n">
        <f aca="false">B51</f>
        <v>5000</v>
      </c>
      <c r="I151" s="235"/>
      <c r="J151" s="199"/>
      <c r="K151" s="200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12</v>
      </c>
      <c r="H152" s="78" t="n">
        <f aca="false">H91</f>
        <v>1084.09228284254</v>
      </c>
      <c r="I152" s="78"/>
      <c r="J152" s="199"/>
      <c r="K152" s="200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9.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12</v>
      </c>
      <c r="B161" s="78" t="n">
        <f aca="false">B91</f>
        <v>800.23147662588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317" t="s">
        <v>303</v>
      </c>
      <c r="B165" s="317"/>
      <c r="C165" s="317"/>
      <c r="D165" s="317"/>
      <c r="E165" s="31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198"/>
      <c r="B166" s="199"/>
      <c r="C166" s="199"/>
      <c r="D166" s="199"/>
      <c r="E166" s="200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88" t="s">
        <v>138</v>
      </c>
      <c r="B167" s="289" t="s">
        <v>52</v>
      </c>
      <c r="C167" s="290"/>
      <c r="D167" s="289" t="s">
        <v>96</v>
      </c>
      <c r="E167" s="291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292" t="s">
        <v>296</v>
      </c>
      <c r="B168" s="318" t="n">
        <f aca="false">A161</f>
        <v>12</v>
      </c>
      <c r="C168" s="294"/>
      <c r="D168" s="290" t="n">
        <f aca="false">B160</f>
        <v>5000</v>
      </c>
      <c r="E168" s="291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288"/>
      <c r="B169" s="289"/>
      <c r="C169" s="289"/>
      <c r="D169" s="289"/>
      <c r="E169" s="291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288" t="s">
        <v>131</v>
      </c>
      <c r="B170" s="289" t="s">
        <v>304</v>
      </c>
      <c r="C170" s="290"/>
      <c r="D170" s="289" t="s">
        <v>305</v>
      </c>
      <c r="E170" s="291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292" t="n">
        <f aca="false">B90</f>
        <v>735.23147662588</v>
      </c>
      <c r="B171" s="290" t="n">
        <f aca="false">IF(A105="YES",B89,0)</f>
        <v>65</v>
      </c>
      <c r="C171" s="295"/>
      <c r="D171" s="290" t="n">
        <f aca="false">B91</f>
        <v>800.23147662588</v>
      </c>
      <c r="E171" s="291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98" t="s">
        <v>36</v>
      </c>
      <c r="B173" s="299" t="s">
        <v>309</v>
      </c>
      <c r="C173" s="215"/>
      <c r="D173" s="299" t="s">
        <v>310</v>
      </c>
      <c r="E173" s="200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302" t="str">
        <f aca="false">B99</f>
        <v> Terminal pause with 9 down </v>
      </c>
      <c r="B174" s="42" t="n">
        <f aca="false">B90*B57</f>
        <v>6617.08328963292</v>
      </c>
      <c r="C174" s="199"/>
      <c r="D174" s="42" t="n">
        <f aca="false">IF(A105="YES",B89*B57,0)</f>
        <v>585</v>
      </c>
      <c r="E174" s="200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198"/>
      <c r="B175" s="199"/>
      <c r="C175" s="199"/>
      <c r="D175" s="199"/>
      <c r="E175" s="200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112" t="s">
        <v>314</v>
      </c>
      <c r="B176" s="43" t="s">
        <v>315</v>
      </c>
      <c r="C176" s="205"/>
      <c r="D176" s="230" t="s">
        <v>219</v>
      </c>
      <c r="E176" s="200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113" t="n">
        <f aca="false">B91*B57</f>
        <v>7202.08328963292</v>
      </c>
      <c r="B177" s="42" t="n">
        <f aca="false">E114</f>
        <v>0</v>
      </c>
      <c r="C177" s="199"/>
      <c r="D177" s="303" t="n">
        <f aca="false">B58</f>
        <v>3</v>
      </c>
      <c r="E177" s="200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13"/>
      <c r="B178" s="304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64" t="s">
        <v>131</v>
      </c>
      <c r="B179" s="305" t="s">
        <v>304</v>
      </c>
      <c r="C179" s="199"/>
      <c r="D179" s="199" t="s">
        <v>305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113" t="n">
        <f aca="false">B90</f>
        <v>735.23147662588</v>
      </c>
      <c r="B180" s="42" t="n">
        <f aca="false">IF(A105="YES",B89,0)</f>
        <v>65</v>
      </c>
      <c r="C180" s="199"/>
      <c r="D180" s="42" t="n">
        <f aca="false">B91</f>
        <v>800.23147662588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306" t="s">
        <v>80</v>
      </c>
      <c r="B182" s="307" t="s">
        <v>322</v>
      </c>
      <c r="C182" s="42"/>
      <c r="D182" s="307" t="s">
        <v>85</v>
      </c>
      <c r="E182" s="10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308" t="n">
        <f aca="false">(G18*0.000006)*100</f>
        <v>22.443</v>
      </c>
      <c r="B183" s="309" t="n">
        <f aca="false">G18*0.000002*100</f>
        <v>7.481</v>
      </c>
      <c r="C183" s="310"/>
      <c r="D183" s="309" t="n">
        <f aca="false">A183+B183</f>
        <v>29.924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311"/>
      <c r="B184" s="312"/>
      <c r="C184" s="199"/>
      <c r="D184" s="312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306" t="s">
        <v>326</v>
      </c>
      <c r="B185" s="307" t="s">
        <v>66</v>
      </c>
      <c r="C185" s="42"/>
      <c r="D185" s="307" t="s">
        <v>292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v>0</v>
      </c>
      <c r="B186" s="42" t="n">
        <f aca="false">E118</f>
        <v>199.991666666667</v>
      </c>
      <c r="C186" s="199"/>
      <c r="D186" s="142" t="n">
        <f aca="false">B102</f>
        <v>400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13"/>
      <c r="B187" s="42"/>
      <c r="C187" s="199"/>
      <c r="D187" s="42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13" t="s">
        <v>329</v>
      </c>
      <c r="B188" s="314"/>
      <c r="C188" s="315"/>
      <c r="D188" s="314"/>
      <c r="E188" s="316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11"/>
      <c r="B189" s="312"/>
      <c r="C189" s="199"/>
      <c r="D189" s="312"/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198" t="s">
        <v>330</v>
      </c>
      <c r="B190" s="199" t="s">
        <v>331</v>
      </c>
      <c r="C190" s="199"/>
      <c r="D190" s="199" t="s">
        <v>332</v>
      </c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113" t="n">
        <f aca="false">B67</f>
        <v>250</v>
      </c>
      <c r="B191" s="42" t="n">
        <f aca="false">B102</f>
        <v>400</v>
      </c>
      <c r="C191" s="42"/>
      <c r="D191" s="42" t="n">
        <f aca="false">IF(A105="YES",(A38/100*B105)*B125,0)*0.001</f>
        <v>18</v>
      </c>
      <c r="E191" s="10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98"/>
      <c r="B192" s="199"/>
      <c r="C192" s="199"/>
      <c r="D192" s="199"/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98" t="s">
        <v>334</v>
      </c>
      <c r="B193" s="199" t="s">
        <v>328</v>
      </c>
      <c r="C193" s="199"/>
      <c r="D193" s="199" t="s">
        <v>325</v>
      </c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113" t="n">
        <f aca="false">A151</f>
        <v>250</v>
      </c>
      <c r="B194" s="42" t="n">
        <f aca="false">(A148+B148+D148+A151)*(A143/B64)</f>
        <v>0</v>
      </c>
      <c r="C194" s="42"/>
      <c r="D194" s="42" t="n">
        <f aca="false">D151</f>
        <v>718</v>
      </c>
      <c r="E194" s="10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198"/>
      <c r="B195" s="199"/>
      <c r="C195" s="199"/>
      <c r="D195" s="199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335</v>
      </c>
      <c r="B196" s="199"/>
      <c r="C196" s="199"/>
      <c r="D196" s="199"/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D102</f>
        <v>200</v>
      </c>
      <c r="B197" s="42"/>
      <c r="C197" s="199"/>
      <c r="D197" s="199"/>
      <c r="E197" s="200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262"/>
      <c r="B198" s="263"/>
      <c r="C198" s="263"/>
      <c r="D198" s="263"/>
      <c r="E198" s="264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317" t="s">
        <v>225</v>
      </c>
      <c r="B201" s="317"/>
      <c r="C201" s="317"/>
      <c r="D201" s="317"/>
      <c r="E201" s="31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/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288" t="s">
        <v>226</v>
      </c>
      <c r="B203" s="319" t="n">
        <f aca="false">H29</f>
        <v>12</v>
      </c>
      <c r="C203" s="290" t="s">
        <v>228</v>
      </c>
      <c r="D203" s="320" t="n">
        <f aca="false">D64</f>
        <v>1455.99972</v>
      </c>
      <c r="E203" s="291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92"/>
      <c r="B204" s="293"/>
      <c r="C204" s="294"/>
      <c r="D204" s="293"/>
      <c r="E204" s="291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288" t="s">
        <v>229</v>
      </c>
      <c r="B205" s="290" t="n">
        <f aca="false">B213</f>
        <v>250</v>
      </c>
      <c r="C205" s="289" t="s">
        <v>230</v>
      </c>
      <c r="D205" s="320" t="n">
        <f aca="false">B219+E215+B215+B217</f>
        <v>670</v>
      </c>
      <c r="E205" s="291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288"/>
      <c r="B206" s="321"/>
      <c r="C206" s="290"/>
      <c r="D206" s="289"/>
      <c r="E206" s="291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292" t="s">
        <v>231</v>
      </c>
      <c r="B207" s="290" t="n">
        <f aca="false">E217</f>
        <v>1875.99972</v>
      </c>
      <c r="C207" s="294"/>
      <c r="D207" s="290"/>
      <c r="E207" s="291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305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13" t="s">
        <v>226</v>
      </c>
      <c r="B209" s="322" t="n">
        <v>0.065</v>
      </c>
      <c r="C209" s="215"/>
      <c r="D209" s="299"/>
      <c r="E209" s="200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302"/>
      <c r="B210" s="43"/>
      <c r="C210" s="199"/>
      <c r="D210" s="42"/>
      <c r="E210" s="200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04" t="s">
        <v>228</v>
      </c>
      <c r="B211" s="106" t="n">
        <f aca="false">D64</f>
        <v>1455.99972</v>
      </c>
      <c r="C211" s="223" t="s">
        <v>234</v>
      </c>
      <c r="D211" s="199"/>
      <c r="E211" s="270" t="n">
        <f aca="false">B66</f>
        <v>0</v>
      </c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171"/>
      <c r="B212" s="43"/>
      <c r="C212" s="205"/>
      <c r="D212" s="230"/>
      <c r="E212" s="200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113" t="s">
        <v>234</v>
      </c>
      <c r="B213" s="106" t="n">
        <f aca="false">B67</f>
        <v>250</v>
      </c>
      <c r="C213" s="205" t="s">
        <v>336</v>
      </c>
      <c r="D213" s="303"/>
      <c r="E213" s="88" t="n">
        <f aca="false">J15</f>
        <v>0.1</v>
      </c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13"/>
      <c r="B214" s="305"/>
      <c r="C214" s="205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113" t="s">
        <v>336</v>
      </c>
      <c r="B215" s="230" t="n">
        <f aca="false">B191*E213</f>
        <v>40</v>
      </c>
      <c r="C215" s="205" t="s">
        <v>236</v>
      </c>
      <c r="D215" s="199"/>
      <c r="E215" s="37" t="n">
        <f aca="false">A194</f>
        <v>250</v>
      </c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113"/>
      <c r="B216" s="43"/>
      <c r="C216" s="205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337</v>
      </c>
      <c r="B217" s="230" t="n">
        <f aca="false">B78-(B78*(E213))</f>
        <v>200</v>
      </c>
      <c r="C217" s="205" t="s">
        <v>231</v>
      </c>
      <c r="D217" s="199"/>
      <c r="E217" s="37" t="n">
        <f aca="false">(B211-B205+D205)</f>
        <v>1875.99972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323"/>
      <c r="B218" s="307"/>
      <c r="C218" s="42"/>
      <c r="D218" s="307"/>
      <c r="E218" s="15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323" t="s">
        <v>338</v>
      </c>
      <c r="B219" s="307" t="n">
        <f aca="false">D191/0.1</f>
        <v>180</v>
      </c>
      <c r="C219" s="42"/>
      <c r="D219" s="307"/>
      <c r="E219" s="15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323"/>
      <c r="B220" s="307"/>
      <c r="C220" s="42"/>
      <c r="D220" s="307"/>
      <c r="E220" s="15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313" t="s">
        <v>339</v>
      </c>
      <c r="B221" s="324"/>
      <c r="C221" s="315"/>
      <c r="D221" s="314"/>
      <c r="E221" s="316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311"/>
      <c r="B222" s="325"/>
      <c r="C222" s="199"/>
      <c r="D222" s="31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311" t="s">
        <v>238</v>
      </c>
      <c r="B223" s="106" t="n">
        <f aca="false">B71</f>
        <v>160</v>
      </c>
      <c r="C223" s="205" t="s">
        <v>239</v>
      </c>
      <c r="D223" s="312"/>
      <c r="E223" s="140" t="n">
        <f aca="false">B72</f>
        <v>4.5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11"/>
      <c r="B224" s="325"/>
      <c r="C224" s="205" t="s">
        <v>240</v>
      </c>
      <c r="D224" s="312"/>
      <c r="E224" s="37" t="n">
        <f aca="false">D73</f>
        <v>214</v>
      </c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11" t="s">
        <v>241</v>
      </c>
      <c r="B225" s="326" t="n">
        <f aca="false">B68</f>
        <v>0.0075</v>
      </c>
      <c r="C225" s="205" t="s">
        <v>242</v>
      </c>
      <c r="D225" s="312"/>
      <c r="E225" s="270" t="n">
        <f aca="false">B69</f>
        <v>0.12</v>
      </c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11"/>
      <c r="B226" s="325"/>
      <c r="C226" s="205" t="s">
        <v>243</v>
      </c>
      <c r="D226" s="312"/>
      <c r="E226" s="37" t="n">
        <f aca="false">B86</f>
        <v>74.1113328438887</v>
      </c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1" t="s">
        <v>244</v>
      </c>
      <c r="B227" s="106" t="n">
        <f aca="false">B79</f>
        <v>200</v>
      </c>
      <c r="C227" s="327" t="s">
        <v>340</v>
      </c>
      <c r="D227" s="328"/>
      <c r="E227" s="140" t="n">
        <f aca="false">B74</f>
        <v>0</v>
      </c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204"/>
      <c r="B228" s="305"/>
      <c r="C228" s="327"/>
      <c r="D228" s="329"/>
      <c r="E228" s="33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113" t="s">
        <v>245</v>
      </c>
      <c r="B229" s="106" t="n">
        <f aca="false">B80</f>
        <v>200</v>
      </c>
      <c r="C229" s="331" t="s">
        <v>341</v>
      </c>
      <c r="D229" s="331"/>
      <c r="E229" s="140" t="n">
        <f aca="false">B75</f>
        <v>0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198"/>
      <c r="B230" s="199"/>
      <c r="C230" s="199"/>
      <c r="D230" s="199"/>
      <c r="E230" s="200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198"/>
      <c r="B231" s="199"/>
      <c r="C231" s="199"/>
      <c r="D231" s="199"/>
      <c r="E231" s="200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113"/>
      <c r="B232" s="42"/>
      <c r="C232" s="42"/>
      <c r="D232" s="42"/>
      <c r="E232" s="10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198"/>
      <c r="B233" s="199"/>
      <c r="C233" s="199"/>
      <c r="D233" s="199"/>
      <c r="E233" s="200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198"/>
      <c r="B234" s="199"/>
      <c r="C234" s="199"/>
      <c r="D234" s="199"/>
      <c r="E234" s="20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/>
      <c r="B235" s="42"/>
      <c r="C235" s="199"/>
      <c r="D235" s="199"/>
      <c r="E235" s="200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262"/>
      <c r="B236" s="263"/>
      <c r="C236" s="263"/>
      <c r="D236" s="263"/>
      <c r="E236" s="264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6">
    <mergeCell ref="A1:F1"/>
    <mergeCell ref="D7:E18"/>
    <mergeCell ref="A16:C18"/>
    <mergeCell ref="A19:D19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A50:A51"/>
    <mergeCell ref="B50:C50"/>
    <mergeCell ref="B51:C51"/>
    <mergeCell ref="B52:C52"/>
    <mergeCell ref="A94:E94"/>
    <mergeCell ref="G94:K94"/>
    <mergeCell ref="A96:E96"/>
    <mergeCell ref="G96:K96"/>
    <mergeCell ref="B99:C99"/>
    <mergeCell ref="D99:E99"/>
    <mergeCell ref="H99:I99"/>
    <mergeCell ref="J99:K99"/>
    <mergeCell ref="B102:C102"/>
    <mergeCell ref="D102:E102"/>
    <mergeCell ref="H102:I102"/>
    <mergeCell ref="J102:K102"/>
    <mergeCell ref="B105:C105"/>
    <mergeCell ref="D105:E105"/>
    <mergeCell ref="H105:I105"/>
    <mergeCell ref="J105:K105"/>
    <mergeCell ref="A108:E108"/>
    <mergeCell ref="G108:K108"/>
    <mergeCell ref="A122:E122"/>
    <mergeCell ref="G122:K122"/>
    <mergeCell ref="H124:I124"/>
    <mergeCell ref="G150:G151"/>
    <mergeCell ref="H150:I150"/>
    <mergeCell ref="H151:I151"/>
    <mergeCell ref="H152:I152"/>
    <mergeCell ref="A159:A160"/>
    <mergeCell ref="B159:C159"/>
    <mergeCell ref="B160:C160"/>
    <mergeCell ref="B161:C161"/>
    <mergeCell ref="A165:E165"/>
    <mergeCell ref="A201:E201"/>
  </mergeCells>
  <dataValidations count="3">
    <dataValidation allowBlank="true" errorStyle="stop" operator="between" showDropDown="false" showErrorMessage="true" showInputMessage="false" sqref="B38 A105 B110" type="list">
      <formula1>"NO,YES"</formula1>
      <formula2>0</formula2>
    </dataValidation>
    <dataValidation allowBlank="true" errorStyle="stop" operator="between" showDropDown="false" showErrorMessage="true" showInputMessage="false" sqref="H99 N99:O99 G105 M105 O107 H110 N110" type="list">
      <formula1>#ref!</formula1>
      <formula2>0</formula2>
    </dataValidation>
    <dataValidation allowBlank="true" errorStyle="stop" operator="between" showDropDown="false" showErrorMessage="true" showInputMessage="false" sqref="A32 B99" type="list">
      <formula1>'BCH (Formula 3) - BCH'!$Z$101:$Z$109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2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B78" activeCellId="0" sqref="B78"/>
    </sheetView>
  </sheetViews>
  <sheetFormatPr defaultColWidth="10.87890625" defaultRowHeight="14.25" customHeight="true" zeroHeight="false" outlineLevelRow="0" outlineLevelCol="0"/>
  <cols>
    <col min="1" max="1" customWidth="true" hidden="false" style="1" width="56.0" collapsed="false" outlineLevel="0"/>
    <col min="2" max="2" customWidth="true" hidden="false" style="1" width="18.12" collapsed="false" outlineLevel="0"/>
    <col min="3" max="3" customWidth="true" hidden="false" style="1" width="25.12" collapsed="false" outlineLevel="0"/>
    <col min="4" max="4" customWidth="true" hidden="false" style="1" width="18.12" collapsed="false" outlineLevel="0"/>
    <col min="5" max="5" customWidth="true" hidden="false" style="1" width="24.0" collapsed="false" outlineLevel="0"/>
    <col min="7" max="7" customWidth="true" hidden="false" style="1" width="53.5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8.2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 t="n">
        <v>25000</v>
      </c>
      <c r="H3" s="67"/>
      <c r="I3" s="67" t="s">
        <v>31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 t="s">
        <v>32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364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7.35" hidden="false" customHeight="false" outlineLevel="0" collapsed="false">
      <c r="A8" s="250"/>
      <c r="B8" s="67"/>
      <c r="C8" s="67"/>
      <c r="D8" s="249"/>
      <c r="E8" s="249"/>
      <c r="F8" s="67"/>
      <c r="G8" s="365" t="e">
        <f aca="false">G9*100/B3</f>
        <v>#DIV/0!</v>
      </c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364" t="n">
        <f aca="false">E9-G11</f>
        <v>-152558.333333333</v>
      </c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364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364" t="n">
        <f aca="false">G13/1.2</f>
        <v>152558.333333333</v>
      </c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364" t="n">
        <f aca="false">G15-E14-E13-E12</f>
        <v>183070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v>183070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366" t="n">
        <f aca="false">(B3+C3+E10)*1.2</f>
        <v>0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1" t="n">
        <f aca="false">(B3+C3+D3+E3+E10)*1.2</f>
        <v>0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364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4" t="s">
        <v>139</v>
      </c>
      <c r="B26" s="206" t="s">
        <v>31</v>
      </c>
      <c r="C26" s="199"/>
      <c r="D26" s="199"/>
      <c r="E26" s="200"/>
      <c r="F26" s="67"/>
      <c r="G26" s="202" t="s">
        <v>36</v>
      </c>
      <c r="H26" s="202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38</v>
      </c>
      <c r="H27" s="203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1" t="s">
        <v>193</v>
      </c>
      <c r="B28" s="201"/>
      <c r="C28" s="201"/>
      <c r="D28" s="201"/>
      <c r="E28" s="201"/>
      <c r="F28" s="67"/>
      <c r="G28" s="203" t="s">
        <v>40</v>
      </c>
      <c r="H28" s="203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198"/>
      <c r="B29" s="199"/>
      <c r="C29" s="199"/>
      <c r="D29" s="199"/>
      <c r="E29" s="200"/>
      <c r="F29" s="67"/>
      <c r="G29" s="202" t="s">
        <v>41</v>
      </c>
      <c r="H29" s="367" t="n">
        <v>24</v>
      </c>
      <c r="I29" s="67"/>
      <c r="J29" s="67"/>
      <c r="K29" s="67" t="n">
        <v>36</v>
      </c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 t="s">
        <v>194</v>
      </c>
      <c r="B30" s="162" t="s">
        <v>359</v>
      </c>
      <c r="C30" s="162"/>
      <c r="D30" s="199"/>
      <c r="E30" s="200"/>
      <c r="F30" s="67"/>
      <c r="G30" s="202" t="s">
        <v>45</v>
      </c>
      <c r="H30" s="367" t="n">
        <v>8000</v>
      </c>
      <c r="I30" s="67"/>
      <c r="J30" s="67"/>
      <c r="K30" s="67" t="n">
        <v>10000</v>
      </c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198"/>
      <c r="B31" s="199"/>
      <c r="C31" s="199"/>
      <c r="D31" s="199"/>
      <c r="E31" s="200"/>
      <c r="F31" s="67"/>
      <c r="G31" s="202" t="s">
        <v>48</v>
      </c>
      <c r="H31" s="46" t="n">
        <v>66666.6666666667</v>
      </c>
      <c r="I31" s="67"/>
      <c r="J31" s="67"/>
      <c r="K31" s="67" t="n">
        <v>66666.6666666667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98" t="s">
        <v>95</v>
      </c>
      <c r="B32" s="199" t="s">
        <v>96</v>
      </c>
      <c r="C32" s="199"/>
      <c r="D32" s="368" t="s">
        <v>365</v>
      </c>
      <c r="E32" s="200"/>
      <c r="F32" s="67"/>
      <c r="G32" s="202" t="s">
        <v>49</v>
      </c>
      <c r="I32" s="46" t="n">
        <v>4000</v>
      </c>
      <c r="J32" s="67"/>
      <c r="K32" s="67" t="n">
        <v>6000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31.5" hidden="false" customHeight="true" outlineLevel="0" collapsed="false">
      <c r="A33" s="213" t="n">
        <f aca="false">A52</f>
        <v>24</v>
      </c>
      <c r="B33" s="214" t="n">
        <v>10000</v>
      </c>
      <c r="C33" s="215"/>
      <c r="D33" s="369" t="n">
        <f aca="false">H48</f>
        <v>188.296509287446</v>
      </c>
      <c r="E33" s="200"/>
      <c r="F33" s="67"/>
      <c r="G33" s="203" t="s">
        <v>366</v>
      </c>
      <c r="H33" s="52" t="n">
        <f aca="false">E21-E11</f>
        <v>17500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198"/>
      <c r="B34" s="199"/>
      <c r="C34" s="199"/>
      <c r="D34" s="199"/>
      <c r="E34" s="200"/>
      <c r="F34" s="67"/>
      <c r="G34" s="67" t="s">
        <v>382</v>
      </c>
      <c r="H34" s="67" t="n">
        <f aca="false">H29</f>
        <v>24</v>
      </c>
      <c r="I34" s="67" t="n">
        <v>43957.29</v>
      </c>
      <c r="J34" s="67" t="n">
        <v>841.24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98" t="s">
        <v>367</v>
      </c>
      <c r="B35" s="199" t="s">
        <v>368</v>
      </c>
      <c r="C35" s="199"/>
      <c r="D35" s="199" t="s">
        <v>369</v>
      </c>
      <c r="E35" s="200"/>
      <c r="F35" s="67"/>
      <c r="G35" s="55" t="s">
        <v>59</v>
      </c>
      <c r="H35" s="218" t="n">
        <v>0.07</v>
      </c>
      <c r="I35" s="67" t="n">
        <v>46215.83</v>
      </c>
      <c r="J35" s="67" t="n">
        <v>909.69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71" t="n">
        <f aca="false">H47</f>
        <v>138.296509287446</v>
      </c>
      <c r="B36" s="42" t="n">
        <f aca="false">IF(B26="YES",H42,"")</f>
        <v>50</v>
      </c>
      <c r="C36" s="205"/>
      <c r="D36" s="170" t="n">
        <f aca="false">H31</f>
        <v>66666.6666666667</v>
      </c>
      <c r="E36" s="200"/>
      <c r="F36" s="67"/>
      <c r="G36" s="67"/>
      <c r="H36" s="67"/>
      <c r="I36" s="67" t="n">
        <f aca="false">I35-I34</f>
        <v>2258.54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113"/>
      <c r="B37" s="42"/>
      <c r="C37" s="205"/>
      <c r="D37" s="42"/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198"/>
      <c r="B38" s="199"/>
      <c r="C38" s="199"/>
      <c r="D38" s="199"/>
      <c r="E38" s="200"/>
      <c r="F38" s="67"/>
      <c r="G38" s="227" t="s">
        <v>65</v>
      </c>
      <c r="H38" s="22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198" t="s">
        <v>370</v>
      </c>
      <c r="B39" s="199" t="s">
        <v>371</v>
      </c>
      <c r="C39" s="199"/>
      <c r="D39" s="199" t="s">
        <v>372</v>
      </c>
      <c r="E39" s="200"/>
      <c r="F39" s="67"/>
      <c r="G39" s="67" t="s">
        <v>97</v>
      </c>
      <c r="H39" s="7" t="n">
        <f aca="false">H33</f>
        <v>17500</v>
      </c>
      <c r="I39" s="7" t="n">
        <f aca="false">(I48*H46)+H44</f>
        <v>44563.5177821916</v>
      </c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109" t="n">
        <f aca="false">D36*A45/100</f>
        <v>20000</v>
      </c>
      <c r="B40" s="109" t="n">
        <f aca="false">IF(B26="YES",H42,"0")</f>
        <v>50</v>
      </c>
      <c r="C40" s="109"/>
      <c r="D40" s="170" t="n">
        <f aca="false">I32</f>
        <v>4000</v>
      </c>
      <c r="E40" s="200"/>
      <c r="F40" s="67"/>
      <c r="G40" s="67" t="s">
        <v>119</v>
      </c>
      <c r="H40" s="7" t="n">
        <f aca="false">A40/1.2</f>
        <v>16666.6666666667</v>
      </c>
      <c r="I40" s="7" t="n">
        <f aca="false">H39-I39</f>
        <v>-27063.5177821916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98"/>
      <c r="B41" s="199"/>
      <c r="C41" s="199"/>
      <c r="D41" s="199"/>
      <c r="E41" s="200"/>
      <c r="F41" s="67"/>
      <c r="G41" s="67" t="s">
        <v>373</v>
      </c>
      <c r="H41" s="225" t="n">
        <f aca="false">H35/12</f>
        <v>0.00583333333333333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198"/>
      <c r="B42" s="199"/>
      <c r="C42" s="199"/>
      <c r="D42" s="199"/>
      <c r="E42" s="200"/>
      <c r="F42" s="67"/>
      <c r="G42" s="67" t="s">
        <v>374</v>
      </c>
      <c r="H42" s="7" t="n">
        <f aca="false">(I32/H34)*(C45/100)</f>
        <v>50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65"/>
      <c r="B43" s="266"/>
      <c r="C43" s="266"/>
      <c r="D43" s="266"/>
      <c r="E43" s="267"/>
      <c r="F43" s="67"/>
      <c r="G43" s="67" t="s">
        <v>375</v>
      </c>
      <c r="H43" s="67"/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370" t="s">
        <v>89</v>
      </c>
      <c r="B44" s="199"/>
      <c r="C44" s="371" t="s">
        <v>90</v>
      </c>
      <c r="D44" s="371"/>
      <c r="E44" s="200"/>
      <c r="F44" s="67"/>
      <c r="G44" s="67" t="s">
        <v>383</v>
      </c>
      <c r="H44" s="7" t="n">
        <f aca="false">(H40/(1+H41)^(H34+1))</f>
        <v>14411.1337327956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372" t="n">
        <v>30</v>
      </c>
      <c r="B45" s="199"/>
      <c r="C45" s="373" t="n">
        <v>30</v>
      </c>
      <c r="D45" s="373"/>
      <c r="E45" s="200"/>
      <c r="F45" s="67"/>
      <c r="G45" s="67" t="s">
        <v>384</v>
      </c>
      <c r="H45" s="7" t="n">
        <f aca="false">(H39-H44)</f>
        <v>3088.86626720439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62"/>
      <c r="B46" s="263"/>
      <c r="C46" s="263"/>
      <c r="D46" s="263"/>
      <c r="E46" s="264"/>
      <c r="F46" s="67"/>
      <c r="G46" s="67" t="s">
        <v>385</v>
      </c>
      <c r="H46" s="7" t="n">
        <f aca="false">((1-(1/((1+H41)^H34)))/H41)</f>
        <v>22.3350992958489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98"/>
      <c r="B47" s="199"/>
      <c r="C47" s="199"/>
      <c r="D47" s="199"/>
      <c r="E47" s="200"/>
      <c r="F47" s="67"/>
      <c r="G47" s="67" t="s">
        <v>379</v>
      </c>
      <c r="H47" s="7" t="n">
        <f aca="false">H45/H46</f>
        <v>138.296509287446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374" t="s">
        <v>380</v>
      </c>
      <c r="H48" s="7" t="n">
        <f aca="false">IF(B26="YES",H47+H42,H47)</f>
        <v>188.296509287446</v>
      </c>
      <c r="I48" s="7" t="n">
        <f aca="false">I49-H42</f>
        <v>1350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 t="s">
        <v>381</v>
      </c>
      <c r="H49" s="261"/>
      <c r="I49" s="7" t="n">
        <v>1400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8000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24</v>
      </c>
      <c r="B52" s="78" t="n">
        <f aca="false">H48</f>
        <v>188.296509287446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199"/>
      <c r="N55" s="199"/>
      <c r="O55" s="199"/>
      <c r="P55" s="199"/>
      <c r="Q55" s="199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265"/>
      <c r="N56" s="266"/>
      <c r="O56" s="266"/>
      <c r="P56" s="266"/>
      <c r="Q56" s="2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IF(B99=Y97,1,IF(B99=Y98,1,IF(B99=Y99,3,IF(B99=Y100,6,IF(B99=Y101,9,IF(B99=Y102,12,IF(B99=Y103,3,IF(B99=Y104,6,IF(B99=Y105,9,0)))))))))</f>
        <v>1</v>
      </c>
      <c r="C57" s="199"/>
      <c r="D57" s="199"/>
      <c r="E57" s="200"/>
      <c r="F57" s="67"/>
      <c r="G57" s="198" t="s">
        <v>97</v>
      </c>
      <c r="H57" s="199" t="n">
        <f aca="false">IF(H99=Y97,1,IF(H99=Y98,1,IF(H99=Y99,3,IF(H99=Y100,6,IF(H99=Y101,9,IF(H99=Y102,12,IF(H99=Y103,3,IF(H99=Y104,6,IF(H99=Y105,9,0)))))))))</f>
        <v>6</v>
      </c>
      <c r="I57" s="199"/>
      <c r="J57" s="199"/>
      <c r="K57" s="200"/>
      <c r="L57" s="67"/>
      <c r="M57" s="198" t="s">
        <v>97</v>
      </c>
      <c r="N57" s="199" t="n">
        <f aca="false">IF(N99=Y97,1,IF(N99=Y98,1,IF(N99=Y99,3,IF(N99=Y100,6,IF(N99=Y101,9,IF(N99=Y102,12,IF(N99=Y103,3,IF(N99=Y104,6,IF(N99=Y105,9,0)))))))))</f>
        <v>6</v>
      </c>
      <c r="O57" s="199"/>
      <c r="P57" s="199"/>
      <c r="Q57" s="200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IF(B99=Y97,H29-B57,IF(B99=Y98,H29-B57,IF(B99=Y99,H29-1,IF(B99=Y100,H29-1,IF(B99=Y101,H29-1,IF(B99=Y102,H29-1,IF(B99=Y103,H29-B57,IF(B99=Y104,H29-B57,IF(B99=Y105,H29-B57,0)))))))))</f>
        <v>23</v>
      </c>
      <c r="C58" s="199"/>
      <c r="D58" s="199"/>
      <c r="E58" s="200"/>
      <c r="F58" s="67"/>
      <c r="G58" s="198" t="s">
        <v>98</v>
      </c>
      <c r="H58" s="199" t="n">
        <f aca="false">IF(H99=Y97,H29-H57,IF(H99=Y98,H29-H57,IF(H99=Y99,H29-1,IF(H99=Y100,H29-1,IF(H99=Y101,H29-1,IF(H99=Y102,H29-1,IF(H99=Y103,H29-H57,IF(H99=Y104,H29-H57,IF(H99=Y105,H29-H57,0)))))))))</f>
        <v>23</v>
      </c>
      <c r="I58" s="199"/>
      <c r="J58" s="199"/>
      <c r="K58" s="200"/>
      <c r="L58" s="67"/>
      <c r="M58" s="198" t="s">
        <v>98</v>
      </c>
      <c r="N58" s="199" t="n">
        <f aca="false">IF(N99=Y97,H29-N57,IF(N99=Y98,H29-N57,IF(N99=Y99,H29-1,IF(N99=Y100,H29-1,IF(N99=Y101,H29-1,IF(N99=Y102,H29-1,IF(N99=Y103,H29-N57,IF(N99=Y104,H29-N57,IF(N99=Y105,H29-N57,0)))))))))</f>
        <v>23</v>
      </c>
      <c r="O58" s="199"/>
      <c r="P58" s="199"/>
      <c r="Q58" s="200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198"/>
      <c r="N59" s="199"/>
      <c r="O59" s="199"/>
      <c r="P59" s="199"/>
      <c r="Q59" s="200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386</v>
      </c>
      <c r="B60" s="199" t="n">
        <f aca="false">E19</f>
        <v>21000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198"/>
      <c r="N60" s="199"/>
      <c r="O60" s="199"/>
      <c r="P60" s="199"/>
      <c r="Q60" s="200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v>37404</v>
      </c>
      <c r="C61" s="199"/>
      <c r="D61" s="199"/>
      <c r="E61" s="200"/>
      <c r="F61" s="67"/>
      <c r="G61" s="198" t="s">
        <v>27</v>
      </c>
      <c r="H61" s="36" t="n">
        <f aca="false">G18</f>
        <v>0</v>
      </c>
      <c r="I61" s="199"/>
      <c r="J61" s="199"/>
      <c r="K61" s="200"/>
      <c r="L61" s="67"/>
      <c r="M61" s="198" t="s">
        <v>27</v>
      </c>
      <c r="N61" s="36" t="n">
        <f aca="false">G18</f>
        <v>0</v>
      </c>
      <c r="O61" s="199"/>
      <c r="P61" s="199"/>
      <c r="Q61" s="200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268" t="s">
        <v>287</v>
      </c>
      <c r="N62" s="269" t="n">
        <v>0.07</v>
      </c>
      <c r="O62" s="199"/>
      <c r="P62" s="199"/>
      <c r="Q62" s="200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0.0875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0.0875</v>
      </c>
      <c r="I63" s="199"/>
      <c r="J63" s="199"/>
      <c r="K63" s="200"/>
      <c r="L63" s="67"/>
      <c r="M63" s="198" t="s">
        <v>288</v>
      </c>
      <c r="N63" s="270" t="n">
        <f aca="false">N62+(N62*0.25*(H29/12-1))</f>
        <v>0.0875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C64</f>
        <v>10000</v>
      </c>
      <c r="C64" s="375" t="n">
        <v>10000</v>
      </c>
      <c r="D64" s="36" t="n">
        <f aca="false">B64</f>
        <v>10000</v>
      </c>
      <c r="E64" s="376" t="n">
        <f aca="false">D64/(B58+B57)</f>
        <v>416.666666666667</v>
      </c>
      <c r="F64" s="67"/>
      <c r="G64" s="262" t="s">
        <v>103</v>
      </c>
      <c r="H64" s="69" t="n">
        <f aca="false">H61*H63</f>
        <v>0</v>
      </c>
      <c r="I64" s="199"/>
      <c r="J64" s="36" t="n">
        <f aca="false">H64-G145</f>
        <v>0</v>
      </c>
      <c r="K64" s="200"/>
      <c r="L64" s="67"/>
      <c r="M64" s="262" t="s">
        <v>103</v>
      </c>
      <c r="N64" s="69" t="n">
        <f aca="false">N61*N63</f>
        <v>0</v>
      </c>
      <c r="O64" s="199"/>
      <c r="P64" s="36" t="n">
        <f aca="false">N64-M145</f>
        <v>0</v>
      </c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36"/>
      <c r="E65" s="200"/>
      <c r="F65" s="67"/>
      <c r="G65" s="268" t="s">
        <v>104</v>
      </c>
      <c r="H65" s="269" t="n">
        <v>0.01</v>
      </c>
      <c r="I65" s="199"/>
      <c r="J65" s="199"/>
      <c r="K65" s="200"/>
      <c r="L65" s="67"/>
      <c r="M65" s="268" t="s">
        <v>104</v>
      </c>
      <c r="N65" s="269" t="n">
        <v>0.01</v>
      </c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377" t="s">
        <v>234</v>
      </c>
      <c r="D66" s="199"/>
      <c r="E66" s="200"/>
      <c r="F66" s="67"/>
      <c r="G66" s="198" t="s">
        <v>105</v>
      </c>
      <c r="H66" s="270" t="n">
        <f aca="false">H65+(H65*0.5*(H29/12-1))</f>
        <v>0.015</v>
      </c>
      <c r="I66" s="199"/>
      <c r="J66" s="199"/>
      <c r="K66" s="200"/>
      <c r="L66" s="67"/>
      <c r="M66" s="198" t="s">
        <v>105</v>
      </c>
      <c r="N66" s="270" t="n">
        <f aca="false">N65+(N65*0.5*(H29/12-1))</f>
        <v>0.015</v>
      </c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378" t="s">
        <v>234</v>
      </c>
      <c r="D67" s="379"/>
      <c r="E67" s="200"/>
      <c r="F67" s="67"/>
      <c r="G67" s="262" t="s">
        <v>106</v>
      </c>
      <c r="H67" s="69" t="n">
        <f aca="false">(H61*H66)/1.2</f>
        <v>0</v>
      </c>
      <c r="I67" s="199"/>
      <c r="J67" s="36"/>
      <c r="K67" s="200"/>
      <c r="L67" s="67"/>
      <c r="M67" s="262" t="s">
        <v>106</v>
      </c>
      <c r="N67" s="69" t="n">
        <f aca="false">(N61*N66)/1.2</f>
        <v>0</v>
      </c>
      <c r="O67" s="199"/>
      <c r="P67" s="36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380"/>
      <c r="D68" s="36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268" t="s">
        <v>107</v>
      </c>
      <c r="N68" s="269" t="n">
        <v>0.0075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272" t="s">
        <v>108</v>
      </c>
      <c r="N69" s="273" t="n">
        <v>0.12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0.008625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262" t="s">
        <v>109</v>
      </c>
      <c r="N70" s="381" t="n">
        <f aca="false">N68*(1+N69)</f>
        <v>0.0084</v>
      </c>
      <c r="O70" s="199"/>
      <c r="P70" s="199"/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268" t="s">
        <v>110</v>
      </c>
      <c r="N71" s="90" t="n">
        <v>160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272" t="s">
        <v>111</v>
      </c>
      <c r="N72" s="81" t="n">
        <v>4.5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108</v>
      </c>
      <c r="C73" s="199"/>
      <c r="D73" s="382" t="n">
        <f aca="false">B73+B71</f>
        <v>268</v>
      </c>
      <c r="E73" s="200" t="s">
        <v>240</v>
      </c>
      <c r="F73" s="67"/>
      <c r="G73" s="262" t="s">
        <v>112</v>
      </c>
      <c r="H73" s="69" t="n">
        <f aca="false">H72*H29</f>
        <v>108</v>
      </c>
      <c r="I73" s="199"/>
      <c r="J73" s="36" t="n">
        <f aca="false">H73+H71</f>
        <v>268</v>
      </c>
      <c r="K73" s="200"/>
      <c r="L73" s="67"/>
      <c r="M73" s="262" t="s">
        <v>112</v>
      </c>
      <c r="N73" s="69" t="n">
        <f aca="false">N72*H29</f>
        <v>108</v>
      </c>
      <c r="O73" s="199"/>
      <c r="P73" s="36" t="n">
        <f aca="false">N73+N71</f>
        <v>268</v>
      </c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0</v>
      </c>
      <c r="C74" s="199"/>
      <c r="D74" s="199"/>
      <c r="E74" s="200"/>
      <c r="F74" s="67"/>
      <c r="G74" s="268" t="s">
        <v>289</v>
      </c>
      <c r="H74" s="90" t="n">
        <v>165</v>
      </c>
      <c r="I74" s="199"/>
      <c r="J74" s="199"/>
      <c r="K74" s="200"/>
      <c r="L74" s="67"/>
      <c r="M74" s="339" t="s">
        <v>289</v>
      </c>
      <c r="N74" s="340" t="n">
        <v>0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/>
      <c r="D75" s="199"/>
      <c r="E75" s="200"/>
      <c r="F75" s="67"/>
      <c r="G75" s="272" t="s">
        <v>290</v>
      </c>
      <c r="H75" s="81" t="n">
        <v>0</v>
      </c>
      <c r="I75" s="199"/>
      <c r="J75" s="199"/>
      <c r="K75" s="200"/>
      <c r="L75" s="67"/>
      <c r="M75" s="341" t="s">
        <v>290</v>
      </c>
      <c r="N75" s="342" t="n">
        <v>0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((B74+B75)/12)*(H29+1)</f>
        <v>0</v>
      </c>
      <c r="C76" s="199"/>
      <c r="D76" s="36" t="n">
        <f aca="false">B76</f>
        <v>0</v>
      </c>
      <c r="E76" s="200"/>
      <c r="F76" s="67"/>
      <c r="G76" s="262" t="s">
        <v>291</v>
      </c>
      <c r="H76" s="69" t="n">
        <f aca="false">((H74+H75)/12)*(H29-11)</f>
        <v>178.75</v>
      </c>
      <c r="I76" s="199"/>
      <c r="J76" s="36" t="n">
        <f aca="false">H76</f>
        <v>178.75</v>
      </c>
      <c r="K76" s="200"/>
      <c r="L76" s="67"/>
      <c r="M76" s="343" t="s">
        <v>291</v>
      </c>
      <c r="N76" s="344" t="n">
        <f aca="false">((N74+N75)/12)*(H29-11)</f>
        <v>0</v>
      </c>
      <c r="O76" s="199"/>
      <c r="P76" s="36" t="n">
        <f aca="false">N76</f>
        <v>0</v>
      </c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5" t="s">
        <v>292</v>
      </c>
      <c r="B77" s="31" t="n">
        <f aca="false">B102/(1-J15)</f>
        <v>470.588235294118</v>
      </c>
      <c r="C77" s="310"/>
      <c r="D77" s="36" t="n">
        <f aca="false">B77</f>
        <v>470.588235294118</v>
      </c>
      <c r="E77" s="376" t="n">
        <f aca="false">D77/(B58+B57)</f>
        <v>19.6078431372549</v>
      </c>
      <c r="F77" s="67"/>
      <c r="G77" s="268" t="s">
        <v>292</v>
      </c>
      <c r="H77" s="90" t="n">
        <v>0</v>
      </c>
      <c r="I77" s="199"/>
      <c r="J77" s="36" t="n">
        <f aca="false">H77</f>
        <v>0</v>
      </c>
      <c r="K77" s="200"/>
      <c r="L77" s="67"/>
      <c r="M77" s="268" t="s">
        <v>292</v>
      </c>
      <c r="N77" s="90" t="n">
        <v>0</v>
      </c>
      <c r="O77" s="199"/>
      <c r="P77" s="36" t="n">
        <f aca="false">N77</f>
        <v>0</v>
      </c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235.294117647059</v>
      </c>
      <c r="C78" s="310"/>
      <c r="D78" s="36" t="n">
        <f aca="false">B78</f>
        <v>235.294117647059</v>
      </c>
      <c r="E78" s="376"/>
      <c r="F78" s="67"/>
      <c r="G78" s="198" t="s">
        <v>293</v>
      </c>
      <c r="H78" s="37" t="n">
        <v>0</v>
      </c>
      <c r="I78" s="199"/>
      <c r="J78" s="36" t="n">
        <f aca="false">H78</f>
        <v>0</v>
      </c>
      <c r="K78" s="200"/>
      <c r="L78" s="67"/>
      <c r="M78" s="198" t="s">
        <v>293</v>
      </c>
      <c r="N78" s="37" t="n">
        <v>0</v>
      </c>
      <c r="O78" s="199"/>
      <c r="P78" s="36" t="n">
        <f aca="false">N78</f>
        <v>0</v>
      </c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310"/>
      <c r="D79" s="36" t="n">
        <f aca="false">B79</f>
        <v>300</v>
      </c>
      <c r="E79" s="376"/>
      <c r="F79" s="67"/>
      <c r="G79" s="272" t="s">
        <v>113</v>
      </c>
      <c r="H79" s="81" t="n">
        <v>200</v>
      </c>
      <c r="I79" s="199"/>
      <c r="J79" s="36" t="n">
        <f aca="false">H79</f>
        <v>200</v>
      </c>
      <c r="K79" s="200"/>
      <c r="L79" s="67"/>
      <c r="M79" s="272" t="s">
        <v>113</v>
      </c>
      <c r="N79" s="81" t="n">
        <v>200</v>
      </c>
      <c r="O79" s="199"/>
      <c r="P79" s="36" t="n">
        <f aca="false">N79</f>
        <v>200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310"/>
      <c r="D80" s="36" t="n">
        <f aca="false">B80</f>
        <v>100</v>
      </c>
      <c r="E80" s="376" t="n">
        <f aca="false">(D73+D76+D79+D80)/(B58+B57)</f>
        <v>27.8333333333333</v>
      </c>
      <c r="F80" s="67"/>
      <c r="G80" s="275" t="s">
        <v>114</v>
      </c>
      <c r="H80" s="91" t="n">
        <v>200</v>
      </c>
      <c r="I80" s="199"/>
      <c r="J80" s="36" t="n">
        <f aca="false">H80</f>
        <v>200</v>
      </c>
      <c r="K80" s="200"/>
      <c r="L80" s="67"/>
      <c r="M80" s="275" t="s">
        <v>114</v>
      </c>
      <c r="N80" s="91" t="n">
        <v>200</v>
      </c>
      <c r="O80" s="199"/>
      <c r="P80" s="36" t="n">
        <f aca="false">N80</f>
        <v>200</v>
      </c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11373.8823529412</v>
      </c>
      <c r="C81" s="310"/>
      <c r="D81" s="383"/>
      <c r="E81" s="376"/>
      <c r="F81" s="67"/>
      <c r="G81" s="276" t="s">
        <v>115</v>
      </c>
      <c r="H81" s="277" t="n">
        <f aca="false">SUM(J64:J80)</f>
        <v>846.75</v>
      </c>
      <c r="I81" s="199"/>
      <c r="J81" s="199"/>
      <c r="K81" s="200"/>
      <c r="L81" s="67"/>
      <c r="M81" s="276" t="s">
        <v>115</v>
      </c>
      <c r="N81" s="277" t="n">
        <f aca="false">SUM(P64:P80)</f>
        <v>668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473.911764705882</v>
      </c>
      <c r="C82" s="310"/>
      <c r="D82" s="199"/>
      <c r="E82" s="376"/>
      <c r="F82" s="67"/>
      <c r="G82" s="198" t="s">
        <v>116</v>
      </c>
      <c r="H82" s="37" t="n">
        <f aca="false">H81/H29</f>
        <v>35.28125</v>
      </c>
      <c r="I82" s="199"/>
      <c r="J82" s="199"/>
      <c r="K82" s="200"/>
      <c r="L82" s="67"/>
      <c r="M82" s="198" t="s">
        <v>116</v>
      </c>
      <c r="N82" s="37" t="n">
        <f aca="false">N81/H29</f>
        <v>27.8333333333333</v>
      </c>
      <c r="O82" s="199"/>
      <c r="P82" s="199"/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H47</f>
        <v>138.296509287446</v>
      </c>
      <c r="C83" s="310"/>
      <c r="D83" s="199"/>
      <c r="E83" s="376" t="n">
        <f aca="false">B83+E80+E77+E64</f>
        <v>602.404352424701</v>
      </c>
      <c r="F83" s="67"/>
      <c r="G83" s="278" t="s">
        <v>117</v>
      </c>
      <c r="H83" s="63" t="n">
        <f aca="false">H47</f>
        <v>138.296509287446</v>
      </c>
      <c r="I83" s="199"/>
      <c r="J83" s="199"/>
      <c r="K83" s="200"/>
      <c r="L83" s="67"/>
      <c r="M83" s="278" t="s">
        <v>117</v>
      </c>
      <c r="N83" s="63" t="n">
        <f aca="false">H47</f>
        <v>138.296509287446</v>
      </c>
      <c r="O83" s="199"/>
      <c r="P83" s="199"/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310"/>
      <c r="D84" s="310"/>
      <c r="E84" s="376"/>
      <c r="F84" s="67"/>
      <c r="G84" s="198"/>
      <c r="H84" s="36"/>
      <c r="I84" s="199"/>
      <c r="J84" s="199"/>
      <c r="K84" s="200"/>
      <c r="L84" s="67"/>
      <c r="M84" s="198"/>
      <c r="N84" s="36"/>
      <c r="O84" s="199"/>
      <c r="P84" s="199"/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((B83*H29)+B81)</f>
        <v>14692.9985758399</v>
      </c>
      <c r="C85" s="310"/>
      <c r="D85" s="310"/>
      <c r="E85" s="376" t="n">
        <f aca="false">B85/(B58+B57)</f>
        <v>612.208273993328</v>
      </c>
      <c r="F85" s="67"/>
      <c r="G85" s="265" t="s">
        <v>127</v>
      </c>
      <c r="H85" s="31" t="n">
        <f aca="false">((H83*H29)+H81)*1.2</f>
        <v>4999.03946747844</v>
      </c>
      <c r="I85" s="199"/>
      <c r="J85" s="199"/>
      <c r="K85" s="200"/>
      <c r="L85" s="67"/>
      <c r="M85" s="265" t="s">
        <v>127</v>
      </c>
      <c r="N85" s="31" t="n">
        <f aca="false">((N83*H29)+N81)</f>
        <v>3987.1162228987</v>
      </c>
      <c r="O85" s="199"/>
      <c r="P85" s="199"/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(((B83*H29)+B81)/(1-B70))*B70</f>
        <v>127.829643390865</v>
      </c>
      <c r="C86" s="310" t="s">
        <v>243</v>
      </c>
      <c r="D86" s="199"/>
      <c r="E86" s="376" t="n">
        <f aca="false">B86/(B58+B57)</f>
        <v>5.32623514128605</v>
      </c>
      <c r="F86" s="67"/>
      <c r="G86" s="198" t="s">
        <v>128</v>
      </c>
      <c r="H86" s="37" t="n">
        <f aca="false">((((H83*H29)+H81))/(1-H70))*H70</f>
        <v>35.2897098349628</v>
      </c>
      <c r="I86" s="199"/>
      <c r="J86" s="199"/>
      <c r="K86" s="200"/>
      <c r="L86" s="67"/>
      <c r="M86" s="198" t="s">
        <v>128</v>
      </c>
      <c r="N86" s="37" t="n">
        <f aca="false">(N85/(1-N70))*N70</f>
        <v>33.7754903916389</v>
      </c>
      <c r="O86" s="199"/>
      <c r="P86" s="199"/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14820.8282192307</v>
      </c>
      <c r="C87" s="310"/>
      <c r="D87" s="384"/>
      <c r="E87" s="376" t="n">
        <f aca="false">E86+E85</f>
        <v>617.534509134614</v>
      </c>
      <c r="F87" s="67"/>
      <c r="G87" s="262" t="s">
        <v>129</v>
      </c>
      <c r="H87" s="69" t="n">
        <f aca="false">IF(H110="YES",((H85+H86)-K114),(H85+H86))</f>
        <v>5034.3291773134</v>
      </c>
      <c r="I87" s="199"/>
      <c r="J87" s="199"/>
      <c r="K87" s="200"/>
      <c r="L87" s="67"/>
      <c r="M87" s="262" t="s">
        <v>129</v>
      </c>
      <c r="N87" s="69" t="n">
        <f aca="false">IF(N110="YES",((N85+N86)-Q114),(N85+N86))</f>
        <v>4020.89171329034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310"/>
      <c r="D88" s="199"/>
      <c r="E88" s="376"/>
      <c r="F88" s="67"/>
      <c r="G88" s="198"/>
      <c r="H88" s="36"/>
      <c r="I88" s="199"/>
      <c r="J88" s="199"/>
      <c r="K88" s="200"/>
      <c r="L88" s="67"/>
      <c r="M88" s="198"/>
      <c r="N88" s="36"/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7" t="n">
        <f aca="false">IF(B99=Y98,(I32+(I32*B105))/(B58),(I32+(I32*B105))/(B57+B58))*(C45/100)</f>
        <v>65</v>
      </c>
      <c r="C89" s="310"/>
      <c r="D89" s="199"/>
      <c r="E89" s="200"/>
      <c r="F89" s="67"/>
      <c r="G89" s="276" t="s">
        <v>130</v>
      </c>
      <c r="H89" s="277" t="n">
        <f aca="false">IF(H99=Y98,(D40+(D40*H105))/(H58),(D40+(D40*H105))/(H57+H58))*1.2</f>
        <v>198.620689655172</v>
      </c>
      <c r="I89" s="199"/>
      <c r="J89" s="199"/>
      <c r="K89" s="200"/>
      <c r="L89" s="67"/>
      <c r="M89" s="276" t="s">
        <v>130</v>
      </c>
      <c r="N89" s="277" t="n">
        <f aca="false">IF(N99=Y98,(D40+(D40*N105))/(N58),(D40+(D40*N105))/(N57+N58))</f>
        <v>165.51724137931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IF(B99=Y98,(B87-D105)/(B58),B87/(B57+B58))</f>
        <v>617.534509134614</v>
      </c>
      <c r="C90" s="310"/>
      <c r="D90" s="199"/>
      <c r="E90" s="385"/>
      <c r="F90" s="67"/>
      <c r="G90" s="280" t="s">
        <v>131</v>
      </c>
      <c r="H90" s="281" t="n">
        <f aca="false">IF(H99=Y98,(H87-J105)/(H58),H87/(H57+H58))</f>
        <v>173.597557838393</v>
      </c>
      <c r="I90" s="199"/>
      <c r="J90" s="199"/>
      <c r="K90" s="200"/>
      <c r="L90" s="67"/>
      <c r="M90" s="280" t="s">
        <v>131</v>
      </c>
      <c r="N90" s="281" t="n">
        <f aca="false">IF(N99=Y98,(N87-P105)/(N58),N87/(N57+N58))</f>
        <v>138.651438389322</v>
      </c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682.534509134614</v>
      </c>
      <c r="C91" s="310"/>
      <c r="D91" s="386"/>
      <c r="E91" s="333"/>
      <c r="F91" s="67"/>
      <c r="G91" s="282" t="s">
        <v>132</v>
      </c>
      <c r="H91" s="283" t="n">
        <f aca="false">IF(G105="YES",H90+H89,H90)</f>
        <v>372.218247493566</v>
      </c>
      <c r="I91" s="199"/>
      <c r="J91" s="199"/>
      <c r="K91" s="200"/>
      <c r="L91" s="67"/>
      <c r="M91" s="282" t="s">
        <v>132</v>
      </c>
      <c r="N91" s="283" t="n">
        <f aca="false">IF(M105="YES",N90+N89,N90)</f>
        <v>304.168679768632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61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262"/>
      <c r="N92" s="263"/>
      <c r="O92" s="263"/>
      <c r="P92" s="263"/>
      <c r="Q92" s="264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199"/>
      <c r="N93" s="199"/>
      <c r="O93" s="199"/>
      <c r="P93" s="199"/>
      <c r="Q93" s="199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56.2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197" t="s">
        <v>352</v>
      </c>
      <c r="N94" s="197"/>
      <c r="O94" s="197"/>
      <c r="P94" s="197"/>
      <c r="Q94" s="19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 t="s">
        <v>387</v>
      </c>
      <c r="F95" s="67"/>
      <c r="G95" s="198"/>
      <c r="H95" s="199"/>
      <c r="I95" s="199"/>
      <c r="J95" s="199"/>
      <c r="K95" s="200"/>
      <c r="L95" s="67"/>
      <c r="M95" s="198"/>
      <c r="N95" s="199"/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201" t="s">
        <v>137</v>
      </c>
      <c r="N96" s="201"/>
      <c r="O96" s="201"/>
      <c r="P96" s="201"/>
      <c r="Q96" s="201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387"/>
      <c r="C97" s="387"/>
      <c r="D97" s="199"/>
      <c r="E97" s="200"/>
      <c r="F97" s="67"/>
      <c r="G97" s="198"/>
      <c r="H97" s="199"/>
      <c r="I97" s="199"/>
      <c r="J97" s="199"/>
      <c r="K97" s="200"/>
      <c r="L97" s="67"/>
      <c r="M97" s="198"/>
      <c r="N97" s="199"/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 t="s">
        <v>141</v>
      </c>
      <c r="Z97" s="67"/>
      <c r="AC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198" t="s">
        <v>138</v>
      </c>
      <c r="N98" s="199" t="s">
        <v>36</v>
      </c>
      <c r="O98" s="199"/>
      <c r="P98" s="199" t="s">
        <v>295</v>
      </c>
      <c r="Q98" s="200"/>
      <c r="R98" s="67"/>
      <c r="S98" s="67"/>
      <c r="T98" s="67"/>
      <c r="U98" s="67"/>
      <c r="V98" s="67"/>
      <c r="W98" s="67"/>
      <c r="X98" s="67"/>
      <c r="Y98" s="67" t="s">
        <v>273</v>
      </c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0</v>
      </c>
      <c r="E99" s="109"/>
      <c r="F99" s="67"/>
      <c r="G99" s="204" t="s">
        <v>296</v>
      </c>
      <c r="H99" s="284" t="s">
        <v>275</v>
      </c>
      <c r="I99" s="284"/>
      <c r="J99" s="109" t="n">
        <v>0</v>
      </c>
      <c r="K99" s="109"/>
      <c r="L99" s="67"/>
      <c r="M99" s="204" t="s">
        <v>296</v>
      </c>
      <c r="N99" s="284" t="s">
        <v>275</v>
      </c>
      <c r="O99" s="284"/>
      <c r="P99" s="109" t="n">
        <v>0</v>
      </c>
      <c r="Q99" s="109"/>
      <c r="R99" s="67"/>
      <c r="S99" s="67"/>
      <c r="T99" s="67"/>
      <c r="U99" s="67"/>
      <c r="V99" s="67"/>
      <c r="W99" s="67"/>
      <c r="X99" s="67"/>
      <c r="Y99" s="67" t="s">
        <v>274</v>
      </c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198"/>
      <c r="N100" s="199"/>
      <c r="O100" s="199"/>
      <c r="P100" s="199"/>
      <c r="Q100" s="200"/>
      <c r="R100" s="67"/>
      <c r="S100" s="67"/>
      <c r="T100" s="67"/>
      <c r="U100" s="67"/>
      <c r="V100" s="67"/>
      <c r="W100" s="67"/>
      <c r="X100" s="67"/>
      <c r="Y100" s="67" t="s">
        <v>275</v>
      </c>
      <c r="Z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388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198" t="s">
        <v>297</v>
      </c>
      <c r="N101" s="199" t="s">
        <v>298</v>
      </c>
      <c r="O101" s="199"/>
      <c r="P101" s="199" t="s">
        <v>299</v>
      </c>
      <c r="Q101" s="200"/>
      <c r="R101" s="67"/>
      <c r="S101" s="67"/>
      <c r="T101" s="67"/>
      <c r="U101" s="67"/>
      <c r="V101" s="67"/>
      <c r="W101" s="67"/>
      <c r="X101" s="67"/>
      <c r="Y101" s="67" t="s">
        <v>276</v>
      </c>
      <c r="Z101" s="67"/>
    </row>
    <row r="102" customFormat="false" ht="18.75" hidden="false" customHeight="true" outlineLevel="0" collapsed="false">
      <c r="A102" s="285" t="n">
        <v>199.991666666667</v>
      </c>
      <c r="B102" s="109" t="n">
        <v>400</v>
      </c>
      <c r="C102" s="109"/>
      <c r="D102" s="109" t="n">
        <v>200</v>
      </c>
      <c r="E102" s="109"/>
      <c r="F102" s="67"/>
      <c r="G102" s="285" t="n">
        <v>199.99</v>
      </c>
      <c r="H102" s="109" t="n">
        <v>0</v>
      </c>
      <c r="I102" s="109"/>
      <c r="J102" s="109" t="n">
        <v>0</v>
      </c>
      <c r="K102" s="109"/>
      <c r="L102" s="67"/>
      <c r="M102" s="285" t="n">
        <v>199.99</v>
      </c>
      <c r="N102" s="109" t="n">
        <v>0</v>
      </c>
      <c r="O102" s="109"/>
      <c r="P102" s="109" t="n">
        <v>0</v>
      </c>
      <c r="Q102" s="109"/>
      <c r="R102" s="67"/>
      <c r="S102" s="67"/>
      <c r="T102" s="67"/>
      <c r="U102" s="67"/>
      <c r="V102" s="67"/>
      <c r="W102" s="67"/>
      <c r="X102" s="67"/>
      <c r="Y102" s="67" t="s">
        <v>277</v>
      </c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 t="s">
        <v>278</v>
      </c>
      <c r="Z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204" t="s">
        <v>139</v>
      </c>
      <c r="N104" s="67" t="s">
        <v>142</v>
      </c>
      <c r="O104" s="199"/>
      <c r="P104" s="199" t="s">
        <v>153</v>
      </c>
      <c r="Q104" s="200"/>
      <c r="R104" s="67"/>
      <c r="S104" s="67"/>
      <c r="T104" s="67"/>
      <c r="U104" s="67"/>
      <c r="V104" s="67"/>
      <c r="W104" s="67"/>
      <c r="X104" s="67"/>
      <c r="Y104" s="67" t="s">
        <v>279</v>
      </c>
      <c r="Z104" s="67"/>
    </row>
    <row r="105" customFormat="false" ht="18.75" hidden="false" customHeight="true" outlineLevel="0" collapsed="false">
      <c r="A105" s="206" t="s">
        <v>31</v>
      </c>
      <c r="B105" s="286" t="n">
        <v>0.3</v>
      </c>
      <c r="C105" s="286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/>
      <c r="K105" s="109"/>
      <c r="L105" s="67"/>
      <c r="M105" s="206" t="s">
        <v>31</v>
      </c>
      <c r="N105" s="286" t="n">
        <v>0.2</v>
      </c>
      <c r="O105" s="286"/>
      <c r="P105" s="109" t="n">
        <v>0</v>
      </c>
      <c r="Q105" s="109"/>
      <c r="R105" s="67"/>
      <c r="S105" s="67"/>
      <c r="T105" s="67"/>
      <c r="U105" s="67"/>
      <c r="V105" s="67"/>
      <c r="W105" s="67"/>
      <c r="X105" s="67"/>
      <c r="Y105" s="67" t="s">
        <v>280</v>
      </c>
      <c r="Z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198"/>
      <c r="N107" s="199" t="s">
        <v>353</v>
      </c>
      <c r="O107" s="206" t="s">
        <v>31</v>
      </c>
      <c r="P107" s="199"/>
      <c r="Q107" s="200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18.75" hidden="false" customHeight="true" outlineLevel="0" collapsed="false">
      <c r="A108" s="201" t="n">
        <v>199.99</v>
      </c>
      <c r="B108" s="201" t="n">
        <v>0</v>
      </c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201" t="s">
        <v>300</v>
      </c>
      <c r="N108" s="201"/>
      <c r="O108" s="201"/>
      <c r="P108" s="201"/>
      <c r="Q108" s="201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198" t="s">
        <v>301</v>
      </c>
      <c r="N110" s="206" t="s">
        <v>32</v>
      </c>
      <c r="O110" s="199"/>
      <c r="P110" s="199"/>
      <c r="Q110" s="200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8.75" hidden="false" customHeight="true" outlineLevel="0" collapsed="false">
      <c r="A111" s="198" t="s">
        <v>32</v>
      </c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198"/>
      <c r="N111" s="199"/>
      <c r="O111" s="199"/>
      <c r="P111" s="199"/>
      <c r="Q111" s="200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0</v>
      </c>
      <c r="K112" s="109" t="n">
        <v>0</v>
      </c>
      <c r="L112" s="67"/>
      <c r="M112" s="198" t="s">
        <v>186</v>
      </c>
      <c r="N112" s="199"/>
      <c r="O112" s="199"/>
      <c r="P112" s="285" t="n">
        <v>500</v>
      </c>
      <c r="Q112" s="109" t="n">
        <v>300</v>
      </c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0</v>
      </c>
      <c r="K113" s="109" t="n">
        <v>0</v>
      </c>
      <c r="L113" s="67"/>
      <c r="M113" s="198" t="s">
        <v>187</v>
      </c>
      <c r="N113" s="199"/>
      <c r="O113" s="199"/>
      <c r="P113" s="43" t="n">
        <f aca="false">Q113</f>
        <v>100</v>
      </c>
      <c r="Q113" s="109" t="n">
        <v>100</v>
      </c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0</v>
      </c>
      <c r="K114" s="157" t="n">
        <f aca="false">K112-K113</f>
        <v>0</v>
      </c>
      <c r="L114" s="67"/>
      <c r="M114" s="198" t="s">
        <v>188</v>
      </c>
      <c r="N114" s="199"/>
      <c r="O114" s="199"/>
      <c r="P114" s="43" t="n">
        <f aca="false">P112-P113</f>
        <v>400</v>
      </c>
      <c r="Q114" s="157" t="n">
        <f aca="false">Q112-Q113</f>
        <v>200</v>
      </c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0</v>
      </c>
      <c r="K115" s="200"/>
      <c r="L115" s="67"/>
      <c r="M115" s="198" t="s">
        <v>189</v>
      </c>
      <c r="N115" s="199"/>
      <c r="O115" s="199"/>
      <c r="P115" s="43" t="n">
        <f aca="false">P114-Q114</f>
        <v>200</v>
      </c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198"/>
      <c r="N116" s="199"/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265" t="s">
        <v>149</v>
      </c>
      <c r="N117" s="266"/>
      <c r="O117" s="266"/>
      <c r="P117" s="266"/>
      <c r="Q117" s="31" t="n">
        <f aca="false">P99</f>
        <v>0</v>
      </c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199.991666666667</v>
      </c>
      <c r="F118" s="67"/>
      <c r="G118" s="198" t="s">
        <v>66</v>
      </c>
      <c r="H118" s="199"/>
      <c r="I118" s="199"/>
      <c r="J118" s="199"/>
      <c r="K118" s="37" t="n">
        <f aca="false">G102</f>
        <v>199.99</v>
      </c>
      <c r="L118" s="67"/>
      <c r="M118" s="198" t="s">
        <v>66</v>
      </c>
      <c r="N118" s="199"/>
      <c r="O118" s="199"/>
      <c r="P118" s="199"/>
      <c r="Q118" s="37" t="n">
        <f aca="false">M102</f>
        <v>199.99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((E118*1.2)+E117)-E114</f>
        <v>1239.99</v>
      </c>
      <c r="F119" s="67"/>
      <c r="G119" s="287" t="s">
        <v>302</v>
      </c>
      <c r="H119" s="263"/>
      <c r="I119" s="263"/>
      <c r="J119" s="263"/>
      <c r="K119" s="69" t="n">
        <f aca="false">((K118/1.2)+K117)-(J115-K113)</f>
        <v>166.658333333333</v>
      </c>
      <c r="L119" s="67"/>
      <c r="M119" s="287" t="s">
        <v>302</v>
      </c>
      <c r="N119" s="263"/>
      <c r="O119" s="263"/>
      <c r="P119" s="263"/>
      <c r="Q119" s="69" t="n">
        <f aca="false">(Q118+Q117)-P115</f>
        <v>-0.00999999999999091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198"/>
      <c r="N120" s="199"/>
      <c r="O120" s="199"/>
      <c r="P120" s="199"/>
      <c r="Q120" s="200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198"/>
      <c r="N121" s="199"/>
      <c r="O121" s="199"/>
      <c r="P121" s="199"/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201" t="s">
        <v>303</v>
      </c>
      <c r="N122" s="201"/>
      <c r="O122" s="201"/>
      <c r="P122" s="201"/>
      <c r="Q122" s="201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198"/>
      <c r="N123" s="199"/>
      <c r="O123" s="199"/>
      <c r="P123" s="199"/>
      <c r="Q123" s="200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198" t="s">
        <v>194</v>
      </c>
      <c r="N124" s="162" t="n">
        <v>0</v>
      </c>
      <c r="O124" s="162"/>
      <c r="P124" s="199"/>
      <c r="Q124" s="200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24</v>
      </c>
      <c r="C125" s="294"/>
      <c r="D125" s="293" t="n">
        <f aca="false">B160</f>
        <v>8000</v>
      </c>
      <c r="E125" s="291"/>
      <c r="F125" s="67"/>
      <c r="G125" s="198"/>
      <c r="H125" s="199"/>
      <c r="I125" s="199"/>
      <c r="J125" s="199"/>
      <c r="K125" s="200"/>
      <c r="L125" s="67"/>
      <c r="M125" s="198"/>
      <c r="N125" s="199"/>
      <c r="O125" s="199"/>
      <c r="P125" s="199"/>
      <c r="Q125" s="200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296" t="s">
        <v>306</v>
      </c>
      <c r="H126" s="297" t="s">
        <v>307</v>
      </c>
      <c r="I126" s="297"/>
      <c r="J126" s="297" t="s">
        <v>308</v>
      </c>
      <c r="K126" s="200"/>
      <c r="L126" s="67"/>
      <c r="M126" s="296" t="s">
        <v>354</v>
      </c>
      <c r="N126" s="297" t="s">
        <v>262</v>
      </c>
      <c r="O126" s="297"/>
      <c r="P126" s="297" t="s">
        <v>132</v>
      </c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300" t="n">
        <f aca="false">H90</f>
        <v>173.597557838393</v>
      </c>
      <c r="H127" s="166" t="n">
        <f aca="false">IF(G105="YES",H89*H57,0)</f>
        <v>1191.72413793103</v>
      </c>
      <c r="I127" s="166"/>
      <c r="J127" s="301" t="n">
        <f aca="false">H91</f>
        <v>372.218247493566</v>
      </c>
      <c r="K127" s="200"/>
      <c r="L127" s="67"/>
      <c r="M127" s="300" t="n">
        <f aca="false">N90</f>
        <v>138.651438389322</v>
      </c>
      <c r="N127" s="166" t="n">
        <f aca="false">IF(M105="YES",N89*N57,0)</f>
        <v>993.103448275862</v>
      </c>
      <c r="O127" s="166"/>
      <c r="P127" s="166" t="n">
        <f aca="false">N91</f>
        <v>304.168679768632</v>
      </c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617.534509134614</v>
      </c>
      <c r="B128" s="290" t="n">
        <f aca="false">IF(A105="YES",B89,0)</f>
        <v>65</v>
      </c>
      <c r="C128" s="294"/>
      <c r="D128" s="290" t="n">
        <f aca="false">B91</f>
        <v>682.534509134614</v>
      </c>
      <c r="E128" s="291"/>
      <c r="F128" s="67"/>
      <c r="G128" s="198"/>
      <c r="H128" s="199"/>
      <c r="I128" s="199"/>
      <c r="J128" s="199"/>
      <c r="K128" s="200"/>
      <c r="L128" s="67"/>
      <c r="M128" s="198"/>
      <c r="N128" s="199"/>
      <c r="O128" s="199"/>
      <c r="P128" s="199"/>
      <c r="Q128" s="200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 t="s">
        <v>95</v>
      </c>
      <c r="H129" s="199" t="s">
        <v>96</v>
      </c>
      <c r="I129" s="199"/>
      <c r="J129" s="199" t="s">
        <v>98</v>
      </c>
      <c r="K129" s="200"/>
      <c r="L129" s="67"/>
      <c r="M129" s="198" t="s">
        <v>95</v>
      </c>
      <c r="N129" s="199" t="s">
        <v>96</v>
      </c>
      <c r="O129" s="199"/>
      <c r="P129" s="199" t="s">
        <v>98</v>
      </c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213" t="n">
        <f aca="false">G152</f>
        <v>24</v>
      </c>
      <c r="H130" s="168" t="n">
        <f aca="false">B151</f>
        <v>0</v>
      </c>
      <c r="I130" s="215"/>
      <c r="J130" s="214" t="n">
        <f aca="false">B58</f>
        <v>23</v>
      </c>
      <c r="K130" s="200"/>
      <c r="L130" s="67"/>
      <c r="M130" s="213" t="n">
        <f aca="false">M155</f>
        <v>24</v>
      </c>
      <c r="N130" s="168" t="n">
        <f aca="false">B151</f>
        <v>0</v>
      </c>
      <c r="O130" s="215"/>
      <c r="P130" s="214" t="n">
        <f aca="false">B58</f>
        <v>23</v>
      </c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617.534509134614</v>
      </c>
      <c r="C131" s="199"/>
      <c r="D131" s="42" t="n">
        <f aca="false">IF(A105="YES",B89*B57,0)</f>
        <v>65</v>
      </c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198" t="s">
        <v>355</v>
      </c>
      <c r="N132" s="199" t="s">
        <v>252</v>
      </c>
      <c r="O132" s="199"/>
      <c r="P132" s="199" t="s">
        <v>256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1041.58534703036</v>
      </c>
      <c r="H133" s="42" t="n">
        <f aca="false">IF(G105="YES",H89*H57,0)</f>
        <v>1191.72413793103</v>
      </c>
      <c r="I133" s="205"/>
      <c r="J133" s="170" t="n">
        <f aca="false">H91*H57</f>
        <v>2233.30948496139</v>
      </c>
      <c r="K133" s="200"/>
      <c r="L133" s="67"/>
      <c r="M133" s="171" t="n">
        <f aca="false">N90*N57</f>
        <v>831.908630335932</v>
      </c>
      <c r="N133" s="42" t="n">
        <f aca="false">IF(M105="YES",N89*N57,0)</f>
        <v>993.103448275862</v>
      </c>
      <c r="O133" s="205"/>
      <c r="P133" s="170" t="n">
        <f aca="false">N91*N57</f>
        <v>1825.01207861179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682.534509134614</v>
      </c>
      <c r="B134" s="42" t="n">
        <f aca="false">E114</f>
        <v>0</v>
      </c>
      <c r="C134" s="199"/>
      <c r="D134" s="303" t="n">
        <f aca="false">B58</f>
        <v>23</v>
      </c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198" t="s">
        <v>264</v>
      </c>
      <c r="N135" s="199" t="s">
        <v>265</v>
      </c>
      <c r="O135" s="199"/>
      <c r="P135" s="199" t="s">
        <v>269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113" t="n">
        <f aca="false">E15*0.000006</f>
        <v>0</v>
      </c>
      <c r="N136" s="42" t="n">
        <f aca="false">IF(M105="YES",E15*0.000002,0)</f>
        <v>0</v>
      </c>
      <c r="O136" s="42"/>
      <c r="P136" s="42" t="n">
        <f aca="false">M136+N136</f>
        <v>0</v>
      </c>
      <c r="Q136" s="10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617.534509134614</v>
      </c>
      <c r="B137" s="42" t="n">
        <f aca="false">IF(A105="YES",B89,0)</f>
        <v>65</v>
      </c>
      <c r="C137" s="199"/>
      <c r="D137" s="42" t="n">
        <f aca="false">B91</f>
        <v>682.534509134614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198" t="s">
        <v>152</v>
      </c>
      <c r="N138" s="199" t="s">
        <v>320</v>
      </c>
      <c r="O138" s="199"/>
      <c r="P138" s="199" t="s">
        <v>321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199.99</v>
      </c>
      <c r="H139" s="42" t="n">
        <f aca="false">H67</f>
        <v>0</v>
      </c>
      <c r="I139" s="42"/>
      <c r="J139" s="42" t="n">
        <f aca="false">H102*0.9</f>
        <v>0</v>
      </c>
      <c r="K139" s="107"/>
      <c r="L139" s="67"/>
      <c r="M139" s="113" t="n">
        <f aca="false">M102</f>
        <v>199.99</v>
      </c>
      <c r="N139" s="42" t="n">
        <f aca="false">N67</f>
        <v>0</v>
      </c>
      <c r="O139" s="42"/>
      <c r="P139" s="42" t="n">
        <f aca="false">N102*0.9</f>
        <v>0</v>
      </c>
      <c r="Q139" s="10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(B61*0.000006)*100</f>
        <v>22.4424</v>
      </c>
      <c r="B140" s="309" t="n">
        <f aca="false">IF(A105="YES",B61*0.000002,0)*100</f>
        <v>7.4808</v>
      </c>
      <c r="C140" s="310"/>
      <c r="D140" s="309" t="n">
        <f aca="false">A140+B140</f>
        <v>29.9232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198" t="s">
        <v>323</v>
      </c>
      <c r="N141" s="199" t="s">
        <v>324</v>
      </c>
      <c r="O141" s="199"/>
      <c r="P141" s="199" t="s">
        <v>325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IF(G105="YES",((B36*H105)*0.1)*(G130),0)</f>
        <v>24</v>
      </c>
      <c r="H142" s="42" t="n">
        <f aca="false">G102-100</f>
        <v>99.99</v>
      </c>
      <c r="I142" s="42"/>
      <c r="J142" s="42" t="e">
        <f aca="false">(H139+J139+G142+H142)-H145</f>
        <v>#DIV/0!</v>
      </c>
      <c r="K142" s="107"/>
      <c r="L142" s="67"/>
      <c r="M142" s="113" t="n">
        <f aca="false">IF(M105="YES",((B36*N105)*0.1)*(M130),0)</f>
        <v>24</v>
      </c>
      <c r="N142" s="42" t="n">
        <f aca="false">M102-100</f>
        <v>99.99</v>
      </c>
      <c r="O142" s="42"/>
      <c r="P142" s="42" t="e">
        <f aca="false">(N139+P139+M142+N142)-N145</f>
        <v>#DIV/0!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199.991666666667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198" t="s">
        <v>327</v>
      </c>
      <c r="N144" s="199" t="s">
        <v>328</v>
      </c>
      <c r="O144" s="199"/>
      <c r="P144" s="199"/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v>0</v>
      </c>
      <c r="H145" s="42" t="e">
        <f aca="false">(H139+J139+G142+H142)*(G145/H64)</f>
        <v>#DIV/0!</v>
      </c>
      <c r="I145" s="199"/>
      <c r="J145" s="199"/>
      <c r="K145" s="200"/>
      <c r="L145" s="67"/>
      <c r="M145" s="113" t="n">
        <v>0</v>
      </c>
      <c r="N145" s="42" t="e">
        <f aca="false">(N139+P139+M142+N142)*(M145/N64)</f>
        <v>#DIV/0!</v>
      </c>
      <c r="O145" s="199"/>
      <c r="P145" s="199"/>
      <c r="Q145" s="200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113"/>
      <c r="N146" s="42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4" t="s">
        <v>356</v>
      </c>
      <c r="N147" s="43" t="s">
        <v>357</v>
      </c>
      <c r="O147" s="199"/>
      <c r="P147" s="199"/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IF(A105="YES",(B40*B105)*B125,0)*0.1</f>
        <v>36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348" t="n">
        <v>18000</v>
      </c>
      <c r="N148" s="349" t="n">
        <v>0.99</v>
      </c>
      <c r="O148" s="349"/>
      <c r="P148" s="199"/>
      <c r="Q148" s="200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198"/>
      <c r="N150" s="199"/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736</v>
      </c>
      <c r="E151" s="107"/>
      <c r="F151" s="67"/>
      <c r="G151" s="233"/>
      <c r="H151" s="235" t="n">
        <f aca="false">B51</f>
        <v>8000</v>
      </c>
      <c r="I151" s="235"/>
      <c r="J151" s="199"/>
      <c r="K151" s="200"/>
      <c r="L151" s="67"/>
      <c r="M151" s="258" t="s">
        <v>333</v>
      </c>
      <c r="N151" s="199"/>
      <c r="O151" s="199"/>
      <c r="P151" s="259"/>
      <c r="Q151" s="26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24</v>
      </c>
      <c r="H152" s="78" t="n">
        <f aca="false">H91</f>
        <v>372.218247493566</v>
      </c>
      <c r="I152" s="78"/>
      <c r="J152" s="199"/>
      <c r="K152" s="200"/>
      <c r="L152" s="67"/>
      <c r="M152" s="198"/>
      <c r="N152" s="232"/>
      <c r="O152" s="232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233" t="s">
        <v>95</v>
      </c>
      <c r="N153" s="234" t="s">
        <v>96</v>
      </c>
      <c r="O153" s="234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233"/>
      <c r="N154" s="235" t="n">
        <f aca="false">B51</f>
        <v>8000</v>
      </c>
      <c r="O154" s="235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237" t="n">
        <f aca="false">A52</f>
        <v>24</v>
      </c>
      <c r="N155" s="78" t="n">
        <f aca="false">N91</f>
        <v>304.168679768632</v>
      </c>
      <c r="O155" s="78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198"/>
      <c r="N157" s="199"/>
      <c r="O157" s="199"/>
      <c r="P157" s="199"/>
      <c r="Q157" s="20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198"/>
      <c r="N158" s="199"/>
      <c r="O158" s="199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198"/>
      <c r="N159" s="199"/>
      <c r="O159" s="199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8000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198"/>
      <c r="N160" s="199"/>
      <c r="O160" s="199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24</v>
      </c>
      <c r="B161" s="78" t="n">
        <f aca="false">B91</f>
        <v>682.534509134614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198"/>
      <c r="N161" s="199"/>
      <c r="O161" s="199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262"/>
      <c r="N162" s="263"/>
      <c r="O162" s="263"/>
      <c r="P162" s="263"/>
      <c r="Q162" s="264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198"/>
      <c r="B165" s="199"/>
      <c r="C165" s="199"/>
      <c r="D165" s="199"/>
      <c r="E165" s="200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62"/>
      <c r="B166" s="263"/>
      <c r="C166" s="263"/>
      <c r="D166" s="263"/>
      <c r="E166" s="264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293" t="n">
        <f aca="false">A161</f>
        <v>24</v>
      </c>
      <c r="C174" s="294"/>
      <c r="D174" s="293" t="n">
        <f aca="false">D125</f>
        <v>8000</v>
      </c>
      <c r="E174" s="291"/>
      <c r="F174" s="67"/>
      <c r="G174" s="67" t="s">
        <v>389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B90</f>
        <v>617.534509134614</v>
      </c>
      <c r="B177" s="290" t="n">
        <f aca="false">IF(A105="YES",B89,0)</f>
        <v>65</v>
      </c>
      <c r="C177" s="294"/>
      <c r="D177" s="290" t="n">
        <f aca="false">B91</f>
        <v>682.534509134614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B99</f>
        <v> Monthly in advance </v>
      </c>
      <c r="B180" s="42" t="n">
        <f aca="false">B90*B57</f>
        <v>617.534509134614</v>
      </c>
      <c r="C180" s="199"/>
      <c r="D180" s="42" t="n">
        <f aca="false">IF(A105="YES",B89*B57,0)</f>
        <v>65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B91*B57</f>
        <v>682.534509134614</v>
      </c>
      <c r="B183" s="42" t="n">
        <f aca="false">E114</f>
        <v>0</v>
      </c>
      <c r="C183" s="199"/>
      <c r="D183" s="303" t="n">
        <f aca="false">B58</f>
        <v>23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B90</f>
        <v>617.534509134614</v>
      </c>
      <c r="B186" s="42" t="n">
        <f aca="false">IF(A105="YES",B89,0)</f>
        <v>65</v>
      </c>
      <c r="C186" s="199"/>
      <c r="D186" s="42" t="n">
        <f aca="false">B91</f>
        <v>682.534509134614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A140</f>
        <v>22.4424</v>
      </c>
      <c r="B189" s="309" t="n">
        <f aca="false">B140</f>
        <v>7.4808</v>
      </c>
      <c r="C189" s="310"/>
      <c r="D189" s="309" t="n">
        <f aca="false">A189+B189</f>
        <v>29.9232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E118</f>
        <v>199.991666666667</v>
      </c>
      <c r="C192" s="199"/>
      <c r="D192" s="142" t="n">
        <f aca="false">B102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B67</f>
        <v>250</v>
      </c>
      <c r="B197" s="42" t="n">
        <f aca="false">B102</f>
        <v>400</v>
      </c>
      <c r="C197" s="42"/>
      <c r="D197" s="42" t="n">
        <f aca="false">IF(A105="YES",(B40*B105)*B125,0)*0.1</f>
        <v>36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A151</f>
        <v>250</v>
      </c>
      <c r="B200" s="42" t="n">
        <f aca="false">(A148+B148+D148+A151)*(A143/B64)</f>
        <v>0</v>
      </c>
      <c r="C200" s="42"/>
      <c r="D200" s="42" t="n">
        <f aca="false">D151</f>
        <v>736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D102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0.07</v>
      </c>
      <c r="C209" s="290" t="s">
        <v>228</v>
      </c>
      <c r="D209" s="320" t="n">
        <f aca="false">D64</f>
        <v>10000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870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10620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D64</f>
        <v>10000</v>
      </c>
      <c r="C217" s="223" t="s">
        <v>234</v>
      </c>
      <c r="D217" s="199"/>
      <c r="E217" s="270" t="n">
        <f aca="false">B66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B67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(B77-(B77*(E219)))*J15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B78-(B78*(E219))</f>
        <v>200</v>
      </c>
      <c r="C223" s="205" t="s">
        <v>231</v>
      </c>
      <c r="D223" s="199"/>
      <c r="E223" s="37" t="n">
        <f aca="false">(B217-B211+D211)</f>
        <v>10620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360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B71</f>
        <v>160</v>
      </c>
      <c r="C229" s="205" t="s">
        <v>239</v>
      </c>
      <c r="D229" s="312"/>
      <c r="E229" s="140" t="n">
        <f aca="false">B72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D73</f>
        <v>268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B68</f>
        <v>0.0075</v>
      </c>
      <c r="C231" s="205" t="s">
        <v>242</v>
      </c>
      <c r="D231" s="312"/>
      <c r="E231" s="270" t="n">
        <f aca="false">B69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B86</f>
        <v>127.829643390865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B79</f>
        <v>300</v>
      </c>
      <c r="C233" s="327" t="s">
        <v>340</v>
      </c>
      <c r="D233" s="328"/>
      <c r="E233" s="140" t="n">
        <f aca="false">B74</f>
        <v>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B80</f>
        <v>100</v>
      </c>
      <c r="C235" s="331" t="s">
        <v>341</v>
      </c>
      <c r="D235" s="331"/>
      <c r="E235" s="140" t="n">
        <f aca="false">B75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64">
    <mergeCell ref="A1:F1"/>
    <mergeCell ref="D7:E18"/>
    <mergeCell ref="A16:C18"/>
    <mergeCell ref="A19:D19"/>
    <mergeCell ref="A21:D21"/>
    <mergeCell ref="A24:E24"/>
    <mergeCell ref="A28:E28"/>
    <mergeCell ref="B30:C30"/>
    <mergeCell ref="G38:H38"/>
    <mergeCell ref="B40:C40"/>
    <mergeCell ref="C44:D44"/>
    <mergeCell ref="C45:D45"/>
    <mergeCell ref="A50:A51"/>
    <mergeCell ref="B50:C50"/>
    <mergeCell ref="B51:C51"/>
    <mergeCell ref="B52:C52"/>
    <mergeCell ref="A94:E94"/>
    <mergeCell ref="G94:K94"/>
    <mergeCell ref="M94:Q94"/>
    <mergeCell ref="A96:E96"/>
    <mergeCell ref="G96:K96"/>
    <mergeCell ref="M96:Q96"/>
    <mergeCell ref="B97:C97"/>
    <mergeCell ref="B99:C99"/>
    <mergeCell ref="D99:E99"/>
    <mergeCell ref="H99:I99"/>
    <mergeCell ref="J99:K99"/>
    <mergeCell ref="N99:O99"/>
    <mergeCell ref="P99:Q99"/>
    <mergeCell ref="B102:C102"/>
    <mergeCell ref="D102:E102"/>
    <mergeCell ref="H102:I102"/>
    <mergeCell ref="J102:K102"/>
    <mergeCell ref="N102:O102"/>
    <mergeCell ref="P102:Q102"/>
    <mergeCell ref="B105:C105"/>
    <mergeCell ref="D105:E105"/>
    <mergeCell ref="H105:I105"/>
    <mergeCell ref="J105:K105"/>
    <mergeCell ref="N105:O105"/>
    <mergeCell ref="P105:Q105"/>
    <mergeCell ref="A108:E108"/>
    <mergeCell ref="G108:K108"/>
    <mergeCell ref="M108:Q108"/>
    <mergeCell ref="A122:E122"/>
    <mergeCell ref="G122:K122"/>
    <mergeCell ref="M122:Q122"/>
    <mergeCell ref="H124:I124"/>
    <mergeCell ref="N124:O124"/>
    <mergeCell ref="N148:O148"/>
    <mergeCell ref="G150:G151"/>
    <mergeCell ref="H150:I150"/>
    <mergeCell ref="H151:I151"/>
    <mergeCell ref="H152:I152"/>
    <mergeCell ref="M153:M154"/>
    <mergeCell ref="N153:O153"/>
    <mergeCell ref="N154:O154"/>
    <mergeCell ref="N155:O155"/>
    <mergeCell ref="A159:A160"/>
    <mergeCell ref="B159:C159"/>
    <mergeCell ref="B160:C160"/>
    <mergeCell ref="B161:C161"/>
    <mergeCell ref="A171:E171"/>
    <mergeCell ref="A207:E207"/>
  </mergeCells>
  <dataValidations count="3">
    <dataValidation allowBlank="true" errorStyle="stop" operator="between" showDropDown="false" showErrorMessage="true" showInputMessage="false" sqref="H99 N99 G105 M105 O107 H110 N110" type="list">
      <formula1>#ref!</formula1>
      <formula2>0</formula2>
    </dataValidation>
    <dataValidation allowBlank="true" errorStyle="stop" operator="between" showDropDown="false" showErrorMessage="true" showInputMessage="false" sqref="B26 A105 B110" type="list">
      <formula1>'Formula1-BCH'!$I$3:$I$4</formula1>
      <formula2>0</formula2>
    </dataValidation>
    <dataValidation allowBlank="true" errorStyle="stop" operator="between" showDropDown="false" showErrorMessage="true" showInputMessage="false" sqref="B99" type="list">
      <formula1>'Formula1-BCH'!$Y$97:$Y$105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0.87890625" defaultRowHeight="14.25" customHeight="true" zeroHeight="false" outlineLevelRow="0" outlineLevelCol="0"/>
  <cols>
    <col min="1" max="1" customWidth="true" hidden="false" style="1" width="56.0" collapsed="false" outlineLevel="0"/>
    <col min="2" max="2" customWidth="true" hidden="false" style="1" width="18.12" collapsed="false" outlineLevel="0"/>
    <col min="3" max="3" customWidth="true" hidden="false" style="1" width="25.12" collapsed="false" outlineLevel="0"/>
    <col min="4" max="4" customWidth="true" hidden="false" style="1" width="18.12" collapsed="false" outlineLevel="0"/>
    <col min="5" max="5" customWidth="true" hidden="false" style="1" width="24.0" collapsed="false" outlineLevel="0"/>
    <col min="7" max="7" customWidth="true" hidden="false" style="1" width="53.5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8.2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 t="n">
        <v>25000</v>
      </c>
      <c r="H3" s="67"/>
      <c r="I3" s="67" t="s">
        <v>31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 t="s">
        <v>32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364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7.35" hidden="false" customHeight="false" outlineLevel="0" collapsed="false">
      <c r="A8" s="250"/>
      <c r="B8" s="67"/>
      <c r="C8" s="67"/>
      <c r="D8" s="249"/>
      <c r="E8" s="249"/>
      <c r="F8" s="67"/>
      <c r="G8" s="365" t="e">
        <f aca="false">G9*100/B3</f>
        <v>#DIV/0!</v>
      </c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364" t="n">
        <f aca="false">E9-G11</f>
        <v>-152558.333333333</v>
      </c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364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364" t="n">
        <f aca="false">G13/1.2</f>
        <v>152558.333333333</v>
      </c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364" t="n">
        <f aca="false">G15-E14-E13-E12</f>
        <v>183070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v>183070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366" t="n">
        <f aca="false">(B3+C3+E10)*1.2</f>
        <v>0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1" t="n">
        <f aca="false">(B3+C3+D3+E3+E10)*1.2</f>
        <v>0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364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4" t="s">
        <v>139</v>
      </c>
      <c r="B26" s="206" t="s">
        <v>31</v>
      </c>
      <c r="C26" s="199"/>
      <c r="D26" s="199"/>
      <c r="E26" s="200"/>
      <c r="F26" s="67"/>
      <c r="G26" s="202" t="s">
        <v>36</v>
      </c>
      <c r="H26" s="202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38</v>
      </c>
      <c r="H27" s="203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1" t="s">
        <v>193</v>
      </c>
      <c r="B28" s="201"/>
      <c r="C28" s="201"/>
      <c r="D28" s="201"/>
      <c r="E28" s="201"/>
      <c r="F28" s="67"/>
      <c r="G28" s="203" t="s">
        <v>40</v>
      </c>
      <c r="H28" s="203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198"/>
      <c r="B29" s="199"/>
      <c r="C29" s="199"/>
      <c r="D29" s="199"/>
      <c r="E29" s="200"/>
      <c r="F29" s="67"/>
      <c r="G29" s="202" t="s">
        <v>41</v>
      </c>
      <c r="H29" s="367" t="n">
        <v>35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 t="s">
        <v>194</v>
      </c>
      <c r="B30" s="162" t="s">
        <v>359</v>
      </c>
      <c r="C30" s="162"/>
      <c r="D30" s="199"/>
      <c r="E30" s="200"/>
      <c r="F30" s="67"/>
      <c r="G30" s="202" t="s">
        <v>45</v>
      </c>
      <c r="H30" s="367" t="n">
        <v>35000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198"/>
      <c r="B31" s="199"/>
      <c r="C31" s="199"/>
      <c r="D31" s="199"/>
      <c r="E31" s="200"/>
      <c r="F31" s="67"/>
      <c r="G31" s="202" t="s">
        <v>48</v>
      </c>
      <c r="H31" s="46" t="n">
        <v>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98" t="s">
        <v>95</v>
      </c>
      <c r="B32" s="199" t="s">
        <v>96</v>
      </c>
      <c r="C32" s="199"/>
      <c r="D32" s="368" t="s">
        <v>365</v>
      </c>
      <c r="E32" s="200"/>
      <c r="F32" s="67"/>
      <c r="G32" s="202" t="s">
        <v>49</v>
      </c>
      <c r="I32" s="46" t="n">
        <v>0</v>
      </c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31.5" hidden="false" customHeight="true" outlineLevel="0" collapsed="false">
      <c r="A33" s="213" t="n">
        <f aca="false">A52</f>
        <v>35</v>
      </c>
      <c r="B33" s="214" t="n">
        <v>10000</v>
      </c>
      <c r="C33" s="215"/>
      <c r="D33" s="369" t="n">
        <f aca="false">H48</f>
        <v>574.429730449391</v>
      </c>
      <c r="E33" s="200"/>
      <c r="F33" s="67"/>
      <c r="G33" s="203" t="s">
        <v>366</v>
      </c>
      <c r="H33" s="52" t="n">
        <f aca="false">E21-E11</f>
        <v>17500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198"/>
      <c r="B34" s="199"/>
      <c r="C34" s="199"/>
      <c r="D34" s="199"/>
      <c r="E34" s="200"/>
      <c r="F34" s="67"/>
      <c r="G34" s="67" t="s">
        <v>382</v>
      </c>
      <c r="H34" s="67" t="n">
        <f aca="false">H29</f>
        <v>35</v>
      </c>
      <c r="I34" s="67" t="n">
        <v>43957.29</v>
      </c>
      <c r="J34" s="67" t="n">
        <v>841.24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98" t="s">
        <v>367</v>
      </c>
      <c r="B35" s="199" t="s">
        <v>368</v>
      </c>
      <c r="C35" s="199"/>
      <c r="D35" s="199" t="s">
        <v>369</v>
      </c>
      <c r="E35" s="200"/>
      <c r="F35" s="67"/>
      <c r="G35" s="55" t="s">
        <v>59</v>
      </c>
      <c r="H35" s="218" t="n">
        <v>0.095</v>
      </c>
      <c r="I35" s="67" t="n">
        <v>46215.83</v>
      </c>
      <c r="J35" s="67" t="n">
        <v>909.69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71" t="n">
        <f aca="false">H47</f>
        <v>574.429730449391</v>
      </c>
      <c r="B36" s="42" t="n">
        <f aca="false">IF(B26="YES",H42,"")</f>
        <v>0</v>
      </c>
      <c r="C36" s="205"/>
      <c r="D36" s="170" t="n">
        <f aca="false">H31</f>
        <v>0</v>
      </c>
      <c r="E36" s="200"/>
      <c r="F36" s="67"/>
      <c r="G36" s="67"/>
      <c r="H36" s="67"/>
      <c r="I36" s="67" t="n">
        <f aca="false">I35-I34</f>
        <v>2258.54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113"/>
      <c r="B37" s="42"/>
      <c r="C37" s="205"/>
      <c r="D37" s="42"/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198"/>
      <c r="B38" s="199"/>
      <c r="C38" s="199"/>
      <c r="D38" s="199"/>
      <c r="E38" s="200"/>
      <c r="F38" s="67"/>
      <c r="G38" s="227" t="s">
        <v>65</v>
      </c>
      <c r="H38" s="22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198" t="s">
        <v>370</v>
      </c>
      <c r="B39" s="199" t="s">
        <v>371</v>
      </c>
      <c r="C39" s="199"/>
      <c r="D39" s="199" t="s">
        <v>372</v>
      </c>
      <c r="E39" s="200"/>
      <c r="F39" s="67"/>
      <c r="G39" s="67" t="s">
        <v>97</v>
      </c>
      <c r="H39" s="7" t="n">
        <f aca="false">H33</f>
        <v>17500</v>
      </c>
      <c r="I39" s="7" t="n">
        <f aca="false">(I48*H46)+H44</f>
        <v>42650.995763804</v>
      </c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109" t="n">
        <f aca="false">D36*A45/100</f>
        <v>0</v>
      </c>
      <c r="B40" s="109" t="n">
        <f aca="false">IF(B26="YES",H42,"0")</f>
        <v>0</v>
      </c>
      <c r="C40" s="109"/>
      <c r="D40" s="170" t="n">
        <f aca="false">I32</f>
        <v>0</v>
      </c>
      <c r="E40" s="200"/>
      <c r="F40" s="67"/>
      <c r="G40" s="67" t="s">
        <v>119</v>
      </c>
      <c r="H40" s="7" t="n">
        <f aca="false">A40/1.2</f>
        <v>0</v>
      </c>
      <c r="I40" s="7" t="n">
        <f aca="false">H39-I39</f>
        <v>-25150.995763804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98"/>
      <c r="B41" s="199"/>
      <c r="C41" s="199"/>
      <c r="D41" s="199"/>
      <c r="E41" s="200"/>
      <c r="F41" s="67"/>
      <c r="G41" s="67" t="s">
        <v>373</v>
      </c>
      <c r="H41" s="225" t="n">
        <f aca="false">H35/12</f>
        <v>0.00791666666666667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198"/>
      <c r="B42" s="199"/>
      <c r="C42" s="199"/>
      <c r="D42" s="199"/>
      <c r="E42" s="200"/>
      <c r="F42" s="67"/>
      <c r="G42" s="67" t="s">
        <v>374</v>
      </c>
      <c r="H42" s="7" t="n">
        <f aca="false">(I32/H34)*(C45/100)</f>
        <v>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65"/>
      <c r="B43" s="266"/>
      <c r="C43" s="266"/>
      <c r="D43" s="266"/>
      <c r="E43" s="267"/>
      <c r="F43" s="67"/>
      <c r="G43" s="67" t="s">
        <v>375</v>
      </c>
      <c r="H43" s="67"/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370" t="s">
        <v>89</v>
      </c>
      <c r="B44" s="199"/>
      <c r="C44" s="371" t="s">
        <v>90</v>
      </c>
      <c r="D44" s="371"/>
      <c r="E44" s="200"/>
      <c r="F44" s="67"/>
      <c r="G44" s="67" t="s">
        <v>383</v>
      </c>
      <c r="H44" s="7" t="n">
        <f aca="false">(H40/(1+H41)^(H34+1))</f>
        <v>0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372" t="n">
        <v>100</v>
      </c>
      <c r="B45" s="199"/>
      <c r="C45" s="373" t="n">
        <v>100</v>
      </c>
      <c r="D45" s="373"/>
      <c r="E45" s="200"/>
      <c r="F45" s="67"/>
      <c r="G45" s="67" t="s">
        <v>384</v>
      </c>
      <c r="H45" s="7" t="n">
        <f aca="false">(H39-H44)</f>
        <v>17500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62"/>
      <c r="B46" s="263"/>
      <c r="C46" s="263"/>
      <c r="D46" s="263"/>
      <c r="E46" s="264"/>
      <c r="F46" s="67"/>
      <c r="G46" s="67" t="s">
        <v>385</v>
      </c>
      <c r="H46" s="7" t="n">
        <f aca="false">((1-(1/((1+H41)^H34)))/H41)</f>
        <v>30.4649969741457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98"/>
      <c r="B47" s="199"/>
      <c r="C47" s="199"/>
      <c r="D47" s="199"/>
      <c r="E47" s="200"/>
      <c r="F47" s="67"/>
      <c r="G47" s="67" t="s">
        <v>379</v>
      </c>
      <c r="H47" s="7" t="n">
        <f aca="false">H45/H46</f>
        <v>574.429730449391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374" t="s">
        <v>380</v>
      </c>
      <c r="H48" s="7" t="n">
        <f aca="false">IF(B26="YES",H47+H42,H47)</f>
        <v>574.429730449391</v>
      </c>
      <c r="I48" s="7" t="n">
        <f aca="false">I49-H42</f>
        <v>1400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 t="s">
        <v>381</v>
      </c>
      <c r="H49" s="261"/>
      <c r="I49" s="7" t="n">
        <v>1400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35000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35</v>
      </c>
      <c r="B52" s="78" t="n">
        <f aca="false">H48</f>
        <v>574.429730449391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199"/>
      <c r="N55" s="199"/>
      <c r="O55" s="199"/>
      <c r="P55" s="199"/>
      <c r="Q55" s="199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265"/>
      <c r="N56" s="266"/>
      <c r="O56" s="266"/>
      <c r="P56" s="266"/>
      <c r="Q56" s="2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IF(B99=Y97,1,IF(B99=Y98,1,IF(B99=Y99,3,IF(B99=Y100,6,IF(B99=Y101,9,IF(B99=Y102,12,IF(B99=Y103,3,IF(B99=Y104,6,IF(B99=Y105,9,0)))))))))</f>
        <v>1</v>
      </c>
      <c r="C57" s="199"/>
      <c r="D57" s="199"/>
      <c r="E57" s="200"/>
      <c r="F57" s="67"/>
      <c r="G57" s="198" t="s">
        <v>97</v>
      </c>
      <c r="H57" s="199" t="n">
        <f aca="false">IF(H99=Y97,1,IF(H99=Y98,1,IF(H99=Y99,3,IF(H99=Y100,6,IF(H99=Y101,9,IF(H99=Y102,12,IF(H99=Y103,3,IF(H99=Y104,6,IF(H99=Y105,9,0)))))))))</f>
        <v>6</v>
      </c>
      <c r="I57" s="199"/>
      <c r="J57" s="199"/>
      <c r="K57" s="200"/>
      <c r="L57" s="67"/>
      <c r="M57" s="198" t="s">
        <v>97</v>
      </c>
      <c r="N57" s="199" t="n">
        <f aca="false">IF(N99=Y97,1,IF(N99=Y98,1,IF(N99=Y99,3,IF(N99=Y100,6,IF(N99=Y101,9,IF(N99=Y102,12,IF(N99=Y103,3,IF(N99=Y104,6,IF(N99=Y105,9,0)))))))))</f>
        <v>6</v>
      </c>
      <c r="O57" s="199"/>
      <c r="P57" s="199"/>
      <c r="Q57" s="200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IF(B99=Y97,H29-B57,IF(B99=Y98,H29-B57,IF(B99=Y99,H29-1,IF(B99=Y100,H29-1,IF(B99=Y101,H29-1,IF(B99=Y102,H29-1,IF(B99=Y103,H29-B57,IF(B99=Y104,H29-B57,IF(B99=Y105,H29-B57,0)))))))))</f>
        <v>34</v>
      </c>
      <c r="C58" s="199"/>
      <c r="D58" s="199"/>
      <c r="E58" s="200"/>
      <c r="F58" s="67"/>
      <c r="G58" s="198" t="s">
        <v>98</v>
      </c>
      <c r="H58" s="199" t="n">
        <f aca="false">IF(H99=Y97,H29-H57,IF(H99=Y98,H29-H57,IF(H99=Y99,H29-1,IF(H99=Y100,H29-1,IF(H99=Y101,H29-1,IF(H99=Y102,H29-1,IF(H99=Y103,H29-H57,IF(H99=Y104,H29-H57,IF(H99=Y105,H29-H57,0)))))))))</f>
        <v>34</v>
      </c>
      <c r="I58" s="199"/>
      <c r="J58" s="199"/>
      <c r="K58" s="200"/>
      <c r="L58" s="67"/>
      <c r="M58" s="198" t="s">
        <v>98</v>
      </c>
      <c r="N58" s="199" t="n">
        <f aca="false">IF(N99=Y97,H29-N57,IF(N99=Y98,H29-N57,IF(N99=Y99,H29-1,IF(N99=Y100,H29-1,IF(N99=Y101,H29-1,IF(N99=Y102,H29-1,IF(N99=Y103,H29-N57,IF(N99=Y104,H29-N57,IF(N99=Y105,H29-N57,0)))))))))</f>
        <v>34</v>
      </c>
      <c r="O58" s="199"/>
      <c r="P58" s="199"/>
      <c r="Q58" s="200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198"/>
      <c r="N59" s="199"/>
      <c r="O59" s="199"/>
      <c r="P59" s="199"/>
      <c r="Q59" s="200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386</v>
      </c>
      <c r="B60" s="199" t="n">
        <f aca="false">E19</f>
        <v>21000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198"/>
      <c r="N60" s="199"/>
      <c r="O60" s="199"/>
      <c r="P60" s="199"/>
      <c r="Q60" s="200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v>37404</v>
      </c>
      <c r="C61" s="199"/>
      <c r="D61" s="199"/>
      <c r="E61" s="200"/>
      <c r="F61" s="67"/>
      <c r="G61" s="198" t="s">
        <v>27</v>
      </c>
      <c r="H61" s="36" t="n">
        <f aca="false">G18</f>
        <v>0</v>
      </c>
      <c r="I61" s="199"/>
      <c r="J61" s="199"/>
      <c r="K61" s="200"/>
      <c r="L61" s="67"/>
      <c r="M61" s="198" t="s">
        <v>27</v>
      </c>
      <c r="N61" s="36" t="n">
        <f aca="false">G18</f>
        <v>0</v>
      </c>
      <c r="O61" s="199"/>
      <c r="P61" s="199"/>
      <c r="Q61" s="200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268" t="s">
        <v>287</v>
      </c>
      <c r="N62" s="269" t="n">
        <v>0.07</v>
      </c>
      <c r="O62" s="199"/>
      <c r="P62" s="199"/>
      <c r="Q62" s="200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0.1035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0.103541666666667</v>
      </c>
      <c r="I63" s="199"/>
      <c r="J63" s="199"/>
      <c r="K63" s="200"/>
      <c r="L63" s="67"/>
      <c r="M63" s="198" t="s">
        <v>288</v>
      </c>
      <c r="N63" s="270" t="n">
        <f aca="false">N62+(N62*0.25*(H29/12-1))</f>
        <v>0.103541666666667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C64</f>
        <v>10000</v>
      </c>
      <c r="C64" s="375" t="n">
        <v>10000</v>
      </c>
      <c r="D64" s="36" t="n">
        <f aca="false">B64</f>
        <v>10000</v>
      </c>
      <c r="E64" s="376" t="n">
        <f aca="false">D64/(B58+B57)</f>
        <v>285.714285714286</v>
      </c>
      <c r="F64" s="67"/>
      <c r="G64" s="262" t="s">
        <v>103</v>
      </c>
      <c r="H64" s="69" t="n">
        <f aca="false">H61*H63</f>
        <v>0</v>
      </c>
      <c r="I64" s="199"/>
      <c r="J64" s="36" t="n">
        <f aca="false">H64-G145</f>
        <v>0</v>
      </c>
      <c r="K64" s="200"/>
      <c r="L64" s="67"/>
      <c r="M64" s="262" t="s">
        <v>103</v>
      </c>
      <c r="N64" s="69" t="n">
        <f aca="false">N61*N63</f>
        <v>0</v>
      </c>
      <c r="O64" s="199"/>
      <c r="P64" s="36" t="n">
        <f aca="false">N64-M145</f>
        <v>0</v>
      </c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36"/>
      <c r="E65" s="200"/>
      <c r="F65" s="67"/>
      <c r="G65" s="268" t="s">
        <v>104</v>
      </c>
      <c r="H65" s="269" t="n">
        <v>0.01</v>
      </c>
      <c r="I65" s="199"/>
      <c r="J65" s="199"/>
      <c r="K65" s="200"/>
      <c r="L65" s="67"/>
      <c r="M65" s="268" t="s">
        <v>104</v>
      </c>
      <c r="N65" s="269" t="n">
        <v>0.01</v>
      </c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377" t="s">
        <v>234</v>
      </c>
      <c r="D66" s="199"/>
      <c r="E66" s="200"/>
      <c r="F66" s="67"/>
      <c r="G66" s="198" t="s">
        <v>105</v>
      </c>
      <c r="H66" s="270" t="n">
        <f aca="false">H65+(H65*0.5*(H29/12-1))</f>
        <v>0.0195833333333333</v>
      </c>
      <c r="I66" s="199"/>
      <c r="J66" s="199"/>
      <c r="K66" s="200"/>
      <c r="L66" s="67"/>
      <c r="M66" s="198" t="s">
        <v>105</v>
      </c>
      <c r="N66" s="270" t="n">
        <f aca="false">N65+(N65*0.5*(H29/12-1))</f>
        <v>0.0195833333333333</v>
      </c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378" t="s">
        <v>234</v>
      </c>
      <c r="D67" s="379"/>
      <c r="E67" s="200"/>
      <c r="F67" s="67"/>
      <c r="G67" s="262" t="s">
        <v>106</v>
      </c>
      <c r="H67" s="69" t="n">
        <f aca="false">(H61*H66)/1.2</f>
        <v>0</v>
      </c>
      <c r="I67" s="199"/>
      <c r="J67" s="36"/>
      <c r="K67" s="200"/>
      <c r="L67" s="67"/>
      <c r="M67" s="262" t="s">
        <v>106</v>
      </c>
      <c r="N67" s="69" t="n">
        <f aca="false">(N61*N66)/1.2</f>
        <v>0</v>
      </c>
      <c r="O67" s="199"/>
      <c r="P67" s="36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380"/>
      <c r="D68" s="36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268" t="s">
        <v>107</v>
      </c>
      <c r="N68" s="269" t="n">
        <v>0.0075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272" t="s">
        <v>108</v>
      </c>
      <c r="N69" s="273" t="n">
        <v>0.12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0.008625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262" t="s">
        <v>109</v>
      </c>
      <c r="N70" s="381" t="n">
        <f aca="false">N68*(1+N69)</f>
        <v>0.0084</v>
      </c>
      <c r="O70" s="199"/>
      <c r="P70" s="199"/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268" t="s">
        <v>110</v>
      </c>
      <c r="N71" s="90" t="n">
        <v>160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272" t="s">
        <v>111</v>
      </c>
      <c r="N72" s="81" t="n">
        <v>4.5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157.5</v>
      </c>
      <c r="C73" s="199"/>
      <c r="D73" s="382" t="n">
        <f aca="false">B73+B71</f>
        <v>317.5</v>
      </c>
      <c r="E73" s="200" t="s">
        <v>240</v>
      </c>
      <c r="F73" s="67"/>
      <c r="G73" s="262" t="s">
        <v>112</v>
      </c>
      <c r="H73" s="69" t="n">
        <f aca="false">H72*H29</f>
        <v>157.5</v>
      </c>
      <c r="I73" s="199"/>
      <c r="J73" s="36" t="n">
        <f aca="false">H73+H71</f>
        <v>317.5</v>
      </c>
      <c r="K73" s="200"/>
      <c r="L73" s="67"/>
      <c r="M73" s="262" t="s">
        <v>112</v>
      </c>
      <c r="N73" s="69" t="n">
        <f aca="false">N72*H29</f>
        <v>157.5</v>
      </c>
      <c r="O73" s="199"/>
      <c r="P73" s="36" t="n">
        <f aca="false">N73+N71</f>
        <v>317.5</v>
      </c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180</v>
      </c>
      <c r="C74" s="199"/>
      <c r="D74" s="199"/>
      <c r="E74" s="200"/>
      <c r="F74" s="67"/>
      <c r="G74" s="268" t="s">
        <v>289</v>
      </c>
      <c r="H74" s="90" t="n">
        <v>165</v>
      </c>
      <c r="I74" s="199"/>
      <c r="J74" s="199"/>
      <c r="K74" s="200"/>
      <c r="L74" s="67"/>
      <c r="M74" s="339" t="s">
        <v>289</v>
      </c>
      <c r="N74" s="340" t="n">
        <v>0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/>
      <c r="D75" s="199"/>
      <c r="E75" s="200"/>
      <c r="F75" s="67"/>
      <c r="G75" s="272" t="s">
        <v>290</v>
      </c>
      <c r="H75" s="81" t="n">
        <v>0</v>
      </c>
      <c r="I75" s="199"/>
      <c r="J75" s="199"/>
      <c r="K75" s="200"/>
      <c r="L75" s="67"/>
      <c r="M75" s="341" t="s">
        <v>290</v>
      </c>
      <c r="N75" s="342" t="n">
        <v>0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((B74+B75)/12)*(H29+1)</f>
        <v>540</v>
      </c>
      <c r="C76" s="199"/>
      <c r="D76" s="36" t="n">
        <f aca="false">B76</f>
        <v>540</v>
      </c>
      <c r="E76" s="200"/>
      <c r="F76" s="67"/>
      <c r="G76" s="262" t="s">
        <v>291</v>
      </c>
      <c r="H76" s="69" t="n">
        <f aca="false">((H74+H75)/12)*(H29-11)</f>
        <v>330</v>
      </c>
      <c r="I76" s="199"/>
      <c r="J76" s="36" t="n">
        <f aca="false">H76</f>
        <v>330</v>
      </c>
      <c r="K76" s="200"/>
      <c r="L76" s="67"/>
      <c r="M76" s="343" t="s">
        <v>291</v>
      </c>
      <c r="N76" s="344" t="n">
        <f aca="false">((N74+N75)/12)*(H29-11)</f>
        <v>0</v>
      </c>
      <c r="O76" s="199"/>
      <c r="P76" s="36" t="n">
        <f aca="false">N76</f>
        <v>0</v>
      </c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5" t="s">
        <v>292</v>
      </c>
      <c r="B77" s="31" t="n">
        <f aca="false">B102/(1-J15)</f>
        <v>470.588235294118</v>
      </c>
      <c r="C77" s="310"/>
      <c r="D77" s="36" t="n">
        <f aca="false">B77</f>
        <v>470.588235294118</v>
      </c>
      <c r="E77" s="376" t="n">
        <f aca="false">D77/(B58+B57)</f>
        <v>13.4453781512605</v>
      </c>
      <c r="F77" s="67"/>
      <c r="G77" s="268" t="s">
        <v>292</v>
      </c>
      <c r="H77" s="90" t="n">
        <v>0</v>
      </c>
      <c r="I77" s="199"/>
      <c r="J77" s="36" t="n">
        <f aca="false">H77</f>
        <v>0</v>
      </c>
      <c r="K77" s="200"/>
      <c r="L77" s="67"/>
      <c r="M77" s="268" t="s">
        <v>292</v>
      </c>
      <c r="N77" s="90" t="n">
        <v>0</v>
      </c>
      <c r="O77" s="199"/>
      <c r="P77" s="36" t="n">
        <f aca="false">N77</f>
        <v>0</v>
      </c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235.294117647059</v>
      </c>
      <c r="C78" s="310"/>
      <c r="D78" s="36" t="n">
        <f aca="false">B78</f>
        <v>235.294117647059</v>
      </c>
      <c r="E78" s="376"/>
      <c r="F78" s="67"/>
      <c r="G78" s="198" t="s">
        <v>293</v>
      </c>
      <c r="H78" s="37" t="n">
        <v>0</v>
      </c>
      <c r="I78" s="199"/>
      <c r="J78" s="36" t="n">
        <f aca="false">H78</f>
        <v>0</v>
      </c>
      <c r="K78" s="200"/>
      <c r="L78" s="67"/>
      <c r="M78" s="198" t="s">
        <v>293</v>
      </c>
      <c r="N78" s="37" t="n">
        <v>0</v>
      </c>
      <c r="O78" s="199"/>
      <c r="P78" s="36" t="n">
        <f aca="false">N78</f>
        <v>0</v>
      </c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310"/>
      <c r="D79" s="36" t="n">
        <f aca="false">B79</f>
        <v>300</v>
      </c>
      <c r="E79" s="376"/>
      <c r="F79" s="67"/>
      <c r="G79" s="272" t="s">
        <v>113</v>
      </c>
      <c r="H79" s="81" t="n">
        <v>200</v>
      </c>
      <c r="I79" s="199"/>
      <c r="J79" s="36" t="n">
        <f aca="false">H79</f>
        <v>200</v>
      </c>
      <c r="K79" s="200"/>
      <c r="L79" s="67"/>
      <c r="M79" s="272" t="s">
        <v>113</v>
      </c>
      <c r="N79" s="81" t="n">
        <v>200</v>
      </c>
      <c r="O79" s="199"/>
      <c r="P79" s="36" t="n">
        <f aca="false">N79</f>
        <v>200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310"/>
      <c r="D80" s="36" t="n">
        <f aca="false">B80</f>
        <v>100</v>
      </c>
      <c r="E80" s="376" t="n">
        <f aca="false">(D73+D76+D79+D80)/(B58+B57)</f>
        <v>35.9285714285714</v>
      </c>
      <c r="F80" s="67"/>
      <c r="G80" s="275" t="s">
        <v>114</v>
      </c>
      <c r="H80" s="91" t="n">
        <v>200</v>
      </c>
      <c r="I80" s="199"/>
      <c r="J80" s="36" t="n">
        <f aca="false">H80</f>
        <v>200</v>
      </c>
      <c r="K80" s="200"/>
      <c r="L80" s="67"/>
      <c r="M80" s="275" t="s">
        <v>114</v>
      </c>
      <c r="N80" s="91" t="n">
        <v>200</v>
      </c>
      <c r="O80" s="199"/>
      <c r="P80" s="36" t="n">
        <f aca="false">N80</f>
        <v>200</v>
      </c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11963.3823529412</v>
      </c>
      <c r="C81" s="310"/>
      <c r="D81" s="383"/>
      <c r="E81" s="376"/>
      <c r="F81" s="67"/>
      <c r="G81" s="276" t="s">
        <v>115</v>
      </c>
      <c r="H81" s="277" t="n">
        <f aca="false">SUM(J64:J80)</f>
        <v>1047.5</v>
      </c>
      <c r="I81" s="199"/>
      <c r="J81" s="199"/>
      <c r="K81" s="200"/>
      <c r="L81" s="67"/>
      <c r="M81" s="276" t="s">
        <v>115</v>
      </c>
      <c r="N81" s="277" t="n">
        <f aca="false">SUM(P64:P80)</f>
        <v>717.5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341.810924369748</v>
      </c>
      <c r="C82" s="310"/>
      <c r="D82" s="199"/>
      <c r="E82" s="376"/>
      <c r="F82" s="67"/>
      <c r="G82" s="198" t="s">
        <v>116</v>
      </c>
      <c r="H82" s="37" t="n">
        <f aca="false">H81/H29</f>
        <v>29.9285714285714</v>
      </c>
      <c r="I82" s="199"/>
      <c r="J82" s="199"/>
      <c r="K82" s="200"/>
      <c r="L82" s="67"/>
      <c r="M82" s="198" t="s">
        <v>116</v>
      </c>
      <c r="N82" s="37" t="n">
        <f aca="false">N81/H29</f>
        <v>20.5</v>
      </c>
      <c r="O82" s="199"/>
      <c r="P82" s="199"/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H47</f>
        <v>574.429730449391</v>
      </c>
      <c r="C83" s="310"/>
      <c r="D83" s="199"/>
      <c r="E83" s="376" t="n">
        <f aca="false">B83+E80+E77+E64</f>
        <v>909.517965743508</v>
      </c>
      <c r="F83" s="67"/>
      <c r="G83" s="278" t="s">
        <v>117</v>
      </c>
      <c r="H83" s="63" t="n">
        <f aca="false">H47</f>
        <v>574.429730449391</v>
      </c>
      <c r="I83" s="199"/>
      <c r="J83" s="199"/>
      <c r="K83" s="200"/>
      <c r="L83" s="67"/>
      <c r="M83" s="278" t="s">
        <v>117</v>
      </c>
      <c r="N83" s="63" t="n">
        <f aca="false">H47</f>
        <v>574.429730449391</v>
      </c>
      <c r="O83" s="199"/>
      <c r="P83" s="199"/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310"/>
      <c r="D84" s="310"/>
      <c r="E84" s="376"/>
      <c r="F84" s="67"/>
      <c r="G84" s="198"/>
      <c r="H84" s="36"/>
      <c r="I84" s="199"/>
      <c r="J84" s="199"/>
      <c r="K84" s="200"/>
      <c r="L84" s="67"/>
      <c r="M84" s="198"/>
      <c r="N84" s="36"/>
      <c r="O84" s="199"/>
      <c r="P84" s="199"/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((B83*H29)+B81)*1.2</f>
        <v>38482.1075024038</v>
      </c>
      <c r="C85" s="310"/>
      <c r="D85" s="310"/>
      <c r="E85" s="376" t="n">
        <f aca="false">B85/(B58+B57)</f>
        <v>1099.48878578297</v>
      </c>
      <c r="F85" s="67"/>
      <c r="G85" s="265" t="s">
        <v>127</v>
      </c>
      <c r="H85" s="31" t="n">
        <f aca="false">((H83*H29)+H81)*1.2</f>
        <v>25383.0486788744</v>
      </c>
      <c r="I85" s="199"/>
      <c r="J85" s="199"/>
      <c r="K85" s="200"/>
      <c r="L85" s="67"/>
      <c r="M85" s="265" t="s">
        <v>127</v>
      </c>
      <c r="N85" s="31" t="n">
        <f aca="false">((N83*H29)+N81)</f>
        <v>20822.5405657287</v>
      </c>
      <c r="O85" s="199"/>
      <c r="P85" s="199"/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(((B83*H29)+B81)/(1-B70))*B70</f>
        <v>278.996492420656</v>
      </c>
      <c r="C86" s="310" t="s">
        <v>243</v>
      </c>
      <c r="D86" s="199"/>
      <c r="E86" s="376" t="n">
        <f aca="false">B86/(B58+B57)</f>
        <v>7.97132835487587</v>
      </c>
      <c r="F86" s="67"/>
      <c r="G86" s="198" t="s">
        <v>128</v>
      </c>
      <c r="H86" s="37" t="n">
        <f aca="false">((((H83*H29)+H81))/(1-H70))*H70</f>
        <v>179.186507414402</v>
      </c>
      <c r="I86" s="199"/>
      <c r="J86" s="199"/>
      <c r="K86" s="200"/>
      <c r="L86" s="67"/>
      <c r="M86" s="198" t="s">
        <v>128</v>
      </c>
      <c r="N86" s="37" t="n">
        <f aca="false">(N85/(1-N70))*N70</f>
        <v>176.391025365188</v>
      </c>
      <c r="O86" s="199"/>
      <c r="P86" s="199"/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38761.1039948245</v>
      </c>
      <c r="C87" s="310"/>
      <c r="D87" s="384"/>
      <c r="E87" s="376" t="n">
        <f aca="false">E86+E85</f>
        <v>1107.46011413784</v>
      </c>
      <c r="F87" s="67"/>
      <c r="G87" s="262" t="s">
        <v>129</v>
      </c>
      <c r="H87" s="69" t="n">
        <f aca="false">IF(H110="YES",((H85+H86)-K114),(H85+H86))</f>
        <v>25562.2351862888</v>
      </c>
      <c r="I87" s="199"/>
      <c r="J87" s="199"/>
      <c r="K87" s="200"/>
      <c r="L87" s="67"/>
      <c r="M87" s="262" t="s">
        <v>129</v>
      </c>
      <c r="N87" s="69" t="n">
        <f aca="false">IF(N110="YES",((N85+N86)-Q114),(N85+N86))</f>
        <v>20998.9315910939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310"/>
      <c r="D88" s="199"/>
      <c r="E88" s="376"/>
      <c r="F88" s="67"/>
      <c r="G88" s="198"/>
      <c r="H88" s="36"/>
      <c r="I88" s="199"/>
      <c r="J88" s="199"/>
      <c r="K88" s="200"/>
      <c r="L88" s="67"/>
      <c r="M88" s="198"/>
      <c r="N88" s="36"/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7" t="n">
        <f aca="false">IF(B99=Y98,(I32+(I32*B105))/(B58),(I32+(I32*B105))/(B57+B58))*(C45/100)*1.2</f>
        <v>0</v>
      </c>
      <c r="C89" s="310"/>
      <c r="D89" s="199"/>
      <c r="E89" s="200"/>
      <c r="F89" s="67"/>
      <c r="G89" s="276" t="s">
        <v>130</v>
      </c>
      <c r="H89" s="277" t="n">
        <f aca="false">IF(H99=Y98,(D40+(D40*H105))/(H58),(D40+(D40*H105))/(H57+H58))*1.2</f>
        <v>0</v>
      </c>
      <c r="I89" s="199"/>
      <c r="J89" s="199"/>
      <c r="K89" s="200"/>
      <c r="L89" s="67"/>
      <c r="M89" s="276" t="s">
        <v>130</v>
      </c>
      <c r="N89" s="277" t="n">
        <f aca="false">IF(N99=Y98,(D40+(D40*N105))/(N58),(D40+(D40*N105))/(N57+N58))</f>
        <v>0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IF(B99=Y98,(B87-D105)/(B58),B87/(B57+B58))</f>
        <v>1107.46011413784</v>
      </c>
      <c r="C90" s="310"/>
      <c r="D90" s="199"/>
      <c r="E90" s="385"/>
      <c r="F90" s="67"/>
      <c r="G90" s="280" t="s">
        <v>131</v>
      </c>
      <c r="H90" s="281" t="n">
        <f aca="false">IF(H99=Y98,(H87-J105)/(H58),H87/(H57+H58))</f>
        <v>639.05587965722</v>
      </c>
      <c r="I90" s="199"/>
      <c r="J90" s="199"/>
      <c r="K90" s="200"/>
      <c r="L90" s="67"/>
      <c r="M90" s="280" t="s">
        <v>131</v>
      </c>
      <c r="N90" s="281" t="n">
        <f aca="false">IF(N99=Y98,(N87-P105)/(N58),N87/(N57+N58))</f>
        <v>524.973289777346</v>
      </c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1107.46011413784</v>
      </c>
      <c r="C91" s="310"/>
      <c r="D91" s="386"/>
      <c r="E91" s="333"/>
      <c r="F91" s="67"/>
      <c r="G91" s="282" t="s">
        <v>132</v>
      </c>
      <c r="H91" s="283" t="n">
        <f aca="false">IF(G105="YES",H90+H89,H90)</f>
        <v>639.05587965722</v>
      </c>
      <c r="I91" s="199"/>
      <c r="J91" s="199"/>
      <c r="K91" s="200"/>
      <c r="L91" s="67"/>
      <c r="M91" s="282" t="s">
        <v>132</v>
      </c>
      <c r="N91" s="283" t="n">
        <f aca="false">IF(M105="YES",N90+N89,N90)</f>
        <v>524.973289777346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61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262"/>
      <c r="N92" s="263"/>
      <c r="O92" s="263"/>
      <c r="P92" s="263"/>
      <c r="Q92" s="264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199"/>
      <c r="N93" s="199"/>
      <c r="O93" s="199"/>
      <c r="P93" s="199"/>
      <c r="Q93" s="199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56.2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197" t="s">
        <v>352</v>
      </c>
      <c r="N94" s="197"/>
      <c r="O94" s="197"/>
      <c r="P94" s="197"/>
      <c r="Q94" s="19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 t="s">
        <v>387</v>
      </c>
      <c r="F95" s="67"/>
      <c r="G95" s="198"/>
      <c r="H95" s="199"/>
      <c r="I95" s="199"/>
      <c r="J95" s="199"/>
      <c r="K95" s="200"/>
      <c r="L95" s="67"/>
      <c r="M95" s="198"/>
      <c r="N95" s="199"/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201" t="s">
        <v>137</v>
      </c>
      <c r="N96" s="201"/>
      <c r="O96" s="201"/>
      <c r="P96" s="201"/>
      <c r="Q96" s="201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387"/>
      <c r="C97" s="387"/>
      <c r="D97" s="199"/>
      <c r="E97" s="200"/>
      <c r="F97" s="67"/>
      <c r="G97" s="198"/>
      <c r="H97" s="199"/>
      <c r="I97" s="199"/>
      <c r="J97" s="199"/>
      <c r="K97" s="200"/>
      <c r="L97" s="67"/>
      <c r="M97" s="198"/>
      <c r="N97" s="199"/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 t="s">
        <v>141</v>
      </c>
      <c r="Z97" s="67"/>
      <c r="AC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198" t="s">
        <v>138</v>
      </c>
      <c r="N98" s="199" t="s">
        <v>36</v>
      </c>
      <c r="O98" s="199"/>
      <c r="P98" s="199" t="s">
        <v>295</v>
      </c>
      <c r="Q98" s="200"/>
      <c r="R98" s="67"/>
      <c r="S98" s="67"/>
      <c r="T98" s="67"/>
      <c r="U98" s="67"/>
      <c r="V98" s="67"/>
      <c r="W98" s="67"/>
      <c r="X98" s="67"/>
      <c r="Y98" s="67" t="s">
        <v>273</v>
      </c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1000</v>
      </c>
      <c r="E99" s="109"/>
      <c r="F99" s="67"/>
      <c r="G99" s="204" t="s">
        <v>296</v>
      </c>
      <c r="H99" s="284" t="s">
        <v>275</v>
      </c>
      <c r="I99" s="284"/>
      <c r="J99" s="109" t="n">
        <v>0</v>
      </c>
      <c r="K99" s="109"/>
      <c r="L99" s="67"/>
      <c r="M99" s="204" t="s">
        <v>296</v>
      </c>
      <c r="N99" s="284" t="s">
        <v>275</v>
      </c>
      <c r="O99" s="284"/>
      <c r="P99" s="109" t="n">
        <v>0</v>
      </c>
      <c r="Q99" s="109"/>
      <c r="R99" s="67"/>
      <c r="S99" s="67"/>
      <c r="T99" s="67"/>
      <c r="U99" s="67"/>
      <c r="V99" s="67"/>
      <c r="W99" s="67"/>
      <c r="X99" s="67"/>
      <c r="Y99" s="67" t="s">
        <v>274</v>
      </c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198"/>
      <c r="N100" s="199"/>
      <c r="O100" s="199"/>
      <c r="P100" s="199"/>
      <c r="Q100" s="200"/>
      <c r="R100" s="67"/>
      <c r="S100" s="67"/>
      <c r="T100" s="67"/>
      <c r="U100" s="67"/>
      <c r="V100" s="67"/>
      <c r="W100" s="67"/>
      <c r="X100" s="67"/>
      <c r="Y100" s="67" t="s">
        <v>275</v>
      </c>
      <c r="Z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388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198" t="s">
        <v>297</v>
      </c>
      <c r="N101" s="199" t="s">
        <v>298</v>
      </c>
      <c r="O101" s="199"/>
      <c r="P101" s="199" t="s">
        <v>299</v>
      </c>
      <c r="Q101" s="200"/>
      <c r="R101" s="67"/>
      <c r="S101" s="67"/>
      <c r="T101" s="67"/>
      <c r="U101" s="67"/>
      <c r="V101" s="67"/>
      <c r="W101" s="67"/>
      <c r="X101" s="67"/>
      <c r="Y101" s="67" t="s">
        <v>276</v>
      </c>
      <c r="Z101" s="67"/>
    </row>
    <row r="102" customFormat="false" ht="18.75" hidden="false" customHeight="true" outlineLevel="0" collapsed="false">
      <c r="A102" s="285" t="n">
        <v>239.99</v>
      </c>
      <c r="B102" s="109" t="n">
        <v>400</v>
      </c>
      <c r="C102" s="109"/>
      <c r="D102" s="109" t="n">
        <v>200</v>
      </c>
      <c r="E102" s="109"/>
      <c r="F102" s="67"/>
      <c r="G102" s="285" t="n">
        <v>199.99</v>
      </c>
      <c r="H102" s="109" t="n">
        <v>0</v>
      </c>
      <c r="I102" s="109"/>
      <c r="J102" s="109" t="n">
        <v>0</v>
      </c>
      <c r="K102" s="109"/>
      <c r="L102" s="67"/>
      <c r="M102" s="285" t="n">
        <v>199.99</v>
      </c>
      <c r="N102" s="109" t="n">
        <v>0</v>
      </c>
      <c r="O102" s="109"/>
      <c r="P102" s="109" t="n">
        <v>0</v>
      </c>
      <c r="Q102" s="109"/>
      <c r="R102" s="67"/>
      <c r="S102" s="67"/>
      <c r="T102" s="67"/>
      <c r="U102" s="67"/>
      <c r="V102" s="67"/>
      <c r="W102" s="67"/>
      <c r="X102" s="67"/>
      <c r="Y102" s="67" t="s">
        <v>277</v>
      </c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 t="s">
        <v>278</v>
      </c>
      <c r="Z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204" t="s">
        <v>139</v>
      </c>
      <c r="N104" s="67" t="s">
        <v>142</v>
      </c>
      <c r="O104" s="199"/>
      <c r="P104" s="199" t="s">
        <v>153</v>
      </c>
      <c r="Q104" s="200"/>
      <c r="R104" s="67"/>
      <c r="S104" s="67"/>
      <c r="T104" s="67"/>
      <c r="U104" s="67"/>
      <c r="V104" s="67"/>
      <c r="W104" s="67"/>
      <c r="X104" s="67"/>
      <c r="Y104" s="67" t="s">
        <v>279</v>
      </c>
      <c r="Z104" s="67"/>
    </row>
    <row r="105" customFormat="false" ht="18.75" hidden="false" customHeight="true" outlineLevel="0" collapsed="false">
      <c r="A105" s="206" t="s">
        <v>31</v>
      </c>
      <c r="B105" s="286" t="n">
        <v>0.2</v>
      </c>
      <c r="C105" s="286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/>
      <c r="K105" s="109"/>
      <c r="L105" s="67"/>
      <c r="M105" s="206" t="s">
        <v>31</v>
      </c>
      <c r="N105" s="286" t="n">
        <v>0.2</v>
      </c>
      <c r="O105" s="286"/>
      <c r="P105" s="109" t="n">
        <v>0</v>
      </c>
      <c r="Q105" s="109"/>
      <c r="R105" s="67"/>
      <c r="S105" s="67"/>
      <c r="T105" s="67"/>
      <c r="U105" s="67"/>
      <c r="V105" s="67"/>
      <c r="W105" s="67"/>
      <c r="X105" s="67"/>
      <c r="Y105" s="67" t="s">
        <v>280</v>
      </c>
      <c r="Z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198"/>
      <c r="N107" s="199" t="s">
        <v>353</v>
      </c>
      <c r="O107" s="206" t="s">
        <v>31</v>
      </c>
      <c r="P107" s="199"/>
      <c r="Q107" s="200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18.75" hidden="false" customHeight="true" outlineLevel="0" collapsed="false">
      <c r="A108" s="201" t="n">
        <v>199.99</v>
      </c>
      <c r="B108" s="201" t="n">
        <v>0</v>
      </c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201" t="s">
        <v>300</v>
      </c>
      <c r="N108" s="201"/>
      <c r="O108" s="201"/>
      <c r="P108" s="201"/>
      <c r="Q108" s="201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198" t="s">
        <v>301</v>
      </c>
      <c r="N110" s="206" t="s">
        <v>32</v>
      </c>
      <c r="O110" s="199"/>
      <c r="P110" s="199"/>
      <c r="Q110" s="200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8.75" hidden="false" customHeight="true" outlineLevel="0" collapsed="false">
      <c r="A111" s="198" t="s">
        <v>32</v>
      </c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198"/>
      <c r="N111" s="199"/>
      <c r="O111" s="199"/>
      <c r="P111" s="199"/>
      <c r="Q111" s="200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0</v>
      </c>
      <c r="K112" s="109" t="n">
        <v>0</v>
      </c>
      <c r="L112" s="67"/>
      <c r="M112" s="198" t="s">
        <v>186</v>
      </c>
      <c r="N112" s="199"/>
      <c r="O112" s="199"/>
      <c r="P112" s="285" t="n">
        <v>500</v>
      </c>
      <c r="Q112" s="109" t="n">
        <v>300</v>
      </c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0</v>
      </c>
      <c r="K113" s="109" t="n">
        <v>0</v>
      </c>
      <c r="L113" s="67"/>
      <c r="M113" s="198" t="s">
        <v>187</v>
      </c>
      <c r="N113" s="199"/>
      <c r="O113" s="199"/>
      <c r="P113" s="43" t="n">
        <f aca="false">Q113</f>
        <v>100</v>
      </c>
      <c r="Q113" s="109" t="n">
        <v>100</v>
      </c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0</v>
      </c>
      <c r="K114" s="157" t="n">
        <f aca="false">K112-K113</f>
        <v>0</v>
      </c>
      <c r="L114" s="67"/>
      <c r="M114" s="198" t="s">
        <v>188</v>
      </c>
      <c r="N114" s="199"/>
      <c r="O114" s="199"/>
      <c r="P114" s="43" t="n">
        <f aca="false">P112-P113</f>
        <v>400</v>
      </c>
      <c r="Q114" s="157" t="n">
        <f aca="false">Q112-Q113</f>
        <v>200</v>
      </c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0</v>
      </c>
      <c r="K115" s="200"/>
      <c r="L115" s="67"/>
      <c r="M115" s="198" t="s">
        <v>189</v>
      </c>
      <c r="N115" s="199"/>
      <c r="O115" s="199"/>
      <c r="P115" s="43" t="n">
        <f aca="false">P114-Q114</f>
        <v>200</v>
      </c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198"/>
      <c r="N116" s="199"/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265" t="s">
        <v>149</v>
      </c>
      <c r="N117" s="266"/>
      <c r="O117" s="266"/>
      <c r="P117" s="266"/>
      <c r="Q117" s="31" t="n">
        <f aca="false">P99</f>
        <v>0</v>
      </c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239.99</v>
      </c>
      <c r="F118" s="67"/>
      <c r="G118" s="198" t="s">
        <v>66</v>
      </c>
      <c r="H118" s="199"/>
      <c r="I118" s="199"/>
      <c r="J118" s="199"/>
      <c r="K118" s="37" t="n">
        <f aca="false">G102</f>
        <v>199.99</v>
      </c>
      <c r="L118" s="67"/>
      <c r="M118" s="198" t="s">
        <v>66</v>
      </c>
      <c r="N118" s="199"/>
      <c r="O118" s="199"/>
      <c r="P118" s="199"/>
      <c r="Q118" s="37" t="n">
        <f aca="false">M102</f>
        <v>199.99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((E118)+E117)-E114</f>
        <v>1239.99</v>
      </c>
      <c r="F119" s="67"/>
      <c r="G119" s="287" t="s">
        <v>302</v>
      </c>
      <c r="H119" s="263"/>
      <c r="I119" s="263"/>
      <c r="J119" s="263"/>
      <c r="K119" s="69" t="n">
        <f aca="false">((K118/1.2)+K117)-(J115-K113)</f>
        <v>166.658333333333</v>
      </c>
      <c r="L119" s="67"/>
      <c r="M119" s="287" t="s">
        <v>302</v>
      </c>
      <c r="N119" s="263"/>
      <c r="O119" s="263"/>
      <c r="P119" s="263"/>
      <c r="Q119" s="69" t="n">
        <f aca="false">(Q118+Q117)-P115</f>
        <v>-0.00999999999999091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198"/>
      <c r="N120" s="199"/>
      <c r="O120" s="199"/>
      <c r="P120" s="199"/>
      <c r="Q120" s="200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198"/>
      <c r="N121" s="199"/>
      <c r="O121" s="199"/>
      <c r="P121" s="199"/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201" t="s">
        <v>303</v>
      </c>
      <c r="N122" s="201"/>
      <c r="O122" s="201"/>
      <c r="P122" s="201"/>
      <c r="Q122" s="201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198"/>
      <c r="N123" s="199"/>
      <c r="O123" s="199"/>
      <c r="P123" s="199"/>
      <c r="Q123" s="200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198" t="s">
        <v>194</v>
      </c>
      <c r="N124" s="162" t="n">
        <v>0</v>
      </c>
      <c r="O124" s="162"/>
      <c r="P124" s="199"/>
      <c r="Q124" s="200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35</v>
      </c>
      <c r="C125" s="294"/>
      <c r="D125" s="293" t="n">
        <f aca="false">B160</f>
        <v>35000</v>
      </c>
      <c r="E125" s="291"/>
      <c r="F125" s="67"/>
      <c r="G125" s="198"/>
      <c r="H125" s="199"/>
      <c r="I125" s="199"/>
      <c r="J125" s="199"/>
      <c r="K125" s="200"/>
      <c r="L125" s="67"/>
      <c r="M125" s="198"/>
      <c r="N125" s="199"/>
      <c r="O125" s="199"/>
      <c r="P125" s="199"/>
      <c r="Q125" s="200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296" t="s">
        <v>306</v>
      </c>
      <c r="H126" s="297" t="s">
        <v>307</v>
      </c>
      <c r="I126" s="297"/>
      <c r="J126" s="297" t="s">
        <v>308</v>
      </c>
      <c r="K126" s="200"/>
      <c r="L126" s="67"/>
      <c r="M126" s="296" t="s">
        <v>354</v>
      </c>
      <c r="N126" s="297" t="s">
        <v>262</v>
      </c>
      <c r="O126" s="297"/>
      <c r="P126" s="297" t="s">
        <v>132</v>
      </c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300" t="n">
        <f aca="false">H90</f>
        <v>639.05587965722</v>
      </c>
      <c r="H127" s="166" t="n">
        <f aca="false">IF(G105="YES",H89*H57,0)</f>
        <v>0</v>
      </c>
      <c r="I127" s="166"/>
      <c r="J127" s="301" t="n">
        <f aca="false">H91</f>
        <v>639.05587965722</v>
      </c>
      <c r="K127" s="200"/>
      <c r="L127" s="67"/>
      <c r="M127" s="300" t="n">
        <f aca="false">N90</f>
        <v>524.973289777346</v>
      </c>
      <c r="N127" s="166" t="n">
        <f aca="false">IF(M105="YES",N89*N57,0)</f>
        <v>0</v>
      </c>
      <c r="O127" s="166"/>
      <c r="P127" s="166" t="n">
        <f aca="false">N91</f>
        <v>524.973289777346</v>
      </c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1107.46011413784</v>
      </c>
      <c r="B128" s="290" t="n">
        <f aca="false">IF(A105="YES",B89,0)</f>
        <v>0</v>
      </c>
      <c r="C128" s="294"/>
      <c r="D128" s="290" t="n">
        <f aca="false">B91</f>
        <v>1107.46011413784</v>
      </c>
      <c r="E128" s="291"/>
      <c r="F128" s="67"/>
      <c r="G128" s="198"/>
      <c r="H128" s="199"/>
      <c r="I128" s="199"/>
      <c r="J128" s="199"/>
      <c r="K128" s="200"/>
      <c r="L128" s="67"/>
      <c r="M128" s="198"/>
      <c r="N128" s="199"/>
      <c r="O128" s="199"/>
      <c r="P128" s="199"/>
      <c r="Q128" s="200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 t="s">
        <v>95</v>
      </c>
      <c r="H129" s="199" t="s">
        <v>96</v>
      </c>
      <c r="I129" s="199"/>
      <c r="J129" s="199" t="s">
        <v>98</v>
      </c>
      <c r="K129" s="200"/>
      <c r="L129" s="67"/>
      <c r="M129" s="198" t="s">
        <v>95</v>
      </c>
      <c r="N129" s="199" t="s">
        <v>96</v>
      </c>
      <c r="O129" s="199"/>
      <c r="P129" s="199" t="s">
        <v>98</v>
      </c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213" t="n">
        <f aca="false">G152</f>
        <v>35</v>
      </c>
      <c r="H130" s="168" t="n">
        <f aca="false">B151</f>
        <v>0</v>
      </c>
      <c r="I130" s="215"/>
      <c r="J130" s="214" t="n">
        <f aca="false">B58</f>
        <v>34</v>
      </c>
      <c r="K130" s="200"/>
      <c r="L130" s="67"/>
      <c r="M130" s="213" t="n">
        <f aca="false">M155</f>
        <v>35</v>
      </c>
      <c r="N130" s="168" t="n">
        <f aca="false">B151</f>
        <v>0</v>
      </c>
      <c r="O130" s="215"/>
      <c r="P130" s="214" t="n">
        <f aca="false">B58</f>
        <v>34</v>
      </c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1107.46011413784</v>
      </c>
      <c r="C131" s="199"/>
      <c r="D131" s="42" t="n">
        <f aca="false">IF(A105="YES",B89*B57,0)</f>
        <v>0</v>
      </c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198" t="s">
        <v>355</v>
      </c>
      <c r="N132" s="199" t="s">
        <v>252</v>
      </c>
      <c r="O132" s="199"/>
      <c r="P132" s="199" t="s">
        <v>256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3834.33527794332</v>
      </c>
      <c r="H133" s="42" t="n">
        <f aca="false">IF(G105="YES",H89*H57,0)</f>
        <v>0</v>
      </c>
      <c r="I133" s="205"/>
      <c r="J133" s="170" t="n">
        <f aca="false">H91*H57</f>
        <v>3834.33527794332</v>
      </c>
      <c r="K133" s="200"/>
      <c r="L133" s="67"/>
      <c r="M133" s="171" t="n">
        <f aca="false">N90*N57</f>
        <v>3149.83973866408</v>
      </c>
      <c r="N133" s="42" t="n">
        <f aca="false">IF(M105="YES",N89*N57,0)</f>
        <v>0</v>
      </c>
      <c r="O133" s="205"/>
      <c r="P133" s="170" t="n">
        <f aca="false">N91*N57</f>
        <v>3149.83973866408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1107.46011413784</v>
      </c>
      <c r="B134" s="42" t="n">
        <f aca="false">E114</f>
        <v>0</v>
      </c>
      <c r="C134" s="199"/>
      <c r="D134" s="303" t="n">
        <f aca="false">B58</f>
        <v>34</v>
      </c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198" t="s">
        <v>264</v>
      </c>
      <c r="N135" s="199" t="s">
        <v>265</v>
      </c>
      <c r="O135" s="199"/>
      <c r="P135" s="199" t="s">
        <v>269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113" t="n">
        <f aca="false">E15*0.000006</f>
        <v>0</v>
      </c>
      <c r="N136" s="42" t="n">
        <f aca="false">IF(M105="YES",E15*0.000002,0)</f>
        <v>0</v>
      </c>
      <c r="O136" s="42"/>
      <c r="P136" s="42" t="n">
        <f aca="false">M136+N136</f>
        <v>0</v>
      </c>
      <c r="Q136" s="10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1107.46011413784</v>
      </c>
      <c r="B137" s="42" t="n">
        <f aca="false">IF(A105="YES",B89,0)</f>
        <v>0</v>
      </c>
      <c r="C137" s="199"/>
      <c r="D137" s="42" t="n">
        <f aca="false">B91</f>
        <v>1107.46011413784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198" t="s">
        <v>152</v>
      </c>
      <c r="N138" s="199" t="s">
        <v>320</v>
      </c>
      <c r="O138" s="199"/>
      <c r="P138" s="199" t="s">
        <v>321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199.99</v>
      </c>
      <c r="H139" s="42" t="n">
        <f aca="false">H67</f>
        <v>0</v>
      </c>
      <c r="I139" s="42"/>
      <c r="J139" s="42" t="n">
        <f aca="false">H102*0.9</f>
        <v>0</v>
      </c>
      <c r="K139" s="107"/>
      <c r="L139" s="67"/>
      <c r="M139" s="113" t="n">
        <f aca="false">M102</f>
        <v>199.99</v>
      </c>
      <c r="N139" s="42" t="n">
        <f aca="false">N67</f>
        <v>0</v>
      </c>
      <c r="O139" s="42"/>
      <c r="P139" s="42" t="n">
        <f aca="false">N102*0.9</f>
        <v>0</v>
      </c>
      <c r="Q139" s="10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(B61*0.000006)*1.2*100</f>
        <v>26.93088</v>
      </c>
      <c r="B140" s="309" t="n">
        <f aca="false">IF(A105="YES",B61*0.000002,0)*1.2*100</f>
        <v>8.97696</v>
      </c>
      <c r="C140" s="310"/>
      <c r="D140" s="309" t="n">
        <f aca="false">A140+B140</f>
        <v>35.90784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198" t="s">
        <v>323</v>
      </c>
      <c r="N141" s="199" t="s">
        <v>324</v>
      </c>
      <c r="O141" s="199"/>
      <c r="P141" s="199" t="s">
        <v>325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IF(G105="YES",((B36*H105)*0.1)*(G130),0)</f>
        <v>0</v>
      </c>
      <c r="H142" s="42" t="n">
        <f aca="false">G102-100</f>
        <v>99.99</v>
      </c>
      <c r="I142" s="42"/>
      <c r="J142" s="42" t="e">
        <f aca="false">(H139+J139+G142+H142)-H145</f>
        <v>#DIV/0!</v>
      </c>
      <c r="K142" s="107"/>
      <c r="L142" s="67"/>
      <c r="M142" s="113" t="n">
        <f aca="false">IF(M105="YES",((B36*N105)*0.1)*(M130),0)</f>
        <v>0</v>
      </c>
      <c r="N142" s="42" t="n">
        <f aca="false">M102-100</f>
        <v>99.99</v>
      </c>
      <c r="O142" s="42"/>
      <c r="P142" s="42" t="e">
        <f aca="false">(N139+P139+M142+N142)-N145</f>
        <v>#DIV/0!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239.99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198" t="s">
        <v>327</v>
      </c>
      <c r="N144" s="199" t="s">
        <v>328</v>
      </c>
      <c r="O144" s="199"/>
      <c r="P144" s="199"/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v>0</v>
      </c>
      <c r="H145" s="42" t="e">
        <f aca="false">(H139+J139+G142+H142)*(G145/H64)</f>
        <v>#DIV/0!</v>
      </c>
      <c r="I145" s="199"/>
      <c r="J145" s="199"/>
      <c r="K145" s="200"/>
      <c r="L145" s="67"/>
      <c r="M145" s="113" t="n">
        <v>0</v>
      </c>
      <c r="N145" s="42" t="e">
        <f aca="false">(N139+P139+M142+N142)*(M145/N64)</f>
        <v>#DIV/0!</v>
      </c>
      <c r="O145" s="199"/>
      <c r="P145" s="199"/>
      <c r="Q145" s="200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113"/>
      <c r="N146" s="42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4" t="s">
        <v>356</v>
      </c>
      <c r="N147" s="43" t="s">
        <v>357</v>
      </c>
      <c r="O147" s="199"/>
      <c r="P147" s="199"/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IF(A105="YES",(B40*B105)*B125,0)*0.1</f>
        <v>0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348" t="n">
        <v>18000</v>
      </c>
      <c r="N148" s="349" t="n">
        <v>0.99</v>
      </c>
      <c r="O148" s="349"/>
      <c r="P148" s="199"/>
      <c r="Q148" s="200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198"/>
      <c r="N150" s="199"/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700</v>
      </c>
      <c r="E151" s="107"/>
      <c r="F151" s="67"/>
      <c r="G151" s="233"/>
      <c r="H151" s="235" t="n">
        <f aca="false">B51</f>
        <v>35000</v>
      </c>
      <c r="I151" s="235"/>
      <c r="J151" s="199"/>
      <c r="K151" s="200"/>
      <c r="L151" s="67"/>
      <c r="M151" s="258" t="s">
        <v>333</v>
      </c>
      <c r="N151" s="199"/>
      <c r="O151" s="199"/>
      <c r="P151" s="259"/>
      <c r="Q151" s="26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35</v>
      </c>
      <c r="H152" s="78" t="n">
        <f aca="false">H91</f>
        <v>639.05587965722</v>
      </c>
      <c r="I152" s="78"/>
      <c r="J152" s="199"/>
      <c r="K152" s="200"/>
      <c r="L152" s="67"/>
      <c r="M152" s="198"/>
      <c r="N152" s="232"/>
      <c r="O152" s="232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233" t="s">
        <v>95</v>
      </c>
      <c r="N153" s="234" t="s">
        <v>96</v>
      </c>
      <c r="O153" s="234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233"/>
      <c r="N154" s="235" t="n">
        <f aca="false">B51</f>
        <v>35000</v>
      </c>
      <c r="O154" s="235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237" t="n">
        <f aca="false">A52</f>
        <v>35</v>
      </c>
      <c r="N155" s="78" t="n">
        <f aca="false">N91</f>
        <v>524.973289777346</v>
      </c>
      <c r="O155" s="78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198"/>
      <c r="N157" s="199"/>
      <c r="O157" s="199"/>
      <c r="P157" s="199"/>
      <c r="Q157" s="20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198"/>
      <c r="N158" s="199"/>
      <c r="O158" s="199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198"/>
      <c r="N159" s="199"/>
      <c r="O159" s="199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35000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198"/>
      <c r="N160" s="199"/>
      <c r="O160" s="199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35</v>
      </c>
      <c r="B161" s="78" t="n">
        <f aca="false">B91</f>
        <v>1107.46011413784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198"/>
      <c r="N161" s="199"/>
      <c r="O161" s="199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262"/>
      <c r="N162" s="263"/>
      <c r="O162" s="263"/>
      <c r="P162" s="263"/>
      <c r="Q162" s="264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198"/>
      <c r="B165" s="199"/>
      <c r="C165" s="199"/>
      <c r="D165" s="199"/>
      <c r="E165" s="200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62"/>
      <c r="B166" s="263"/>
      <c r="C166" s="263"/>
      <c r="D166" s="263"/>
      <c r="E166" s="264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293" t="n">
        <f aca="false">A161</f>
        <v>35</v>
      </c>
      <c r="C174" s="294"/>
      <c r="D174" s="293" t="n">
        <f aca="false">D125</f>
        <v>35000</v>
      </c>
      <c r="E174" s="291"/>
      <c r="F174" s="67"/>
      <c r="G174" s="67" t="s">
        <v>389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B90</f>
        <v>1107.46011413784</v>
      </c>
      <c r="B177" s="290" t="n">
        <f aca="false">IF(A105="YES",B89,0)</f>
        <v>0</v>
      </c>
      <c r="C177" s="294"/>
      <c r="D177" s="290" t="n">
        <f aca="false">B91</f>
        <v>1107.46011413784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B99</f>
        <v> Monthly in advance </v>
      </c>
      <c r="B180" s="42" t="n">
        <f aca="false">B90*B57</f>
        <v>1107.46011413784</v>
      </c>
      <c r="C180" s="199"/>
      <c r="D180" s="42" t="n">
        <f aca="false">IF(A105="YES",B89*B57,0)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B91*B57</f>
        <v>1107.46011413784</v>
      </c>
      <c r="B183" s="42" t="n">
        <f aca="false">E114</f>
        <v>0</v>
      </c>
      <c r="C183" s="199"/>
      <c r="D183" s="303" t="n">
        <f aca="false">B58</f>
        <v>34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B90</f>
        <v>1107.46011413784</v>
      </c>
      <c r="B186" s="42" t="n">
        <f aca="false">IF(A105="YES",B89,0)</f>
        <v>0</v>
      </c>
      <c r="C186" s="199"/>
      <c r="D186" s="42" t="n">
        <f aca="false">B91</f>
        <v>1107.46011413784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A140</f>
        <v>26.93088</v>
      </c>
      <c r="B189" s="309" t="n">
        <f aca="false">B140</f>
        <v>8.97696</v>
      </c>
      <c r="C189" s="310"/>
      <c r="D189" s="309" t="n">
        <f aca="false">A189+B189</f>
        <v>35.90784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E118</f>
        <v>239.99</v>
      </c>
      <c r="C192" s="199"/>
      <c r="D192" s="142" t="n">
        <f aca="false">B102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B67</f>
        <v>250</v>
      </c>
      <c r="B197" s="42" t="n">
        <f aca="false">B102</f>
        <v>400</v>
      </c>
      <c r="C197" s="42"/>
      <c r="D197" s="42" t="n">
        <f aca="false">IF(A105="YES",(B40*B105)*B125,0)*0.1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A151</f>
        <v>250</v>
      </c>
      <c r="B200" s="42" t="n">
        <f aca="false">(A148+B148+D148+A151)*(A143/B64)</f>
        <v>0</v>
      </c>
      <c r="C200" s="42"/>
      <c r="D200" s="42" t="n">
        <f aca="false">D151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D102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0.095</v>
      </c>
      <c r="C209" s="290" t="s">
        <v>228</v>
      </c>
      <c r="D209" s="320" t="n">
        <f aca="false">D64</f>
        <v>10000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10260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D64</f>
        <v>10000</v>
      </c>
      <c r="C217" s="223" t="s">
        <v>234</v>
      </c>
      <c r="D217" s="199"/>
      <c r="E217" s="270" t="n">
        <f aca="false">B66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B67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(B77-(B77*(E219)))*J15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B78-(B78*(E219))</f>
        <v>200</v>
      </c>
      <c r="C223" s="205" t="s">
        <v>231</v>
      </c>
      <c r="D223" s="199"/>
      <c r="E223" s="37" t="n">
        <f aca="false">(B217-B211+D211)</f>
        <v>10260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B71</f>
        <v>160</v>
      </c>
      <c r="C229" s="205" t="s">
        <v>239</v>
      </c>
      <c r="D229" s="312"/>
      <c r="E229" s="140" t="n">
        <f aca="false">B72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D73</f>
        <v>317.5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B68</f>
        <v>0.0075</v>
      </c>
      <c r="C231" s="205" t="s">
        <v>242</v>
      </c>
      <c r="D231" s="312"/>
      <c r="E231" s="270" t="n">
        <f aca="false">B69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B86</f>
        <v>278.996492420656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B79</f>
        <v>300</v>
      </c>
      <c r="C233" s="327" t="s">
        <v>340</v>
      </c>
      <c r="D233" s="328"/>
      <c r="E233" s="140" t="n">
        <f aca="false">B74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B80</f>
        <v>100</v>
      </c>
      <c r="C235" s="331" t="s">
        <v>341</v>
      </c>
      <c r="D235" s="331"/>
      <c r="E235" s="140" t="n">
        <f aca="false">B75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64">
    <mergeCell ref="A1:F1"/>
    <mergeCell ref="D7:E18"/>
    <mergeCell ref="A16:C18"/>
    <mergeCell ref="A19:D19"/>
    <mergeCell ref="A21:D21"/>
    <mergeCell ref="A24:E24"/>
    <mergeCell ref="A28:E28"/>
    <mergeCell ref="B30:C30"/>
    <mergeCell ref="G38:H38"/>
    <mergeCell ref="B40:C40"/>
    <mergeCell ref="C44:D44"/>
    <mergeCell ref="C45:D45"/>
    <mergeCell ref="A50:A51"/>
    <mergeCell ref="B50:C50"/>
    <mergeCell ref="B51:C51"/>
    <mergeCell ref="B52:C52"/>
    <mergeCell ref="A94:E94"/>
    <mergeCell ref="G94:K94"/>
    <mergeCell ref="M94:Q94"/>
    <mergeCell ref="A96:E96"/>
    <mergeCell ref="G96:K96"/>
    <mergeCell ref="M96:Q96"/>
    <mergeCell ref="B97:C97"/>
    <mergeCell ref="B99:C99"/>
    <mergeCell ref="D99:E99"/>
    <mergeCell ref="H99:I99"/>
    <mergeCell ref="J99:K99"/>
    <mergeCell ref="N99:O99"/>
    <mergeCell ref="P99:Q99"/>
    <mergeCell ref="B102:C102"/>
    <mergeCell ref="D102:E102"/>
    <mergeCell ref="H102:I102"/>
    <mergeCell ref="J102:K102"/>
    <mergeCell ref="N102:O102"/>
    <mergeCell ref="P102:Q102"/>
    <mergeCell ref="B105:C105"/>
    <mergeCell ref="D105:E105"/>
    <mergeCell ref="H105:I105"/>
    <mergeCell ref="J105:K105"/>
    <mergeCell ref="N105:O105"/>
    <mergeCell ref="P105:Q105"/>
    <mergeCell ref="A108:E108"/>
    <mergeCell ref="G108:K108"/>
    <mergeCell ref="M108:Q108"/>
    <mergeCell ref="A122:E122"/>
    <mergeCell ref="G122:K122"/>
    <mergeCell ref="M122:Q122"/>
    <mergeCell ref="H124:I124"/>
    <mergeCell ref="N124:O124"/>
    <mergeCell ref="N148:O148"/>
    <mergeCell ref="G150:G151"/>
    <mergeCell ref="H150:I150"/>
    <mergeCell ref="H151:I151"/>
    <mergeCell ref="H152:I152"/>
    <mergeCell ref="M153:M154"/>
    <mergeCell ref="N153:O153"/>
    <mergeCell ref="N154:O154"/>
    <mergeCell ref="N155:O155"/>
    <mergeCell ref="A159:A160"/>
    <mergeCell ref="B159:C159"/>
    <mergeCell ref="B160:C160"/>
    <mergeCell ref="B161:C161"/>
    <mergeCell ref="A171:E171"/>
    <mergeCell ref="A207:E207"/>
  </mergeCells>
  <dataValidations count="3">
    <dataValidation allowBlank="true" errorStyle="stop" operator="between" showDropDown="false" showErrorMessage="true" showInputMessage="false" sqref="H99 N99 G105 M105 O107 H110 N110" type="list">
      <formula1>#ref!</formula1>
      <formula2>0</formula2>
    </dataValidation>
    <dataValidation allowBlank="true" errorStyle="stop" operator="between" showDropDown="false" showErrorMessage="true" showInputMessage="false" sqref="B26 A105 B110" type="list">
      <formula1>'Formula1-BCH'!$I$3:$I$4</formula1>
      <formula2>0</formula2>
    </dataValidation>
    <dataValidation allowBlank="true" errorStyle="stop" operator="between" showDropDown="false" showErrorMessage="true" showInputMessage="false" sqref="B99" type="list">
      <formula1>'Formula1-BCH'!$Y$97:$Y$105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2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B223" activeCellId="0" sqref="B223"/>
    </sheetView>
  </sheetViews>
  <sheetFormatPr defaultColWidth="10.87890625" defaultRowHeight="14.25" customHeight="true" zeroHeight="false" outlineLevelRow="0" outlineLevelCol="0"/>
  <cols>
    <col min="1" max="1" customWidth="true" hidden="false" style="1" width="56.0" collapsed="false" outlineLevel="0"/>
    <col min="2" max="2" customWidth="true" hidden="false" style="1" width="18.12" collapsed="false" outlineLevel="0"/>
    <col min="3" max="3" customWidth="true" hidden="false" style="1" width="25.12" collapsed="false" outlineLevel="0"/>
    <col min="4" max="4" customWidth="true" hidden="false" style="1" width="18.12" collapsed="false" outlineLevel="0"/>
    <col min="5" max="5" customWidth="true" hidden="false" style="1" width="24.0" collapsed="false" outlineLevel="0"/>
    <col min="7" max="7" customWidth="true" hidden="false" style="1" width="53.5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8.25" hidden="false" customHeight="true" outlineLevel="0" collapsed="false">
      <c r="A1" s="243" t="s">
        <v>14</v>
      </c>
      <c r="B1" s="243"/>
      <c r="C1" s="243"/>
      <c r="D1" s="243"/>
      <c r="E1" s="243"/>
      <c r="F1" s="243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9" t="s">
        <v>15</v>
      </c>
      <c r="B2" s="10" t="n">
        <f aca="false">B9+B11</f>
        <v>17500</v>
      </c>
      <c r="C2" s="9" t="s">
        <v>16</v>
      </c>
      <c r="D2" s="10" t="n">
        <f aca="false">C9</f>
        <v>3500</v>
      </c>
      <c r="E2" s="9" t="s">
        <v>17</v>
      </c>
      <c r="F2" s="11" t="n">
        <f aca="false">B13</f>
        <v>0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244"/>
      <c r="B3" s="245"/>
      <c r="C3" s="245"/>
      <c r="D3" s="245"/>
      <c r="E3" s="245"/>
      <c r="F3" s="246" t="s">
        <v>10</v>
      </c>
      <c r="G3" s="67" t="n">
        <v>25000</v>
      </c>
      <c r="H3" s="67"/>
      <c r="I3" s="67" t="s">
        <v>31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9" t="s">
        <v>18</v>
      </c>
      <c r="B4" s="10" t="n">
        <f aca="false">B15+C15</f>
        <v>21000</v>
      </c>
      <c r="C4" s="247"/>
      <c r="D4" s="247"/>
      <c r="E4" s="247"/>
      <c r="F4" s="248" t="s">
        <v>10</v>
      </c>
      <c r="G4" s="67"/>
      <c r="H4" s="67"/>
      <c r="I4" s="67" t="s">
        <v>32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5" t="s">
        <v>19</v>
      </c>
      <c r="B7" s="15" t="s">
        <v>20</v>
      </c>
      <c r="C7" s="15" t="s">
        <v>16</v>
      </c>
      <c r="D7" s="249"/>
      <c r="E7" s="249"/>
      <c r="F7" s="67"/>
      <c r="G7" s="364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7.35" hidden="false" customHeight="false" outlineLevel="0" collapsed="false">
      <c r="A8" s="250"/>
      <c r="B8" s="67"/>
      <c r="C8" s="67"/>
      <c r="D8" s="249"/>
      <c r="E8" s="249"/>
      <c r="F8" s="67"/>
      <c r="G8" s="365" t="e">
        <f aca="false">G9*100/B3</f>
        <v>#DIV/0!</v>
      </c>
      <c r="H8" s="67"/>
      <c r="I8" s="18" t="s">
        <v>17</v>
      </c>
      <c r="J8" s="14" t="n">
        <f aca="false">E13+E14</f>
        <v>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15" t="s">
        <v>21</v>
      </c>
      <c r="B9" s="19" t="n">
        <v>17708.33</v>
      </c>
      <c r="C9" s="14" t="n">
        <f aca="false">B9*0.2</f>
        <v>3500</v>
      </c>
      <c r="D9" s="249"/>
      <c r="E9" s="249"/>
      <c r="F9" s="67"/>
      <c r="G9" s="364" t="n">
        <f aca="false">E9-G11</f>
        <v>-152558.333333333</v>
      </c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251"/>
      <c r="B10" s="67"/>
      <c r="C10" s="67"/>
      <c r="D10" s="249"/>
      <c r="E10" s="249"/>
      <c r="F10" s="67"/>
      <c r="G10" s="364"/>
      <c r="H10" s="67"/>
      <c r="I10" s="20" t="s">
        <v>15</v>
      </c>
      <c r="J10" s="14" t="n">
        <f aca="false">E15-E11-J8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15" t="s">
        <v>22</v>
      </c>
      <c r="B11" s="19" t="n">
        <v>0</v>
      </c>
      <c r="C11" s="19" t="n">
        <f aca="false">B11*0.2</f>
        <v>0</v>
      </c>
      <c r="D11" s="249"/>
      <c r="E11" s="249"/>
      <c r="F11" s="67"/>
      <c r="G11" s="364" t="n">
        <f aca="false">G13/1.2</f>
        <v>152558.333333333</v>
      </c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251"/>
      <c r="B12" s="67"/>
      <c r="C12" s="67"/>
      <c r="D12" s="249"/>
      <c r="E12" s="249"/>
      <c r="F12" s="67"/>
      <c r="G12" s="67"/>
      <c r="H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15" t="s">
        <v>23</v>
      </c>
      <c r="B13" s="19" t="n">
        <v>0</v>
      </c>
      <c r="C13" s="14"/>
      <c r="D13" s="249"/>
      <c r="E13" s="249"/>
      <c r="F13" s="67"/>
      <c r="G13" s="364" t="n">
        <f aca="false">G15-E14-E13-E12</f>
        <v>183070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251"/>
      <c r="B14" s="67"/>
      <c r="C14" s="67"/>
      <c r="D14" s="249"/>
      <c r="E14" s="249"/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15" t="s">
        <v>25</v>
      </c>
      <c r="B15" s="14" t="n">
        <f aca="false">SUM(B9:B13)</f>
        <v>17500</v>
      </c>
      <c r="C15" s="14" t="n">
        <f aca="false">SUM(C9:C13)</f>
        <v>3500</v>
      </c>
      <c r="D15" s="249"/>
      <c r="E15" s="249"/>
      <c r="F15" s="67"/>
      <c r="G15" s="21" t="n">
        <v>183070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252"/>
      <c r="B16" s="252"/>
      <c r="C16" s="252"/>
      <c r="D16" s="249"/>
      <c r="E16" s="249"/>
      <c r="F16" s="67"/>
      <c r="G16" s="366" t="n">
        <f aca="false">(B3+C3+E10)*1.2</f>
        <v>0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252"/>
      <c r="B17" s="252"/>
      <c r="C17" s="252"/>
      <c r="D17" s="249"/>
      <c r="E17" s="249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252"/>
      <c r="B18" s="252"/>
      <c r="C18" s="252"/>
      <c r="D18" s="249"/>
      <c r="E18" s="249"/>
      <c r="F18" s="67"/>
      <c r="G18" s="21" t="n">
        <f aca="false">(B3+C3+D3+E3+E10)*1.2</f>
        <v>0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26" t="s">
        <v>30</v>
      </c>
      <c r="B19" s="26"/>
      <c r="C19" s="26"/>
      <c r="D19" s="26"/>
      <c r="E19" s="14" t="n">
        <f aca="false">B4</f>
        <v>21000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254"/>
      <c r="B20" s="67"/>
      <c r="C20" s="67"/>
      <c r="D20" s="67"/>
      <c r="E20" s="255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21.75" hidden="false" customHeight="true" outlineLevel="0" collapsed="false">
      <c r="A21" s="26" t="s">
        <v>33</v>
      </c>
      <c r="B21" s="26"/>
      <c r="C21" s="26"/>
      <c r="D21" s="26"/>
      <c r="E21" s="14" t="n">
        <f aca="false">B15</f>
        <v>17500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364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4" t="s">
        <v>139</v>
      </c>
      <c r="B26" s="206" t="s">
        <v>31</v>
      </c>
      <c r="C26" s="199"/>
      <c r="D26" s="199"/>
      <c r="E26" s="200"/>
      <c r="F26" s="67"/>
      <c r="G26" s="202" t="s">
        <v>36</v>
      </c>
      <c r="H26" s="202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38</v>
      </c>
      <c r="H27" s="203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1" t="s">
        <v>193</v>
      </c>
      <c r="B28" s="201"/>
      <c r="C28" s="201"/>
      <c r="D28" s="201"/>
      <c r="E28" s="201"/>
      <c r="F28" s="67"/>
      <c r="G28" s="203" t="s">
        <v>40</v>
      </c>
      <c r="H28" s="203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198"/>
      <c r="B29" s="199"/>
      <c r="C29" s="199"/>
      <c r="D29" s="199"/>
      <c r="E29" s="200"/>
      <c r="F29" s="67"/>
      <c r="G29" s="202" t="s">
        <v>41</v>
      </c>
      <c r="H29" s="367" t="n">
        <v>24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 t="s">
        <v>194</v>
      </c>
      <c r="B30" s="162" t="s">
        <v>359</v>
      </c>
      <c r="C30" s="162"/>
      <c r="D30" s="199"/>
      <c r="E30" s="200"/>
      <c r="F30" s="67"/>
      <c r="G30" s="202" t="s">
        <v>45</v>
      </c>
      <c r="H30" s="367" t="n">
        <v>8000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198"/>
      <c r="B31" s="199"/>
      <c r="C31" s="199"/>
      <c r="D31" s="199"/>
      <c r="E31" s="200"/>
      <c r="F31" s="67"/>
      <c r="G31" s="202" t="s">
        <v>48</v>
      </c>
      <c r="H31" s="46" t="n">
        <v>66666.6666666667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98" t="s">
        <v>95</v>
      </c>
      <c r="B32" s="199" t="s">
        <v>96</v>
      </c>
      <c r="C32" s="199"/>
      <c r="D32" s="368" t="s">
        <v>365</v>
      </c>
      <c r="E32" s="200"/>
      <c r="F32" s="67"/>
      <c r="G32" s="202" t="s">
        <v>49</v>
      </c>
      <c r="I32" s="46" t="n">
        <v>4000</v>
      </c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31.5" hidden="false" customHeight="true" outlineLevel="0" collapsed="false">
      <c r="A33" s="213" t="n">
        <f aca="false">A52</f>
        <v>24</v>
      </c>
      <c r="B33" s="214" t="n">
        <v>10000</v>
      </c>
      <c r="C33" s="215"/>
      <c r="D33" s="369" t="n">
        <f aca="false">H48</f>
        <v>188.296509287446</v>
      </c>
      <c r="E33" s="200"/>
      <c r="F33" s="67"/>
      <c r="G33" s="203" t="s">
        <v>366</v>
      </c>
      <c r="H33" s="52" t="n">
        <f aca="false">E21-E11</f>
        <v>17500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198"/>
      <c r="B34" s="199"/>
      <c r="C34" s="199"/>
      <c r="D34" s="199"/>
      <c r="E34" s="200"/>
      <c r="F34" s="67"/>
      <c r="G34" s="67" t="s">
        <v>382</v>
      </c>
      <c r="H34" s="67" t="n">
        <f aca="false">H29</f>
        <v>24</v>
      </c>
      <c r="I34" s="67" t="n">
        <v>43957.29</v>
      </c>
      <c r="J34" s="67" t="n">
        <v>841.24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98" t="s">
        <v>367</v>
      </c>
      <c r="B35" s="199" t="s">
        <v>368</v>
      </c>
      <c r="C35" s="199"/>
      <c r="D35" s="199" t="s">
        <v>369</v>
      </c>
      <c r="E35" s="200"/>
      <c r="F35" s="67"/>
      <c r="G35" s="55" t="s">
        <v>59</v>
      </c>
      <c r="H35" s="218" t="n">
        <v>0.07</v>
      </c>
      <c r="I35" s="67" t="n">
        <v>46215.83</v>
      </c>
      <c r="J35" s="67" t="n">
        <v>909.69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71" t="n">
        <f aca="false">H47</f>
        <v>138.296509287446</v>
      </c>
      <c r="B36" s="42" t="n">
        <f aca="false">IF(B26="YES",H42,"")</f>
        <v>50</v>
      </c>
      <c r="C36" s="205"/>
      <c r="D36" s="170" t="n">
        <f aca="false">H31</f>
        <v>66666.6666666667</v>
      </c>
      <c r="E36" s="200"/>
      <c r="F36" s="67"/>
      <c r="G36" s="67"/>
      <c r="H36" s="67"/>
      <c r="I36" s="67" t="n">
        <f aca="false">I35-I34</f>
        <v>2258.54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113"/>
      <c r="B37" s="42"/>
      <c r="C37" s="205"/>
      <c r="D37" s="42"/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198"/>
      <c r="B38" s="199"/>
      <c r="C38" s="199"/>
      <c r="D38" s="199"/>
      <c r="E38" s="200"/>
      <c r="F38" s="67"/>
      <c r="G38" s="227" t="s">
        <v>65</v>
      </c>
      <c r="H38" s="22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198" t="s">
        <v>370</v>
      </c>
      <c r="B39" s="199" t="s">
        <v>371</v>
      </c>
      <c r="C39" s="199"/>
      <c r="D39" s="199" t="s">
        <v>372</v>
      </c>
      <c r="E39" s="200"/>
      <c r="F39" s="67"/>
      <c r="G39" s="67" t="s">
        <v>97</v>
      </c>
      <c r="H39" s="7" t="n">
        <f aca="false">H33</f>
        <v>17500</v>
      </c>
      <c r="I39" s="7" t="n">
        <f aca="false">(I48*H46)+H44</f>
        <v>44563.5177821916</v>
      </c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109" t="n">
        <f aca="false">D36*A45/100</f>
        <v>20000</v>
      </c>
      <c r="B40" s="109" t="n">
        <f aca="false">IF(B26="YES",H42,"0")</f>
        <v>50</v>
      </c>
      <c r="C40" s="109"/>
      <c r="D40" s="170" t="n">
        <f aca="false">I32</f>
        <v>4000</v>
      </c>
      <c r="E40" s="200"/>
      <c r="F40" s="67"/>
      <c r="G40" s="67" t="s">
        <v>119</v>
      </c>
      <c r="H40" s="7" t="n">
        <f aca="false">A40/1.2</f>
        <v>16666.6666666667</v>
      </c>
      <c r="I40" s="7" t="n">
        <f aca="false">H39-I39</f>
        <v>-27063.5177821916</v>
      </c>
      <c r="J40" s="67" t="n">
        <v>0</v>
      </c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98"/>
      <c r="B41" s="199"/>
      <c r="C41" s="199"/>
      <c r="D41" s="199"/>
      <c r="E41" s="200"/>
      <c r="F41" s="67"/>
      <c r="G41" s="67" t="s">
        <v>373</v>
      </c>
      <c r="H41" s="225" t="n">
        <f aca="false">H35/12</f>
        <v>0.00583333333333333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198"/>
      <c r="B42" s="199"/>
      <c r="C42" s="199"/>
      <c r="D42" s="199"/>
      <c r="E42" s="200"/>
      <c r="F42" s="67"/>
      <c r="G42" s="67" t="s">
        <v>374</v>
      </c>
      <c r="H42" s="7" t="n">
        <f aca="false">(I32/H34)*(C45/100)</f>
        <v>50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65"/>
      <c r="B43" s="266"/>
      <c r="C43" s="266"/>
      <c r="D43" s="266"/>
      <c r="E43" s="267"/>
      <c r="F43" s="67"/>
      <c r="G43" s="67" t="s">
        <v>375</v>
      </c>
      <c r="H43" s="67"/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370" t="s">
        <v>89</v>
      </c>
      <c r="B44" s="199"/>
      <c r="C44" s="371" t="s">
        <v>90</v>
      </c>
      <c r="D44" s="371"/>
      <c r="E44" s="200"/>
      <c r="F44" s="67"/>
      <c r="G44" s="67" t="s">
        <v>383</v>
      </c>
      <c r="H44" s="7" t="n">
        <f aca="false">(H40/(1+H41)^(H34+1))</f>
        <v>14411.1337327956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372" t="n">
        <v>30</v>
      </c>
      <c r="B45" s="199"/>
      <c r="C45" s="373" t="n">
        <v>30</v>
      </c>
      <c r="D45" s="373"/>
      <c r="E45" s="200"/>
      <c r="F45" s="67"/>
      <c r="G45" s="67" t="s">
        <v>384</v>
      </c>
      <c r="H45" s="7" t="n">
        <f aca="false">(H39-H44)</f>
        <v>3088.86626720439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62"/>
      <c r="B46" s="263"/>
      <c r="C46" s="263"/>
      <c r="D46" s="263"/>
      <c r="E46" s="264"/>
      <c r="F46" s="67"/>
      <c r="G46" s="67" t="s">
        <v>385</v>
      </c>
      <c r="H46" s="7" t="n">
        <f aca="false">((1-(1/((1+H41)^H34)))/H41)</f>
        <v>22.3350992958489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98"/>
      <c r="B47" s="199"/>
      <c r="C47" s="199"/>
      <c r="D47" s="199"/>
      <c r="E47" s="200"/>
      <c r="F47" s="67"/>
      <c r="G47" s="67" t="s">
        <v>379</v>
      </c>
      <c r="H47" s="7" t="n">
        <f aca="false">H45/H46</f>
        <v>138.296509287446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374" t="s">
        <v>380</v>
      </c>
      <c r="H48" s="7" t="n">
        <f aca="false">IF(B26="YES",H47+H42,H47)</f>
        <v>188.296509287446</v>
      </c>
      <c r="I48" s="7" t="n">
        <f aca="false">I49-H42</f>
        <v>1350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 t="s">
        <v>381</v>
      </c>
      <c r="H49" s="261"/>
      <c r="I49" s="7" t="n">
        <v>1400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8000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24</v>
      </c>
      <c r="B52" s="78" t="n">
        <f aca="false">H48</f>
        <v>188.296509287446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199"/>
      <c r="N55" s="199"/>
      <c r="O55" s="199"/>
      <c r="P55" s="199"/>
      <c r="Q55" s="199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265"/>
      <c r="N56" s="266"/>
      <c r="O56" s="266"/>
      <c r="P56" s="266"/>
      <c r="Q56" s="2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IF(B99=Y97,1,IF(B99=Y98,1,IF(B99=Y99,3,IF(B99=Y100,6,IF(B99=Y101,9,IF(B99=Y102,12,IF(B99=Y103,3,IF(B99=Y104,6,IF(B99=Y105,9,0)))))))))</f>
        <v>1</v>
      </c>
      <c r="C57" s="199"/>
      <c r="D57" s="199"/>
      <c r="E57" s="200"/>
      <c r="F57" s="67"/>
      <c r="G57" s="198" t="s">
        <v>97</v>
      </c>
      <c r="H57" s="199" t="n">
        <f aca="false">IF(H99=Y97,1,IF(H99=Y98,1,IF(H99=Y99,3,IF(H99=Y100,6,IF(H99=Y101,9,IF(H99=Y102,12,IF(H99=Y103,3,IF(H99=Y104,6,IF(H99=Y105,9,0)))))))))</f>
        <v>6</v>
      </c>
      <c r="I57" s="199"/>
      <c r="J57" s="199"/>
      <c r="K57" s="200"/>
      <c r="L57" s="67"/>
      <c r="M57" s="198" t="s">
        <v>97</v>
      </c>
      <c r="N57" s="199" t="n">
        <f aca="false">IF(N99=Y97,1,IF(N99=Y98,1,IF(N99=Y99,3,IF(N99=Y100,6,IF(N99=Y101,9,IF(N99=Y102,12,IF(N99=Y103,3,IF(N99=Y104,6,IF(N99=Y105,9,0)))))))))</f>
        <v>6</v>
      </c>
      <c r="O57" s="199"/>
      <c r="P57" s="199"/>
      <c r="Q57" s="200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IF(B99=Y97,H29-B57,IF(B99=Y98,H29-B57,IF(B99=Y99,H29-1,IF(B99=Y100,H29-1,IF(B99=Y101,H29-1,IF(B99=Y102,H29-1,IF(B99=Y103,H29-B57,IF(B99=Y104,H29-B57,IF(B99=Y105,H29-B57,0)))))))))</f>
        <v>23</v>
      </c>
      <c r="C58" s="199"/>
      <c r="D58" s="199"/>
      <c r="E58" s="200"/>
      <c r="F58" s="67"/>
      <c r="G58" s="198" t="s">
        <v>98</v>
      </c>
      <c r="H58" s="199" t="n">
        <f aca="false">IF(H99=Y97,H29-H57,IF(H99=Y98,H29-H57,IF(H99=Y99,H29-1,IF(H99=Y100,H29-1,IF(H99=Y101,H29-1,IF(H99=Y102,H29-1,IF(H99=Y103,H29-H57,IF(H99=Y104,H29-H57,IF(H99=Y105,H29-H57,0)))))))))</f>
        <v>23</v>
      </c>
      <c r="I58" s="199"/>
      <c r="J58" s="199"/>
      <c r="K58" s="200"/>
      <c r="L58" s="67"/>
      <c r="M58" s="198" t="s">
        <v>98</v>
      </c>
      <c r="N58" s="199" t="n">
        <f aca="false">IF(N99=Y97,H29-N57,IF(N99=Y98,H29-N57,IF(N99=Y99,H29-1,IF(N99=Y100,H29-1,IF(N99=Y101,H29-1,IF(N99=Y102,H29-1,IF(N99=Y103,H29-N57,IF(N99=Y104,H29-N57,IF(N99=Y105,H29-N57,0)))))))))</f>
        <v>23</v>
      </c>
      <c r="O58" s="199"/>
      <c r="P58" s="199"/>
      <c r="Q58" s="200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198"/>
      <c r="N59" s="199"/>
      <c r="O59" s="199"/>
      <c r="P59" s="199"/>
      <c r="Q59" s="200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 t="s">
        <v>386</v>
      </c>
      <c r="B60" s="199" t="n">
        <f aca="false">E19</f>
        <v>21000</v>
      </c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198"/>
      <c r="N60" s="199"/>
      <c r="O60" s="199"/>
      <c r="P60" s="199"/>
      <c r="Q60" s="200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v>37405</v>
      </c>
      <c r="C61" s="199"/>
      <c r="D61" s="199"/>
      <c r="E61" s="200"/>
      <c r="F61" s="67"/>
      <c r="G61" s="198" t="s">
        <v>27</v>
      </c>
      <c r="H61" s="36" t="n">
        <f aca="false">G18</f>
        <v>0</v>
      </c>
      <c r="I61" s="199"/>
      <c r="J61" s="199"/>
      <c r="K61" s="200"/>
      <c r="L61" s="67"/>
      <c r="M61" s="198" t="s">
        <v>27</v>
      </c>
      <c r="N61" s="36" t="n">
        <f aca="false">G18</f>
        <v>0</v>
      </c>
      <c r="O61" s="199"/>
      <c r="P61" s="199"/>
      <c r="Q61" s="200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268" t="s">
        <v>287</v>
      </c>
      <c r="N62" s="269" t="n">
        <v>0.07</v>
      </c>
      <c r="O62" s="199"/>
      <c r="P62" s="199"/>
      <c r="Q62" s="200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0.0875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0.0875</v>
      </c>
      <c r="I63" s="199"/>
      <c r="J63" s="199"/>
      <c r="K63" s="200"/>
      <c r="L63" s="67"/>
      <c r="M63" s="198" t="s">
        <v>288</v>
      </c>
      <c r="N63" s="270" t="n">
        <f aca="false">N62+(N62*0.25*(H29/12-1))</f>
        <v>0.0875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C64</f>
        <v>10000</v>
      </c>
      <c r="C64" s="375" t="n">
        <v>10000</v>
      </c>
      <c r="D64" s="36" t="n">
        <f aca="false">B64</f>
        <v>10000</v>
      </c>
      <c r="E64" s="376" t="n">
        <f aca="false">D64/(B58+B57)</f>
        <v>416.666666666667</v>
      </c>
      <c r="F64" s="67"/>
      <c r="G64" s="262" t="s">
        <v>103</v>
      </c>
      <c r="H64" s="69" t="n">
        <f aca="false">H61*H63</f>
        <v>0</v>
      </c>
      <c r="I64" s="199"/>
      <c r="J64" s="36" t="n">
        <f aca="false">H64-G145</f>
        <v>0</v>
      </c>
      <c r="K64" s="200"/>
      <c r="L64" s="67"/>
      <c r="M64" s="262" t="s">
        <v>103</v>
      </c>
      <c r="N64" s="69" t="n">
        <f aca="false">N61*N63</f>
        <v>0</v>
      </c>
      <c r="O64" s="199"/>
      <c r="P64" s="36" t="n">
        <f aca="false">N64-M145</f>
        <v>0</v>
      </c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36"/>
      <c r="E65" s="200"/>
      <c r="F65" s="67"/>
      <c r="G65" s="268" t="s">
        <v>104</v>
      </c>
      <c r="H65" s="269" t="n">
        <v>0.01</v>
      </c>
      <c r="I65" s="199"/>
      <c r="J65" s="199"/>
      <c r="K65" s="200"/>
      <c r="L65" s="67"/>
      <c r="M65" s="268" t="s">
        <v>104</v>
      </c>
      <c r="N65" s="269" t="n">
        <v>0.01</v>
      </c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377" t="s">
        <v>234</v>
      </c>
      <c r="D66" s="199"/>
      <c r="E66" s="200"/>
      <c r="F66" s="67"/>
      <c r="G66" s="198" t="s">
        <v>105</v>
      </c>
      <c r="H66" s="270" t="n">
        <f aca="false">H65+(H65*0.5*(H29/12-1))</f>
        <v>0.015</v>
      </c>
      <c r="I66" s="199"/>
      <c r="J66" s="199"/>
      <c r="K66" s="200"/>
      <c r="L66" s="67"/>
      <c r="M66" s="198" t="s">
        <v>105</v>
      </c>
      <c r="N66" s="270" t="n">
        <f aca="false">N65+(N65*0.5*(H29/12-1))</f>
        <v>0.015</v>
      </c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378" t="s">
        <v>234</v>
      </c>
      <c r="D67" s="379"/>
      <c r="E67" s="200"/>
      <c r="F67" s="67"/>
      <c r="G67" s="262" t="s">
        <v>106</v>
      </c>
      <c r="H67" s="69" t="n">
        <f aca="false">(H61*H66)/1.2</f>
        <v>0</v>
      </c>
      <c r="I67" s="199"/>
      <c r="J67" s="36"/>
      <c r="K67" s="200"/>
      <c r="L67" s="67"/>
      <c r="M67" s="262" t="s">
        <v>106</v>
      </c>
      <c r="N67" s="69" t="n">
        <f aca="false">(N61*N66)/1.2</f>
        <v>0</v>
      </c>
      <c r="O67" s="199"/>
      <c r="P67" s="36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380"/>
      <c r="D68" s="36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268" t="s">
        <v>107</v>
      </c>
      <c r="N68" s="269" t="n">
        <v>0.0075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272" t="s">
        <v>108</v>
      </c>
      <c r="N69" s="273" t="n">
        <v>0.12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0.008625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262" t="s">
        <v>109</v>
      </c>
      <c r="N70" s="381" t="n">
        <f aca="false">N68*(1+N69)</f>
        <v>0.0084</v>
      </c>
      <c r="O70" s="199"/>
      <c r="P70" s="199"/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268" t="s">
        <v>110</v>
      </c>
      <c r="N71" s="90" t="n">
        <v>160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272" t="s">
        <v>111</v>
      </c>
      <c r="N72" s="81" t="n">
        <v>4.5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108</v>
      </c>
      <c r="C73" s="199"/>
      <c r="D73" s="382" t="n">
        <f aca="false">B73+B71</f>
        <v>268</v>
      </c>
      <c r="E73" s="200" t="s">
        <v>240</v>
      </c>
      <c r="F73" s="67"/>
      <c r="G73" s="262" t="s">
        <v>112</v>
      </c>
      <c r="H73" s="69" t="n">
        <f aca="false">H72*H29</f>
        <v>108</v>
      </c>
      <c r="I73" s="199"/>
      <c r="J73" s="36" t="n">
        <f aca="false">H73+H71</f>
        <v>268</v>
      </c>
      <c r="K73" s="200"/>
      <c r="L73" s="67"/>
      <c r="M73" s="262" t="s">
        <v>112</v>
      </c>
      <c r="N73" s="69" t="n">
        <f aca="false">N72*H29</f>
        <v>108</v>
      </c>
      <c r="O73" s="199"/>
      <c r="P73" s="36" t="n">
        <f aca="false">N73+N71</f>
        <v>268</v>
      </c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180</v>
      </c>
      <c r="C74" s="199"/>
      <c r="D74" s="199"/>
      <c r="E74" s="200"/>
      <c r="F74" s="67"/>
      <c r="G74" s="268" t="s">
        <v>289</v>
      </c>
      <c r="H74" s="90" t="n">
        <v>165</v>
      </c>
      <c r="I74" s="199"/>
      <c r="J74" s="199"/>
      <c r="K74" s="200"/>
      <c r="L74" s="67"/>
      <c r="M74" s="339" t="s">
        <v>289</v>
      </c>
      <c r="N74" s="340" t="n">
        <v>0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/>
      <c r="D75" s="199"/>
      <c r="E75" s="200"/>
      <c r="F75" s="67"/>
      <c r="G75" s="272" t="s">
        <v>290</v>
      </c>
      <c r="H75" s="81" t="n">
        <v>0</v>
      </c>
      <c r="I75" s="199"/>
      <c r="J75" s="199"/>
      <c r="K75" s="200"/>
      <c r="L75" s="67"/>
      <c r="M75" s="341" t="s">
        <v>290</v>
      </c>
      <c r="N75" s="342" t="n">
        <v>0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((B74+B75)/12)*(H29+1)</f>
        <v>375</v>
      </c>
      <c r="C76" s="199"/>
      <c r="D76" s="36" t="n">
        <f aca="false">B76</f>
        <v>375</v>
      </c>
      <c r="E76" s="200"/>
      <c r="F76" s="67"/>
      <c r="G76" s="262" t="s">
        <v>291</v>
      </c>
      <c r="H76" s="69" t="n">
        <f aca="false">((H74+H75)/12)*(H29-11)</f>
        <v>178.75</v>
      </c>
      <c r="I76" s="199"/>
      <c r="J76" s="36" t="n">
        <f aca="false">H76</f>
        <v>178.75</v>
      </c>
      <c r="K76" s="200"/>
      <c r="L76" s="67"/>
      <c r="M76" s="343" t="s">
        <v>291</v>
      </c>
      <c r="N76" s="344" t="n">
        <f aca="false">((N74+N75)/12)*(H29-11)</f>
        <v>0</v>
      </c>
      <c r="O76" s="199"/>
      <c r="P76" s="36" t="n">
        <f aca="false">N76</f>
        <v>0</v>
      </c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5" t="s">
        <v>292</v>
      </c>
      <c r="B77" s="31" t="n">
        <f aca="false">B102/(1-J15)</f>
        <v>470.588235294118</v>
      </c>
      <c r="C77" s="310"/>
      <c r="D77" s="36" t="n">
        <f aca="false">B77</f>
        <v>470.588235294118</v>
      </c>
      <c r="E77" s="376" t="n">
        <f aca="false">D77/(B58+B57)</f>
        <v>19.6078431372549</v>
      </c>
      <c r="F77" s="67"/>
      <c r="G77" s="268" t="s">
        <v>292</v>
      </c>
      <c r="H77" s="90" t="n">
        <v>0</v>
      </c>
      <c r="I77" s="199"/>
      <c r="J77" s="36" t="n">
        <f aca="false">H77</f>
        <v>0</v>
      </c>
      <c r="K77" s="200"/>
      <c r="L77" s="67"/>
      <c r="M77" s="268" t="s">
        <v>292</v>
      </c>
      <c r="N77" s="90" t="n">
        <v>0</v>
      </c>
      <c r="O77" s="199"/>
      <c r="P77" s="36" t="n">
        <f aca="false">N77</f>
        <v>0</v>
      </c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235.294117647059</v>
      </c>
      <c r="C78" s="310"/>
      <c r="D78" s="36" t="n">
        <f aca="false">B78</f>
        <v>235.294117647059</v>
      </c>
      <c r="E78" s="376"/>
      <c r="F78" s="67"/>
      <c r="G78" s="198" t="s">
        <v>293</v>
      </c>
      <c r="H78" s="37" t="n">
        <v>0</v>
      </c>
      <c r="I78" s="199"/>
      <c r="J78" s="36" t="n">
        <f aca="false">H78</f>
        <v>0</v>
      </c>
      <c r="K78" s="200"/>
      <c r="L78" s="67"/>
      <c r="M78" s="198" t="s">
        <v>293</v>
      </c>
      <c r="N78" s="37" t="n">
        <v>0</v>
      </c>
      <c r="O78" s="199"/>
      <c r="P78" s="36" t="n">
        <f aca="false">N78</f>
        <v>0</v>
      </c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310"/>
      <c r="D79" s="36" t="n">
        <f aca="false">B79</f>
        <v>300</v>
      </c>
      <c r="E79" s="376"/>
      <c r="F79" s="67"/>
      <c r="G79" s="272" t="s">
        <v>113</v>
      </c>
      <c r="H79" s="81" t="n">
        <v>200</v>
      </c>
      <c r="I79" s="199"/>
      <c r="J79" s="36" t="n">
        <f aca="false">H79</f>
        <v>200</v>
      </c>
      <c r="K79" s="200"/>
      <c r="L79" s="67"/>
      <c r="M79" s="272" t="s">
        <v>113</v>
      </c>
      <c r="N79" s="81" t="n">
        <v>200</v>
      </c>
      <c r="O79" s="199"/>
      <c r="P79" s="36" t="n">
        <f aca="false">N79</f>
        <v>200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310"/>
      <c r="D80" s="36" t="n">
        <f aca="false">B80</f>
        <v>100</v>
      </c>
      <c r="E80" s="376" t="n">
        <f aca="false">(D73+D76+D79+D80)/(B58+B57)</f>
        <v>43.4583333333333</v>
      </c>
      <c r="F80" s="67"/>
      <c r="G80" s="275" t="s">
        <v>114</v>
      </c>
      <c r="H80" s="91" t="n">
        <v>200</v>
      </c>
      <c r="I80" s="199"/>
      <c r="J80" s="36" t="n">
        <f aca="false">H80</f>
        <v>200</v>
      </c>
      <c r="K80" s="200"/>
      <c r="L80" s="67"/>
      <c r="M80" s="275" t="s">
        <v>114</v>
      </c>
      <c r="N80" s="91" t="n">
        <v>200</v>
      </c>
      <c r="O80" s="199"/>
      <c r="P80" s="36" t="n">
        <f aca="false">N80</f>
        <v>200</v>
      </c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11748.8823529412</v>
      </c>
      <c r="C81" s="310"/>
      <c r="D81" s="383"/>
      <c r="E81" s="376"/>
      <c r="F81" s="67"/>
      <c r="G81" s="276" t="s">
        <v>115</v>
      </c>
      <c r="H81" s="277" t="n">
        <f aca="false">SUM(J64:J80)</f>
        <v>846.75</v>
      </c>
      <c r="I81" s="199"/>
      <c r="J81" s="199"/>
      <c r="K81" s="200"/>
      <c r="L81" s="67"/>
      <c r="M81" s="276" t="s">
        <v>115</v>
      </c>
      <c r="N81" s="277" t="n">
        <f aca="false">SUM(P64:P80)</f>
        <v>668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489.536764705882</v>
      </c>
      <c r="C82" s="310"/>
      <c r="D82" s="199"/>
      <c r="E82" s="376"/>
      <c r="F82" s="67"/>
      <c r="G82" s="198" t="s">
        <v>116</v>
      </c>
      <c r="H82" s="37" t="n">
        <f aca="false">H81/H29</f>
        <v>35.28125</v>
      </c>
      <c r="I82" s="199"/>
      <c r="J82" s="199"/>
      <c r="K82" s="200"/>
      <c r="L82" s="67"/>
      <c r="M82" s="198" t="s">
        <v>116</v>
      </c>
      <c r="N82" s="37" t="n">
        <f aca="false">N81/H29</f>
        <v>27.8333333333333</v>
      </c>
      <c r="O82" s="199"/>
      <c r="P82" s="199"/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H47</f>
        <v>138.296509287446</v>
      </c>
      <c r="C83" s="310"/>
      <c r="D83" s="199"/>
      <c r="E83" s="376" t="n">
        <f aca="false">B83+E80+E77+E64</f>
        <v>618.029352424701</v>
      </c>
      <c r="F83" s="67"/>
      <c r="G83" s="278" t="s">
        <v>117</v>
      </c>
      <c r="H83" s="63" t="n">
        <f aca="false">H47</f>
        <v>138.296509287446</v>
      </c>
      <c r="I83" s="199"/>
      <c r="J83" s="199"/>
      <c r="K83" s="200"/>
      <c r="L83" s="67"/>
      <c r="M83" s="278" t="s">
        <v>117</v>
      </c>
      <c r="N83" s="63" t="n">
        <f aca="false">H47</f>
        <v>138.296509287446</v>
      </c>
      <c r="O83" s="199"/>
      <c r="P83" s="199"/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310"/>
      <c r="D84" s="310"/>
      <c r="E84" s="376"/>
      <c r="F84" s="67"/>
      <c r="G84" s="198"/>
      <c r="H84" s="36"/>
      <c r="I84" s="199"/>
      <c r="J84" s="199"/>
      <c r="K84" s="200"/>
      <c r="L84" s="67"/>
      <c r="M84" s="198"/>
      <c r="N84" s="36"/>
      <c r="O84" s="199"/>
      <c r="P84" s="199"/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((B83*H29)+B81)</f>
        <v>15067.9985758399</v>
      </c>
      <c r="C85" s="310"/>
      <c r="D85" s="310"/>
      <c r="E85" s="376" t="n">
        <f aca="false">B85/(B58+B57)</f>
        <v>627.833273993328</v>
      </c>
      <c r="F85" s="67"/>
      <c r="G85" s="265" t="s">
        <v>127</v>
      </c>
      <c r="H85" s="31" t="n">
        <f aca="false">((H83*H29)+H81)*1.2</f>
        <v>4999.03946747844</v>
      </c>
      <c r="I85" s="199"/>
      <c r="J85" s="199"/>
      <c r="K85" s="200"/>
      <c r="L85" s="67"/>
      <c r="M85" s="265" t="s">
        <v>127</v>
      </c>
      <c r="N85" s="31" t="n">
        <f aca="false">((N83*H29)+N81)</f>
        <v>3987.1162228987</v>
      </c>
      <c r="O85" s="199"/>
      <c r="P85" s="199"/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(((B83*H29)+B81)/(1-B70))*B70</f>
        <v>131.092157575709</v>
      </c>
      <c r="C86" s="310" t="s">
        <v>243</v>
      </c>
      <c r="D86" s="199"/>
      <c r="E86" s="376" t="n">
        <f aca="false">B86/(B58+B57)</f>
        <v>5.46217323232123</v>
      </c>
      <c r="F86" s="67"/>
      <c r="G86" s="198" t="s">
        <v>128</v>
      </c>
      <c r="H86" s="37" t="n">
        <f aca="false">((((H83*H29)+H81))/(1-H70))*H70</f>
        <v>35.2897098349628</v>
      </c>
      <c r="I86" s="199"/>
      <c r="J86" s="199"/>
      <c r="K86" s="200"/>
      <c r="L86" s="67"/>
      <c r="M86" s="198" t="s">
        <v>128</v>
      </c>
      <c r="N86" s="37" t="n">
        <f aca="false">(N85/(1-N70))*N70</f>
        <v>33.7754903916389</v>
      </c>
      <c r="O86" s="199"/>
      <c r="P86" s="199"/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15199.0907334156</v>
      </c>
      <c r="C87" s="310"/>
      <c r="D87" s="384"/>
      <c r="E87" s="376" t="n">
        <f aca="false">E86+E85</f>
        <v>633.295447225649</v>
      </c>
      <c r="F87" s="67"/>
      <c r="G87" s="262" t="s">
        <v>129</v>
      </c>
      <c r="H87" s="69" t="n">
        <f aca="false">IF(H110="YES",((H85+H86)-K114),(H85+H86))</f>
        <v>5034.3291773134</v>
      </c>
      <c r="I87" s="199"/>
      <c r="J87" s="199"/>
      <c r="K87" s="200"/>
      <c r="L87" s="67"/>
      <c r="M87" s="262" t="s">
        <v>129</v>
      </c>
      <c r="N87" s="69" t="n">
        <f aca="false">IF(N110="YES",((N85+N86)-Q114),(N85+N86))</f>
        <v>4020.89171329034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310"/>
      <c r="D88" s="199"/>
      <c r="E88" s="376"/>
      <c r="F88" s="67"/>
      <c r="G88" s="198"/>
      <c r="H88" s="36"/>
      <c r="I88" s="199"/>
      <c r="J88" s="199"/>
      <c r="K88" s="200"/>
      <c r="L88" s="67"/>
      <c r="M88" s="198"/>
      <c r="N88" s="36"/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7" t="n">
        <f aca="false">IF(B99=Y98,(I32+(I32*B105))/(B58),(I32+(I32*B105))/(B57+B58))*(C45/100)</f>
        <v>65</v>
      </c>
      <c r="C89" s="310"/>
      <c r="D89" s="199"/>
      <c r="E89" s="200"/>
      <c r="F89" s="67"/>
      <c r="G89" s="276" t="s">
        <v>130</v>
      </c>
      <c r="H89" s="277" t="n">
        <f aca="false">IF(H99=Y98,(D40+(D40*H105))/(H58),(D40+(D40*H105))/(H57+H58))*1.2</f>
        <v>198.620689655172</v>
      </c>
      <c r="I89" s="199"/>
      <c r="J89" s="199"/>
      <c r="K89" s="200"/>
      <c r="L89" s="67"/>
      <c r="M89" s="276" t="s">
        <v>130</v>
      </c>
      <c r="N89" s="277" t="n">
        <f aca="false">IF(N99=Y98,(D40+(D40*N105))/(N58),(D40+(D40*N105))/(N57+N58))</f>
        <v>165.51724137931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IF(B99=Y98,(B87-D105)/(B58),B87/(B57+B58))</f>
        <v>633.295447225649</v>
      </c>
      <c r="C90" s="310"/>
      <c r="D90" s="199"/>
      <c r="E90" s="385"/>
      <c r="F90" s="67"/>
      <c r="G90" s="280" t="s">
        <v>131</v>
      </c>
      <c r="H90" s="281" t="n">
        <f aca="false">IF(H99=Y98,(H87-J105)/(H58),H87/(H57+H58))</f>
        <v>173.597557838393</v>
      </c>
      <c r="I90" s="199"/>
      <c r="J90" s="199"/>
      <c r="K90" s="200"/>
      <c r="L90" s="67"/>
      <c r="M90" s="280" t="s">
        <v>131</v>
      </c>
      <c r="N90" s="281" t="n">
        <f aca="false">IF(N99=Y98,(N87-P105)/(N58),N87/(N57+N58))</f>
        <v>138.651438389322</v>
      </c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698.295447225649</v>
      </c>
      <c r="C91" s="310"/>
      <c r="D91" s="386"/>
      <c r="E91" s="333"/>
      <c r="F91" s="67"/>
      <c r="G91" s="282" t="s">
        <v>132</v>
      </c>
      <c r="H91" s="283" t="n">
        <f aca="false">IF(G105="YES",H90+H89,H90)</f>
        <v>372.218247493566</v>
      </c>
      <c r="I91" s="199"/>
      <c r="J91" s="199"/>
      <c r="K91" s="200"/>
      <c r="L91" s="67"/>
      <c r="M91" s="282" t="s">
        <v>132</v>
      </c>
      <c r="N91" s="283" t="n">
        <f aca="false">IF(M105="YES",N90+N89,N90)</f>
        <v>304.168679768632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61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262"/>
      <c r="N92" s="263"/>
      <c r="O92" s="263"/>
      <c r="P92" s="263"/>
      <c r="Q92" s="264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199"/>
      <c r="N93" s="199"/>
      <c r="O93" s="199"/>
      <c r="P93" s="199"/>
      <c r="Q93" s="199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56.2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197" t="s">
        <v>352</v>
      </c>
      <c r="N94" s="197"/>
      <c r="O94" s="197"/>
      <c r="P94" s="197"/>
      <c r="Q94" s="19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 t="s">
        <v>387</v>
      </c>
      <c r="F95" s="67"/>
      <c r="G95" s="198"/>
      <c r="H95" s="199"/>
      <c r="I95" s="199"/>
      <c r="J95" s="199"/>
      <c r="K95" s="200"/>
      <c r="L95" s="67"/>
      <c r="M95" s="198"/>
      <c r="N95" s="199"/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201" t="s">
        <v>137</v>
      </c>
      <c r="N96" s="201"/>
      <c r="O96" s="201"/>
      <c r="P96" s="201"/>
      <c r="Q96" s="201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387"/>
      <c r="C97" s="387"/>
      <c r="D97" s="199"/>
      <c r="E97" s="200"/>
      <c r="F97" s="67"/>
      <c r="G97" s="198"/>
      <c r="H97" s="199"/>
      <c r="I97" s="199"/>
      <c r="J97" s="199"/>
      <c r="K97" s="200"/>
      <c r="L97" s="67"/>
      <c r="M97" s="198"/>
      <c r="N97" s="199"/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 t="s">
        <v>141</v>
      </c>
      <c r="Z97" s="67"/>
      <c r="AC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198" t="s">
        <v>138</v>
      </c>
      <c r="N98" s="199" t="s">
        <v>36</v>
      </c>
      <c r="O98" s="199"/>
      <c r="P98" s="199" t="s">
        <v>295</v>
      </c>
      <c r="Q98" s="200"/>
      <c r="R98" s="67"/>
      <c r="S98" s="67"/>
      <c r="T98" s="67"/>
      <c r="U98" s="67"/>
      <c r="V98" s="67"/>
      <c r="W98" s="67"/>
      <c r="X98" s="67"/>
      <c r="Y98" s="67" t="s">
        <v>273</v>
      </c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1000</v>
      </c>
      <c r="E99" s="109"/>
      <c r="F99" s="67"/>
      <c r="G99" s="204" t="s">
        <v>296</v>
      </c>
      <c r="H99" s="284" t="s">
        <v>275</v>
      </c>
      <c r="I99" s="284"/>
      <c r="J99" s="109" t="n">
        <v>0</v>
      </c>
      <c r="K99" s="109"/>
      <c r="L99" s="67"/>
      <c r="M99" s="204" t="s">
        <v>296</v>
      </c>
      <c r="N99" s="284" t="s">
        <v>275</v>
      </c>
      <c r="O99" s="284"/>
      <c r="P99" s="109" t="n">
        <v>0</v>
      </c>
      <c r="Q99" s="109"/>
      <c r="R99" s="67"/>
      <c r="S99" s="67"/>
      <c r="T99" s="67"/>
      <c r="U99" s="67"/>
      <c r="V99" s="67"/>
      <c r="W99" s="67"/>
      <c r="X99" s="67"/>
      <c r="Y99" s="67" t="s">
        <v>274</v>
      </c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198"/>
      <c r="N100" s="199"/>
      <c r="O100" s="199"/>
      <c r="P100" s="199"/>
      <c r="Q100" s="200"/>
      <c r="R100" s="67"/>
      <c r="S100" s="67"/>
      <c r="T100" s="67"/>
      <c r="U100" s="67"/>
      <c r="V100" s="67"/>
      <c r="W100" s="67"/>
      <c r="X100" s="67"/>
      <c r="Y100" s="67" t="s">
        <v>275</v>
      </c>
      <c r="Z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388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198" t="s">
        <v>297</v>
      </c>
      <c r="N101" s="199" t="s">
        <v>298</v>
      </c>
      <c r="O101" s="199"/>
      <c r="P101" s="199" t="s">
        <v>299</v>
      </c>
      <c r="Q101" s="200"/>
      <c r="R101" s="67"/>
      <c r="S101" s="67"/>
      <c r="T101" s="67"/>
      <c r="U101" s="67"/>
      <c r="V101" s="67"/>
      <c r="W101" s="67"/>
      <c r="X101" s="67"/>
      <c r="Y101" s="67" t="s">
        <v>276</v>
      </c>
      <c r="Z101" s="67"/>
    </row>
    <row r="102" customFormat="false" ht="18.75" hidden="false" customHeight="true" outlineLevel="0" collapsed="false">
      <c r="A102" s="285" t="n">
        <v>199.991666666667</v>
      </c>
      <c r="B102" s="109" t="n">
        <v>400</v>
      </c>
      <c r="C102" s="109"/>
      <c r="D102" s="109" t="n">
        <v>200</v>
      </c>
      <c r="E102" s="109"/>
      <c r="F102" s="67"/>
      <c r="G102" s="285" t="n">
        <v>199.99</v>
      </c>
      <c r="H102" s="109" t="n">
        <v>0</v>
      </c>
      <c r="I102" s="109"/>
      <c r="J102" s="109" t="n">
        <v>0</v>
      </c>
      <c r="K102" s="109"/>
      <c r="L102" s="67"/>
      <c r="M102" s="285" t="n">
        <v>199.99</v>
      </c>
      <c r="N102" s="109" t="n">
        <v>0</v>
      </c>
      <c r="O102" s="109"/>
      <c r="P102" s="109" t="n">
        <v>0</v>
      </c>
      <c r="Q102" s="109"/>
      <c r="R102" s="67"/>
      <c r="S102" s="67"/>
      <c r="T102" s="67"/>
      <c r="U102" s="67"/>
      <c r="V102" s="67"/>
      <c r="W102" s="67"/>
      <c r="X102" s="67"/>
      <c r="Y102" s="67" t="s">
        <v>277</v>
      </c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 t="s">
        <v>278</v>
      </c>
      <c r="Z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204" t="s">
        <v>139</v>
      </c>
      <c r="N104" s="67" t="s">
        <v>142</v>
      </c>
      <c r="O104" s="199"/>
      <c r="P104" s="199" t="s">
        <v>153</v>
      </c>
      <c r="Q104" s="200"/>
      <c r="R104" s="67"/>
      <c r="S104" s="67"/>
      <c r="T104" s="67"/>
      <c r="U104" s="67"/>
      <c r="V104" s="67"/>
      <c r="W104" s="67"/>
      <c r="X104" s="67"/>
      <c r="Y104" s="67" t="s">
        <v>279</v>
      </c>
      <c r="Z104" s="67"/>
    </row>
    <row r="105" customFormat="false" ht="18.75" hidden="false" customHeight="true" outlineLevel="0" collapsed="false">
      <c r="A105" s="206" t="s">
        <v>31</v>
      </c>
      <c r="B105" s="286" t="n">
        <v>0.3</v>
      </c>
      <c r="C105" s="286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/>
      <c r="K105" s="109"/>
      <c r="L105" s="67"/>
      <c r="M105" s="206" t="s">
        <v>31</v>
      </c>
      <c r="N105" s="286" t="n">
        <v>0.2</v>
      </c>
      <c r="O105" s="286"/>
      <c r="P105" s="109" t="n">
        <v>0</v>
      </c>
      <c r="Q105" s="109"/>
      <c r="R105" s="67"/>
      <c r="S105" s="67"/>
      <c r="T105" s="67"/>
      <c r="U105" s="67"/>
      <c r="V105" s="67"/>
      <c r="W105" s="67"/>
      <c r="X105" s="67"/>
      <c r="Y105" s="67" t="s">
        <v>280</v>
      </c>
      <c r="Z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198"/>
      <c r="N107" s="199" t="s">
        <v>353</v>
      </c>
      <c r="O107" s="206" t="s">
        <v>31</v>
      </c>
      <c r="P107" s="199"/>
      <c r="Q107" s="200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18.75" hidden="false" customHeight="true" outlineLevel="0" collapsed="false">
      <c r="A108" s="201" t="n">
        <v>199.99</v>
      </c>
      <c r="B108" s="201" t="n">
        <v>0</v>
      </c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201" t="s">
        <v>300</v>
      </c>
      <c r="N108" s="201"/>
      <c r="O108" s="201"/>
      <c r="P108" s="201"/>
      <c r="Q108" s="201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198" t="s">
        <v>301</v>
      </c>
      <c r="N110" s="206" t="s">
        <v>32</v>
      </c>
      <c r="O110" s="199"/>
      <c r="P110" s="199"/>
      <c r="Q110" s="200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8.75" hidden="false" customHeight="true" outlineLevel="0" collapsed="false">
      <c r="A111" s="198" t="s">
        <v>32</v>
      </c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198"/>
      <c r="N111" s="199"/>
      <c r="O111" s="199"/>
      <c r="P111" s="199"/>
      <c r="Q111" s="200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0</v>
      </c>
      <c r="K112" s="109" t="n">
        <v>0</v>
      </c>
      <c r="L112" s="67"/>
      <c r="M112" s="198" t="s">
        <v>186</v>
      </c>
      <c r="N112" s="199"/>
      <c r="O112" s="199"/>
      <c r="P112" s="285" t="n">
        <v>500</v>
      </c>
      <c r="Q112" s="109" t="n">
        <v>300</v>
      </c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0</v>
      </c>
      <c r="K113" s="109" t="n">
        <v>0</v>
      </c>
      <c r="L113" s="67"/>
      <c r="M113" s="198" t="s">
        <v>187</v>
      </c>
      <c r="N113" s="199"/>
      <c r="O113" s="199"/>
      <c r="P113" s="43" t="n">
        <f aca="false">Q113</f>
        <v>100</v>
      </c>
      <c r="Q113" s="109" t="n">
        <v>100</v>
      </c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0</v>
      </c>
      <c r="K114" s="157" t="n">
        <f aca="false">K112-K113</f>
        <v>0</v>
      </c>
      <c r="L114" s="67"/>
      <c r="M114" s="198" t="s">
        <v>188</v>
      </c>
      <c r="N114" s="199"/>
      <c r="O114" s="199"/>
      <c r="P114" s="43" t="n">
        <f aca="false">P112-P113</f>
        <v>400</v>
      </c>
      <c r="Q114" s="157" t="n">
        <f aca="false">Q112-Q113</f>
        <v>200</v>
      </c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0</v>
      </c>
      <c r="K115" s="200"/>
      <c r="L115" s="67"/>
      <c r="M115" s="198" t="s">
        <v>189</v>
      </c>
      <c r="N115" s="199"/>
      <c r="O115" s="199"/>
      <c r="P115" s="43" t="n">
        <f aca="false">P114-Q114</f>
        <v>200</v>
      </c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198"/>
      <c r="N116" s="199"/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265" t="s">
        <v>149</v>
      </c>
      <c r="N117" s="266"/>
      <c r="O117" s="266"/>
      <c r="P117" s="266"/>
      <c r="Q117" s="31" t="n">
        <f aca="false">P99</f>
        <v>0</v>
      </c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199.991666666667</v>
      </c>
      <c r="F118" s="67"/>
      <c r="G118" s="198" t="s">
        <v>66</v>
      </c>
      <c r="H118" s="199"/>
      <c r="I118" s="199"/>
      <c r="J118" s="199"/>
      <c r="K118" s="37" t="n">
        <f aca="false">G102</f>
        <v>199.99</v>
      </c>
      <c r="L118" s="67"/>
      <c r="M118" s="198" t="s">
        <v>66</v>
      </c>
      <c r="N118" s="199"/>
      <c r="O118" s="199"/>
      <c r="P118" s="199"/>
      <c r="Q118" s="37" t="n">
        <f aca="false">M102</f>
        <v>199.99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((E118*1.2)+E117)-E114</f>
        <v>1239.99</v>
      </c>
      <c r="F119" s="67"/>
      <c r="G119" s="287" t="s">
        <v>302</v>
      </c>
      <c r="H119" s="263"/>
      <c r="I119" s="263"/>
      <c r="J119" s="263"/>
      <c r="K119" s="69" t="n">
        <f aca="false">((K118/1.2)+K117)-(J115-K113)</f>
        <v>166.658333333333</v>
      </c>
      <c r="L119" s="67"/>
      <c r="M119" s="287" t="s">
        <v>302</v>
      </c>
      <c r="N119" s="263"/>
      <c r="O119" s="263"/>
      <c r="P119" s="263"/>
      <c r="Q119" s="69" t="n">
        <f aca="false">(Q118+Q117)-P115</f>
        <v>-0.00999999999999091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198"/>
      <c r="N120" s="199"/>
      <c r="O120" s="199"/>
      <c r="P120" s="199"/>
      <c r="Q120" s="200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198"/>
      <c r="N121" s="199"/>
      <c r="O121" s="199"/>
      <c r="P121" s="199"/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201" t="s">
        <v>303</v>
      </c>
      <c r="N122" s="201"/>
      <c r="O122" s="201"/>
      <c r="P122" s="201"/>
      <c r="Q122" s="201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198"/>
      <c r="N123" s="199"/>
      <c r="O123" s="199"/>
      <c r="P123" s="199"/>
      <c r="Q123" s="200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198" t="s">
        <v>194</v>
      </c>
      <c r="N124" s="162" t="n">
        <v>0</v>
      </c>
      <c r="O124" s="162"/>
      <c r="P124" s="199"/>
      <c r="Q124" s="200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24</v>
      </c>
      <c r="C125" s="294"/>
      <c r="D125" s="293" t="n">
        <f aca="false">B160</f>
        <v>8000</v>
      </c>
      <c r="E125" s="291"/>
      <c r="F125" s="67"/>
      <c r="G125" s="198"/>
      <c r="H125" s="199"/>
      <c r="I125" s="199"/>
      <c r="J125" s="199"/>
      <c r="K125" s="200"/>
      <c r="L125" s="67"/>
      <c r="M125" s="198"/>
      <c r="N125" s="199"/>
      <c r="O125" s="199"/>
      <c r="P125" s="199"/>
      <c r="Q125" s="200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296" t="s">
        <v>306</v>
      </c>
      <c r="H126" s="297" t="s">
        <v>307</v>
      </c>
      <c r="I126" s="297"/>
      <c r="J126" s="297" t="s">
        <v>308</v>
      </c>
      <c r="K126" s="200"/>
      <c r="L126" s="67"/>
      <c r="M126" s="296" t="s">
        <v>354</v>
      </c>
      <c r="N126" s="297" t="s">
        <v>262</v>
      </c>
      <c r="O126" s="297"/>
      <c r="P126" s="297" t="s">
        <v>132</v>
      </c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300" t="n">
        <f aca="false">H90</f>
        <v>173.597557838393</v>
      </c>
      <c r="H127" s="166" t="n">
        <f aca="false">IF(G105="YES",H89*H57,0)</f>
        <v>1191.72413793103</v>
      </c>
      <c r="I127" s="166"/>
      <c r="J127" s="301" t="n">
        <f aca="false">H91</f>
        <v>372.218247493566</v>
      </c>
      <c r="K127" s="200"/>
      <c r="L127" s="67"/>
      <c r="M127" s="300" t="n">
        <f aca="false">N90</f>
        <v>138.651438389322</v>
      </c>
      <c r="N127" s="166" t="n">
        <f aca="false">IF(M105="YES",N89*N57,0)</f>
        <v>993.103448275862</v>
      </c>
      <c r="O127" s="166"/>
      <c r="P127" s="166" t="n">
        <f aca="false">N91</f>
        <v>304.168679768632</v>
      </c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633.295447225649</v>
      </c>
      <c r="B128" s="290" t="n">
        <f aca="false">IF(A105="YES",B89,0)</f>
        <v>65</v>
      </c>
      <c r="C128" s="294"/>
      <c r="D128" s="290" t="n">
        <f aca="false">B91</f>
        <v>698.295447225649</v>
      </c>
      <c r="E128" s="291"/>
      <c r="F128" s="67"/>
      <c r="G128" s="198"/>
      <c r="H128" s="199"/>
      <c r="I128" s="199"/>
      <c r="J128" s="199"/>
      <c r="K128" s="200"/>
      <c r="L128" s="67"/>
      <c r="M128" s="198"/>
      <c r="N128" s="199"/>
      <c r="O128" s="199"/>
      <c r="P128" s="199"/>
      <c r="Q128" s="200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 t="s">
        <v>95</v>
      </c>
      <c r="H129" s="199" t="s">
        <v>96</v>
      </c>
      <c r="I129" s="199"/>
      <c r="J129" s="199" t="s">
        <v>98</v>
      </c>
      <c r="K129" s="200"/>
      <c r="L129" s="67"/>
      <c r="M129" s="198" t="s">
        <v>95</v>
      </c>
      <c r="N129" s="199" t="s">
        <v>96</v>
      </c>
      <c r="O129" s="199"/>
      <c r="P129" s="199" t="s">
        <v>98</v>
      </c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213" t="n">
        <f aca="false">G152</f>
        <v>24</v>
      </c>
      <c r="H130" s="168" t="n">
        <f aca="false">B151</f>
        <v>0</v>
      </c>
      <c r="I130" s="215"/>
      <c r="J130" s="214" t="n">
        <f aca="false">B58</f>
        <v>23</v>
      </c>
      <c r="K130" s="200"/>
      <c r="L130" s="67"/>
      <c r="M130" s="213" t="n">
        <f aca="false">M155</f>
        <v>24</v>
      </c>
      <c r="N130" s="168" t="n">
        <f aca="false">B151</f>
        <v>0</v>
      </c>
      <c r="O130" s="215"/>
      <c r="P130" s="214" t="n">
        <f aca="false">B58</f>
        <v>23</v>
      </c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633.295447225649</v>
      </c>
      <c r="C131" s="199"/>
      <c r="D131" s="42" t="n">
        <f aca="false">IF(A105="YES",B89*B57,0)</f>
        <v>65</v>
      </c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198" t="s">
        <v>355</v>
      </c>
      <c r="N132" s="199" t="s">
        <v>252</v>
      </c>
      <c r="O132" s="199"/>
      <c r="P132" s="199" t="s">
        <v>256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1041.58534703036</v>
      </c>
      <c r="H133" s="42" t="n">
        <f aca="false">IF(G105="YES",H89*H57,0)</f>
        <v>1191.72413793103</v>
      </c>
      <c r="I133" s="205"/>
      <c r="J133" s="170" t="n">
        <f aca="false">H91*H57</f>
        <v>2233.30948496139</v>
      </c>
      <c r="K133" s="200"/>
      <c r="L133" s="67"/>
      <c r="M133" s="171" t="n">
        <f aca="false">N90*N57</f>
        <v>831.908630335932</v>
      </c>
      <c r="N133" s="42" t="n">
        <f aca="false">IF(M105="YES",N89*N57,0)</f>
        <v>993.103448275862</v>
      </c>
      <c r="O133" s="205"/>
      <c r="P133" s="170" t="n">
        <f aca="false">N91*N57</f>
        <v>1825.01207861179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698.295447225649</v>
      </c>
      <c r="B134" s="42" t="n">
        <f aca="false">E114</f>
        <v>0</v>
      </c>
      <c r="C134" s="199"/>
      <c r="D134" s="303" t="n">
        <f aca="false">B58</f>
        <v>23</v>
      </c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198" t="s">
        <v>264</v>
      </c>
      <c r="N135" s="199" t="s">
        <v>265</v>
      </c>
      <c r="O135" s="199"/>
      <c r="P135" s="199" t="s">
        <v>269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</v>
      </c>
      <c r="H136" s="42" t="n">
        <f aca="false">IF(G105="YES",E15*0.000002,0)</f>
        <v>0</v>
      </c>
      <c r="I136" s="42"/>
      <c r="J136" s="42" t="n">
        <f aca="false">G136+H136</f>
        <v>0</v>
      </c>
      <c r="K136" s="107"/>
      <c r="L136" s="67"/>
      <c r="M136" s="113" t="n">
        <f aca="false">E15*0.000006</f>
        <v>0</v>
      </c>
      <c r="N136" s="42" t="n">
        <f aca="false">IF(M105="YES",E15*0.000002,0)</f>
        <v>0</v>
      </c>
      <c r="O136" s="42"/>
      <c r="P136" s="42" t="n">
        <f aca="false">M136+N136</f>
        <v>0</v>
      </c>
      <c r="Q136" s="10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633.295447225649</v>
      </c>
      <c r="B137" s="42" t="n">
        <f aca="false">IF(A105="YES",B89,0)</f>
        <v>65</v>
      </c>
      <c r="C137" s="199"/>
      <c r="D137" s="42" t="n">
        <f aca="false">B91</f>
        <v>698.295447225649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198" t="s">
        <v>152</v>
      </c>
      <c r="N138" s="199" t="s">
        <v>320</v>
      </c>
      <c r="O138" s="199"/>
      <c r="P138" s="199" t="s">
        <v>321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199.99</v>
      </c>
      <c r="H139" s="42" t="n">
        <f aca="false">H67</f>
        <v>0</v>
      </c>
      <c r="I139" s="42"/>
      <c r="J139" s="42" t="n">
        <f aca="false">H102*0.9</f>
        <v>0</v>
      </c>
      <c r="K139" s="107"/>
      <c r="L139" s="67"/>
      <c r="M139" s="113" t="n">
        <f aca="false">M102</f>
        <v>199.99</v>
      </c>
      <c r="N139" s="42" t="n">
        <f aca="false">N67</f>
        <v>0</v>
      </c>
      <c r="O139" s="42"/>
      <c r="P139" s="42" t="n">
        <f aca="false">N102*0.9</f>
        <v>0</v>
      </c>
      <c r="Q139" s="10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(B61*0.000006)*100</f>
        <v>22.443</v>
      </c>
      <c r="B140" s="309" t="n">
        <f aca="false">IF(A105="YES",B61*0.000002,0)*100</f>
        <v>7.481</v>
      </c>
      <c r="C140" s="310"/>
      <c r="D140" s="309" t="n">
        <f aca="false">A140+B140</f>
        <v>29.924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198" t="s">
        <v>323</v>
      </c>
      <c r="N141" s="199" t="s">
        <v>324</v>
      </c>
      <c r="O141" s="199"/>
      <c r="P141" s="199" t="s">
        <v>325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IF(G105="YES",((B36*H105)*0.1)*(G130),0)</f>
        <v>24</v>
      </c>
      <c r="H142" s="42" t="n">
        <f aca="false">G102-100</f>
        <v>99.99</v>
      </c>
      <c r="I142" s="42"/>
      <c r="J142" s="42" t="e">
        <f aca="false">(H139+J139+G142+H142)-H145</f>
        <v>#DIV/0!</v>
      </c>
      <c r="K142" s="107"/>
      <c r="L142" s="67"/>
      <c r="M142" s="113" t="n">
        <f aca="false">IF(M105="YES",((B36*N105)*0.1)*(M130),0)</f>
        <v>24</v>
      </c>
      <c r="N142" s="42" t="n">
        <f aca="false">M102-100</f>
        <v>99.99</v>
      </c>
      <c r="O142" s="42"/>
      <c r="P142" s="42" t="e">
        <f aca="false">(N139+P139+M142+N142)-N145</f>
        <v>#DIV/0!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199.991666666667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198" t="s">
        <v>327</v>
      </c>
      <c r="N144" s="199" t="s">
        <v>328</v>
      </c>
      <c r="O144" s="199"/>
      <c r="P144" s="199"/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v>0</v>
      </c>
      <c r="H145" s="42" t="e">
        <f aca="false">(H139+J139+G142+H142)*(G145/H64)</f>
        <v>#DIV/0!</v>
      </c>
      <c r="I145" s="199"/>
      <c r="J145" s="199"/>
      <c r="K145" s="200"/>
      <c r="L145" s="67"/>
      <c r="M145" s="113" t="n">
        <v>0</v>
      </c>
      <c r="N145" s="42" t="e">
        <f aca="false">(N139+P139+M142+N142)*(M145/N64)</f>
        <v>#DIV/0!</v>
      </c>
      <c r="O145" s="199"/>
      <c r="P145" s="199"/>
      <c r="Q145" s="200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113"/>
      <c r="N146" s="42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4" t="s">
        <v>356</v>
      </c>
      <c r="N147" s="43" t="s">
        <v>357</v>
      </c>
      <c r="O147" s="199"/>
      <c r="P147" s="199"/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IF(A105="YES",(B40*B105)*B125,0)*0.1</f>
        <v>36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348" t="n">
        <v>18000</v>
      </c>
      <c r="N148" s="349" t="n">
        <v>0.99</v>
      </c>
      <c r="O148" s="349"/>
      <c r="P148" s="199"/>
      <c r="Q148" s="200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198"/>
      <c r="N150" s="199"/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736</v>
      </c>
      <c r="E151" s="107"/>
      <c r="F151" s="67"/>
      <c r="G151" s="233"/>
      <c r="H151" s="235" t="n">
        <f aca="false">B51</f>
        <v>8000</v>
      </c>
      <c r="I151" s="235"/>
      <c r="J151" s="199"/>
      <c r="K151" s="200"/>
      <c r="L151" s="67"/>
      <c r="M151" s="258" t="s">
        <v>333</v>
      </c>
      <c r="N151" s="199"/>
      <c r="O151" s="199"/>
      <c r="P151" s="259"/>
      <c r="Q151" s="26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24</v>
      </c>
      <c r="H152" s="78" t="n">
        <f aca="false">H91</f>
        <v>372.218247493566</v>
      </c>
      <c r="I152" s="78"/>
      <c r="J152" s="199"/>
      <c r="K152" s="200"/>
      <c r="L152" s="67"/>
      <c r="M152" s="198"/>
      <c r="N152" s="232"/>
      <c r="O152" s="232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233" t="s">
        <v>95</v>
      </c>
      <c r="N153" s="234" t="s">
        <v>96</v>
      </c>
      <c r="O153" s="234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233"/>
      <c r="N154" s="235" t="n">
        <f aca="false">B51</f>
        <v>8000</v>
      </c>
      <c r="O154" s="235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237" t="n">
        <f aca="false">A52</f>
        <v>24</v>
      </c>
      <c r="N155" s="78" t="n">
        <f aca="false">N91</f>
        <v>304.168679768632</v>
      </c>
      <c r="O155" s="78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198"/>
      <c r="N157" s="199"/>
      <c r="O157" s="199"/>
      <c r="P157" s="199"/>
      <c r="Q157" s="20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198"/>
      <c r="N158" s="199"/>
      <c r="O158" s="199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198"/>
      <c r="N159" s="199"/>
      <c r="O159" s="199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8000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198"/>
      <c r="N160" s="199"/>
      <c r="O160" s="199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24</v>
      </c>
      <c r="B161" s="78" t="n">
        <f aca="false">B91</f>
        <v>698.295447225649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198"/>
      <c r="N161" s="199"/>
      <c r="O161" s="199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262"/>
      <c r="N162" s="263"/>
      <c r="O162" s="263"/>
      <c r="P162" s="263"/>
      <c r="Q162" s="264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198"/>
      <c r="B165" s="199"/>
      <c r="C165" s="199"/>
      <c r="D165" s="199"/>
      <c r="E165" s="200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62"/>
      <c r="B166" s="263"/>
      <c r="C166" s="263"/>
      <c r="D166" s="263"/>
      <c r="E166" s="264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293" t="n">
        <f aca="false">A161</f>
        <v>24</v>
      </c>
      <c r="C174" s="294"/>
      <c r="D174" s="293" t="n">
        <f aca="false">D125</f>
        <v>8000</v>
      </c>
      <c r="E174" s="291"/>
      <c r="F174" s="67"/>
      <c r="G174" s="67" t="s">
        <v>389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B90</f>
        <v>633.295447225649</v>
      </c>
      <c r="B177" s="290" t="n">
        <f aca="false">IF(A105="YES",B89,0)</f>
        <v>65</v>
      </c>
      <c r="C177" s="294"/>
      <c r="D177" s="290" t="n">
        <f aca="false">B91</f>
        <v>698.295447225649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B99</f>
        <v> Monthly in advance </v>
      </c>
      <c r="B180" s="42" t="n">
        <f aca="false">B90*B57</f>
        <v>633.295447225649</v>
      </c>
      <c r="C180" s="199"/>
      <c r="D180" s="42" t="n">
        <f aca="false">IF(A105="YES",B89*B57,0)</f>
        <v>65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B91*B57</f>
        <v>698.295447225649</v>
      </c>
      <c r="B183" s="42" t="n">
        <f aca="false">E114</f>
        <v>0</v>
      </c>
      <c r="C183" s="199"/>
      <c r="D183" s="303" t="n">
        <f aca="false">B58</f>
        <v>23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B90</f>
        <v>633.295447225649</v>
      </c>
      <c r="B186" s="42" t="n">
        <f aca="false">IF(A105="YES",B89,0)</f>
        <v>65</v>
      </c>
      <c r="C186" s="199"/>
      <c r="D186" s="42" t="n">
        <f aca="false">B91</f>
        <v>698.295447225649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A140</f>
        <v>22.443</v>
      </c>
      <c r="B189" s="309" t="n">
        <f aca="false">B140</f>
        <v>7.481</v>
      </c>
      <c r="C189" s="310"/>
      <c r="D189" s="309" t="n">
        <f aca="false">A189+B189</f>
        <v>29.924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E118</f>
        <v>199.991666666667</v>
      </c>
      <c r="C192" s="199"/>
      <c r="D192" s="142" t="n">
        <f aca="false">B102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B67</f>
        <v>250</v>
      </c>
      <c r="B197" s="42" t="n">
        <f aca="false">B102</f>
        <v>400</v>
      </c>
      <c r="C197" s="42"/>
      <c r="D197" s="42" t="n">
        <f aca="false">IF(A105="YES",(B40*B105)*B125,0)*0.1</f>
        <v>36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A151</f>
        <v>250</v>
      </c>
      <c r="B200" s="42" t="n">
        <f aca="false">(A148+B148+D148+A151)*(A143/B64)</f>
        <v>0</v>
      </c>
      <c r="C200" s="42"/>
      <c r="D200" s="42" t="n">
        <f aca="false">D151</f>
        <v>736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D102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0.07</v>
      </c>
      <c r="C209" s="290" t="s">
        <v>228</v>
      </c>
      <c r="D209" s="320" t="n">
        <f aca="false">D64</f>
        <v>10000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870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10620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D64</f>
        <v>10000</v>
      </c>
      <c r="C217" s="223" t="s">
        <v>234</v>
      </c>
      <c r="D217" s="199"/>
      <c r="E217" s="270" t="n">
        <f aca="false">B66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B67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(B77-(B77*(E219)))*J15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B78-(B78*(E219))</f>
        <v>200</v>
      </c>
      <c r="C223" s="205" t="s">
        <v>231</v>
      </c>
      <c r="D223" s="199"/>
      <c r="E223" s="37" t="n">
        <f aca="false">(B217-B211+D211)</f>
        <v>10620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360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B71</f>
        <v>160</v>
      </c>
      <c r="C229" s="205" t="s">
        <v>239</v>
      </c>
      <c r="D229" s="312"/>
      <c r="E229" s="140" t="n">
        <f aca="false">B72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D73</f>
        <v>268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B68</f>
        <v>0.0075</v>
      </c>
      <c r="C231" s="205" t="s">
        <v>242</v>
      </c>
      <c r="D231" s="312"/>
      <c r="E231" s="270" t="n">
        <f aca="false">B69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B86</f>
        <v>131.092157575709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B79</f>
        <v>300</v>
      </c>
      <c r="C233" s="327" t="s">
        <v>340</v>
      </c>
      <c r="D233" s="328"/>
      <c r="E233" s="140" t="n">
        <f aca="false">B74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B80</f>
        <v>100</v>
      </c>
      <c r="C235" s="331" t="s">
        <v>341</v>
      </c>
      <c r="D235" s="331"/>
      <c r="E235" s="140" t="n">
        <f aca="false">B75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64">
    <mergeCell ref="A1:F1"/>
    <mergeCell ref="D7:E18"/>
    <mergeCell ref="A16:C18"/>
    <mergeCell ref="A19:D19"/>
    <mergeCell ref="A21:D21"/>
    <mergeCell ref="A24:E24"/>
    <mergeCell ref="A28:E28"/>
    <mergeCell ref="B30:C30"/>
    <mergeCell ref="G38:H38"/>
    <mergeCell ref="B40:C40"/>
    <mergeCell ref="C44:D44"/>
    <mergeCell ref="C45:D45"/>
    <mergeCell ref="A50:A51"/>
    <mergeCell ref="B50:C50"/>
    <mergeCell ref="B51:C51"/>
    <mergeCell ref="B52:C52"/>
    <mergeCell ref="A94:E94"/>
    <mergeCell ref="G94:K94"/>
    <mergeCell ref="M94:Q94"/>
    <mergeCell ref="A96:E96"/>
    <mergeCell ref="G96:K96"/>
    <mergeCell ref="M96:Q96"/>
    <mergeCell ref="B97:C97"/>
    <mergeCell ref="B99:C99"/>
    <mergeCell ref="D99:E99"/>
    <mergeCell ref="H99:I99"/>
    <mergeCell ref="J99:K99"/>
    <mergeCell ref="N99:O99"/>
    <mergeCell ref="P99:Q99"/>
    <mergeCell ref="B102:C102"/>
    <mergeCell ref="D102:E102"/>
    <mergeCell ref="H102:I102"/>
    <mergeCell ref="J102:K102"/>
    <mergeCell ref="N102:O102"/>
    <mergeCell ref="P102:Q102"/>
    <mergeCell ref="B105:C105"/>
    <mergeCell ref="D105:E105"/>
    <mergeCell ref="H105:I105"/>
    <mergeCell ref="J105:K105"/>
    <mergeCell ref="N105:O105"/>
    <mergeCell ref="P105:Q105"/>
    <mergeCell ref="A108:E108"/>
    <mergeCell ref="G108:K108"/>
    <mergeCell ref="M108:Q108"/>
    <mergeCell ref="A122:E122"/>
    <mergeCell ref="G122:K122"/>
    <mergeCell ref="M122:Q122"/>
    <mergeCell ref="H124:I124"/>
    <mergeCell ref="N124:O124"/>
    <mergeCell ref="N148:O148"/>
    <mergeCell ref="G150:G151"/>
    <mergeCell ref="H150:I150"/>
    <mergeCell ref="H151:I151"/>
    <mergeCell ref="H152:I152"/>
    <mergeCell ref="M153:M154"/>
    <mergeCell ref="N153:O153"/>
    <mergeCell ref="N154:O154"/>
    <mergeCell ref="N155:O155"/>
    <mergeCell ref="A159:A160"/>
    <mergeCell ref="B159:C159"/>
    <mergeCell ref="B160:C160"/>
    <mergeCell ref="B161:C161"/>
    <mergeCell ref="A171:E171"/>
    <mergeCell ref="A207:E207"/>
  </mergeCells>
  <dataValidations count="3">
    <dataValidation allowBlank="true" errorStyle="stop" operator="between" showDropDown="false" showErrorMessage="true" showInputMessage="false" sqref="H99 N99 G105 M105 O107 H110 N110" type="list">
      <formula1>#ref!</formula1>
      <formula2>0</formula2>
    </dataValidation>
    <dataValidation allowBlank="true" errorStyle="stop" operator="between" showDropDown="false" showErrorMessage="true" showInputMessage="false" sqref="B26 A105 B110" type="list">
      <formula1>'Formula1-BCH'!$I$3:$I$4</formula1>
      <formula2>0</formula2>
    </dataValidation>
    <dataValidation allowBlank="true" errorStyle="stop" operator="between" showDropDown="false" showErrorMessage="true" showInputMessage="false" sqref="B99" type="list">
      <formula1>'Formula1-BCH'!$Y$97:$Y$105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I15" activeCellId="0" sqref="I15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20945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43128.1634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995</v>
      </c>
      <c r="F10" s="67"/>
      <c r="G10" s="67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8655.63268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290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53028.79608</v>
      </c>
      <c r="F15" s="67"/>
      <c r="G15" s="21" t="n">
        <f aca="false">E15</f>
        <v>53028.79608</v>
      </c>
      <c r="H15" s="67"/>
      <c r="I15" s="67" t="s">
        <v>283</v>
      </c>
      <c r="J15" s="68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33" t="s">
        <v>36</v>
      </c>
      <c r="H26" s="34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38" t="s">
        <v>38</v>
      </c>
      <c r="H27" s="39" t="n"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38" t="s">
        <v>40</v>
      </c>
      <c r="H28" s="39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334" t="n">
        <f aca="true">TODAY()+1</f>
        <v>45916</v>
      </c>
      <c r="E29" s="334"/>
      <c r="F29" s="67"/>
      <c r="G29" s="33" t="s">
        <v>41</v>
      </c>
      <c r="H29" s="41" t="n">
        <f aca="false">A32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33" t="s">
        <v>45</v>
      </c>
      <c r="H30" s="41" t="n">
        <f aca="false">B32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52</v>
      </c>
      <c r="B31" s="205" t="s">
        <v>53</v>
      </c>
      <c r="C31" s="199"/>
      <c r="D31" s="205" t="s">
        <v>54</v>
      </c>
      <c r="E31" s="200"/>
      <c r="F31" s="67"/>
      <c r="G31" s="33" t="s">
        <v>48</v>
      </c>
      <c r="H31" s="46" t="str">
        <f aca="false">A41</f>
        <v>6000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06" t="n">
        <v>12</v>
      </c>
      <c r="B32" s="207" t="n">
        <v>5000</v>
      </c>
      <c r="C32" s="207"/>
      <c r="D32" s="106" t="n">
        <f aca="false">(A32/12)*B32</f>
        <v>5000</v>
      </c>
      <c r="E32" s="106"/>
      <c r="F32" s="67"/>
      <c r="G32" s="33" t="s">
        <v>49</v>
      </c>
      <c r="H32" s="46" t="n">
        <f aca="false">A44*A32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38"/>
      <c r="H33" s="5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55</v>
      </c>
      <c r="B34" s="216" t="s">
        <v>61</v>
      </c>
      <c r="C34" s="215" t="s">
        <v>56</v>
      </c>
      <c r="D34" s="217" t="s">
        <v>62</v>
      </c>
      <c r="E34" s="200"/>
      <c r="F34" s="67"/>
      <c r="G34" s="7"/>
      <c r="H34" s="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12" t="n">
        <f aca="false">E15</f>
        <v>53028.79608</v>
      </c>
      <c r="B35" s="207" t="s">
        <v>58</v>
      </c>
      <c r="C35" s="207"/>
      <c r="D35" s="256" t="n">
        <f aca="false">A35-B35</f>
        <v>52028.79608</v>
      </c>
      <c r="E35" s="256"/>
      <c r="F35" s="67"/>
      <c r="G35" s="54" t="s">
        <v>59</v>
      </c>
      <c r="H35" s="335" t="n">
        <v>0.065</v>
      </c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7" t="s">
        <v>63</v>
      </c>
      <c r="H36" s="7" t="n">
        <f aca="false">B38</f>
        <v>11</v>
      </c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66</v>
      </c>
      <c r="B37" s="205" t="s">
        <v>67</v>
      </c>
      <c r="C37" s="199" t="s">
        <v>58</v>
      </c>
      <c r="D37" s="205" t="s">
        <v>68</v>
      </c>
      <c r="E37" s="200"/>
      <c r="F37" s="67"/>
      <c r="G37" s="7"/>
      <c r="H37" s="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07" t="s">
        <v>55</v>
      </c>
      <c r="B38" s="224" t="n">
        <f aca="false">A32-1</f>
        <v>11</v>
      </c>
      <c r="C38" s="224"/>
      <c r="D38" s="106" t="s">
        <v>70</v>
      </c>
      <c r="E38" s="106"/>
      <c r="F38" s="67"/>
      <c r="G38" s="57" t="s">
        <v>65</v>
      </c>
      <c r="H38" s="5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7" t="s">
        <v>69</v>
      </c>
      <c r="H39" s="7" t="str">
        <f aca="false">D38</f>
        <v>500</v>
      </c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76</v>
      </c>
      <c r="B40" s="223" t="s">
        <v>74</v>
      </c>
      <c r="C40" s="215"/>
      <c r="D40" s="170" t="s">
        <v>75</v>
      </c>
      <c r="E40" s="200"/>
      <c r="F40" s="67" t="s">
        <v>70</v>
      </c>
      <c r="G40" s="7" t="s">
        <v>71</v>
      </c>
      <c r="H40" s="7" t="n">
        <f aca="false">E11</f>
        <v>8655.63268</v>
      </c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344</v>
      </c>
      <c r="B41" s="106" t="s">
        <v>345</v>
      </c>
      <c r="C41" s="106"/>
      <c r="D41" s="207" t="s">
        <v>31</v>
      </c>
      <c r="E41" s="207"/>
      <c r="F41" s="67"/>
      <c r="G41" s="7" t="s">
        <v>72</v>
      </c>
      <c r="H41" s="7" t="n">
        <f aca="false">IF(D41="Yes",A44,0)</f>
        <v>0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7" t="s">
        <v>76</v>
      </c>
      <c r="H42" s="7" t="str">
        <f aca="false">A41</f>
        <v>6000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05" t="s">
        <v>130</v>
      </c>
      <c r="B43" s="223" t="s">
        <v>80</v>
      </c>
      <c r="C43" s="215" t="s">
        <v>345</v>
      </c>
      <c r="D43" s="223" t="s">
        <v>222</v>
      </c>
      <c r="E43" s="226"/>
      <c r="F43" s="67"/>
      <c r="G43" s="7" t="s">
        <v>77</v>
      </c>
      <c r="H43" s="7" t="n">
        <f aca="false">A32</f>
        <v>12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346</v>
      </c>
      <c r="B44" s="106" t="s">
        <v>347</v>
      </c>
      <c r="C44" s="106"/>
      <c r="D44" s="106" t="s">
        <v>347</v>
      </c>
      <c r="E44" s="106"/>
      <c r="F44" s="67"/>
      <c r="G44" s="7" t="s">
        <v>78</v>
      </c>
      <c r="H44" s="7" t="n">
        <f aca="false">((H40-(((H42/(1.2))*0.2)))/(H43))</f>
        <v>637.96939</v>
      </c>
      <c r="I44" s="336" t="n">
        <f aca="false">((A41*(B35-1))+D32)/B35</f>
        <v>5999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7" t="s">
        <v>82</v>
      </c>
      <c r="H45" s="7" t="n">
        <f aca="false">(H39-H44)+H41</f>
        <v>-137.96939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348</v>
      </c>
      <c r="B46" s="215" t="s">
        <v>349</v>
      </c>
      <c r="C46" s="215" t="s">
        <v>10</v>
      </c>
      <c r="D46" s="215"/>
      <c r="E46" s="226"/>
      <c r="F46" s="67" t="n">
        <v>0</v>
      </c>
      <c r="G46" s="7" t="s">
        <v>83</v>
      </c>
      <c r="H46" s="7" t="n">
        <v>0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12" t="s">
        <v>348</v>
      </c>
      <c r="B47" s="215"/>
      <c r="C47" s="215"/>
      <c r="D47" s="215"/>
      <c r="E47" s="226"/>
      <c r="F47" s="67"/>
      <c r="G47" s="7" t="s">
        <v>84</v>
      </c>
      <c r="H47" s="7" t="n">
        <f aca="false">A38/H29</f>
        <v>1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59" t="s">
        <v>86</v>
      </c>
      <c r="H48" s="7" t="n">
        <f aca="false">B41/H29</f>
        <v>1.66666666666667</v>
      </c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59" t="s">
        <v>87</v>
      </c>
      <c r="H49" s="7" t="n">
        <f aca="false">H45+H48+H47</f>
        <v>-135.302723333333</v>
      </c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215"/>
      <c r="E50" s="226"/>
      <c r="F50" s="67"/>
      <c r="G50" s="7" t="s">
        <v>350</v>
      </c>
      <c r="H50" s="7" t="n">
        <f aca="false">H49-H41</f>
        <v>-135.302723333333</v>
      </c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337" t="n">
        <f aca="false">H30</f>
        <v>5000</v>
      </c>
      <c r="C51" s="337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338" t="n">
        <f aca="false">H29</f>
        <v>12</v>
      </c>
      <c r="B52" s="78" t="n">
        <f aca="false">H49</f>
        <v>-135.302723333333</v>
      </c>
      <c r="C52" s="78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337" t="n">
        <f aca="false">H30</f>
        <v>5000</v>
      </c>
      <c r="C57" s="337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338" t="n">
        <f aca="false">H29</f>
        <v>12</v>
      </c>
      <c r="B58" s="78" t="n">
        <f aca="false">H49</f>
        <v>-135.302723333333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9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3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/>
      <c r="B66" s="199"/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52989.996</v>
      </c>
      <c r="C67" s="199"/>
      <c r="D67" s="199"/>
      <c r="E67" s="200"/>
      <c r="F67" s="67"/>
      <c r="G67" s="198" t="s">
        <v>27</v>
      </c>
      <c r="H67" s="36" t="n">
        <f aca="false">G18</f>
        <v>52989.996</v>
      </c>
      <c r="I67" s="199"/>
      <c r="J67" s="199"/>
      <c r="K67" s="200"/>
      <c r="L67" s="67"/>
      <c r="M67" s="198" t="s">
        <v>27</v>
      </c>
      <c r="N67" s="36" t="n">
        <f aca="false">G18</f>
        <v>52989.996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3709.29972</v>
      </c>
      <c r="C70" s="199" t="n">
        <v>10000</v>
      </c>
      <c r="D70" s="36" t="n">
        <f aca="false">B70-A149</f>
        <v>3709.29972</v>
      </c>
      <c r="E70" s="200" t="n">
        <f aca="false">D70/12</f>
        <v>309.10831</v>
      </c>
      <c r="F70" s="67"/>
      <c r="G70" s="262" t="s">
        <v>103</v>
      </c>
      <c r="H70" s="69" t="n">
        <f aca="false">H67*H69</f>
        <v>3709.29972</v>
      </c>
      <c r="I70" s="199"/>
      <c r="J70" s="36" t="n">
        <f aca="false">H70-G151</f>
        <v>3709.29972</v>
      </c>
      <c r="K70" s="200"/>
      <c r="L70" s="67"/>
      <c r="M70" s="262" t="s">
        <v>103</v>
      </c>
      <c r="N70" s="69" t="n">
        <f aca="false">N67*N69</f>
        <v>3709.29972</v>
      </c>
      <c r="O70" s="199"/>
      <c r="P70" s="36" t="n">
        <f aca="false">N70-M151</f>
        <v>3709.29972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69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 t="n">
        <f aca="false">B71+(B71*0.5*(H29/12-1))</f>
        <v>250</v>
      </c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264.94998</v>
      </c>
      <c r="I73" s="199"/>
      <c r="J73" s="36"/>
      <c r="K73" s="200"/>
      <c r="L73" s="67"/>
      <c r="M73" s="262" t="s">
        <v>106</v>
      </c>
      <c r="N73" s="69" t="n">
        <f aca="false">N67*N72</f>
        <v>264.94998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659.833333333333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54.9861111111111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45.8333333333333</v>
      </c>
      <c r="C82" s="199"/>
      <c r="D82" s="36" t="n">
        <f aca="false">IF(A50="YES",0,B82)</f>
        <v>45.8333333333333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5075.01540627451</v>
      </c>
      <c r="C87" s="199"/>
      <c r="D87" s="199"/>
      <c r="E87" s="200"/>
      <c r="F87" s="67"/>
      <c r="G87" s="276" t="s">
        <v>115</v>
      </c>
      <c r="H87" s="277" t="n">
        <f aca="false">SUM(J70:J86)</f>
        <v>6862.88305333333</v>
      </c>
      <c r="I87" s="199"/>
      <c r="J87" s="199"/>
      <c r="K87" s="200"/>
      <c r="L87" s="67"/>
      <c r="M87" s="276" t="s">
        <v>115</v>
      </c>
      <c r="N87" s="277" t="n">
        <f aca="false">SUM(P70:P86)</f>
        <v>6823.29972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422.917950522876</v>
      </c>
      <c r="C88" s="199"/>
      <c r="D88" s="199"/>
      <c r="E88" s="200"/>
      <c r="F88" s="67"/>
      <c r="G88" s="198" t="s">
        <v>116</v>
      </c>
      <c r="H88" s="37" t="n">
        <f aca="false">H87/H29</f>
        <v>571.906921111111</v>
      </c>
      <c r="I88" s="199"/>
      <c r="J88" s="199"/>
      <c r="K88" s="200"/>
      <c r="L88" s="67"/>
      <c r="M88" s="198" t="s">
        <v>116</v>
      </c>
      <c r="N88" s="37" t="n">
        <f aca="false">N87/H29</f>
        <v>568.60831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H50</f>
        <v>-135.302723333333</v>
      </c>
      <c r="C89" s="199"/>
      <c r="D89" s="199"/>
      <c r="E89" s="200"/>
      <c r="F89" s="67"/>
      <c r="G89" s="278" t="s">
        <v>117</v>
      </c>
      <c r="H89" s="63" t="n">
        <f aca="false">H46</f>
        <v>0</v>
      </c>
      <c r="I89" s="199"/>
      <c r="J89" s="199"/>
      <c r="K89" s="200"/>
      <c r="L89" s="67"/>
      <c r="M89" s="278" t="s">
        <v>117</v>
      </c>
      <c r="N89" s="63" t="n">
        <f aca="false">H46</f>
        <v>0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((B89*H29)+B87)*1.2</f>
        <v>4141.65927152941</v>
      </c>
      <c r="C91" s="199"/>
      <c r="D91" s="199"/>
      <c r="E91" s="200"/>
      <c r="F91" s="67"/>
      <c r="G91" s="265" t="s">
        <v>127</v>
      </c>
      <c r="H91" s="31" t="n">
        <f aca="false">((H89*H29)+H87)*1.2</f>
        <v>8235.459664</v>
      </c>
      <c r="I91" s="199"/>
      <c r="J91" s="199"/>
      <c r="K91" s="200"/>
      <c r="L91" s="67"/>
      <c r="M91" s="265" t="s">
        <v>127</v>
      </c>
      <c r="N91" s="31" t="n">
        <f aca="false">((N89*H29)+N87)</f>
        <v>6823.29972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30.027160271459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58.136564792255</v>
      </c>
      <c r="I92" s="199"/>
      <c r="J92" s="199"/>
      <c r="K92" s="200"/>
      <c r="L92" s="67"/>
      <c r="M92" s="198" t="s">
        <v>128</v>
      </c>
      <c r="N92" s="37" t="n">
        <f aca="false">(N91/(1-N76))*N76</f>
        <v>57.8012481323114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4171.68643180087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10293.5962287923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8881.10096813231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IF(B105=Z104,(((H41*A32)+(H41*A32)*(B111/100))/(B64)),(((H41*A32)+(H41*A32)*(B111/100))/(B63+B64)))*1.2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347.640535983406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347.640535983406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239.99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31</v>
      </c>
      <c r="B111" s="284" t="n">
        <v>30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239.99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167" t="n">
        <f aca="false">G158</f>
        <v>12</v>
      </c>
      <c r="H133" s="168" t="n">
        <f aca="false">B157</f>
        <v>0</v>
      </c>
      <c r="I133" s="215"/>
      <c r="J133" s="214" t="n">
        <f aca="false">B64</f>
        <v>3</v>
      </c>
      <c r="K133" s="200"/>
      <c r="L133" s="67"/>
      <c r="M133" s="167" t="n">
        <f aca="false">M161</f>
        <v>12</v>
      </c>
      <c r="N133" s="168" t="n">
        <f aca="false">B157</f>
        <v>0</v>
      </c>
      <c r="O133" s="215"/>
      <c r="P133" s="214" t="n">
        <f aca="false">B64</f>
        <v>3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347.640535983406</v>
      </c>
      <c r="B134" s="290" t="n">
        <f aca="false">IF(A111="YES",B95,0)</f>
        <v>0</v>
      </c>
      <c r="C134" s="294"/>
      <c r="D134" s="290" t="n">
        <f aca="false">B97</f>
        <v>347.640535983406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Terminal pause with 9 down </v>
      </c>
      <c r="B137" s="42" t="n">
        <f aca="false">B96*B63</f>
        <v>3128.76482385065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3128.76482385065</v>
      </c>
      <c r="B140" s="42" t="n">
        <f aca="false">E120</f>
        <v>0</v>
      </c>
      <c r="C140" s="199"/>
      <c r="D140" s="303" t="n">
        <f aca="false">B64</f>
        <v>3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0.31817277648</v>
      </c>
      <c r="H142" s="42" t="n">
        <f aca="false">IF(G111="YES",E15*0.000002,0)</f>
        <v>0.10605759216</v>
      </c>
      <c r="I142" s="42"/>
      <c r="J142" s="42" t="n">
        <f aca="false">G142+H142</f>
        <v>0.42423036864</v>
      </c>
      <c r="K142" s="107"/>
      <c r="L142" s="67"/>
      <c r="M142" s="113" t="n">
        <f aca="false">E15*0.000006</f>
        <v>0.31817277648</v>
      </c>
      <c r="N142" s="42" t="n">
        <f aca="false">IF(M111="YES",E15*0.000002,0)</f>
        <v>0.10605759216</v>
      </c>
      <c r="O142" s="42"/>
      <c r="P142" s="42" t="n">
        <f aca="false">M142+N142</f>
        <v>0.42423036864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347.640535983406</v>
      </c>
      <c r="B143" s="42" t="n">
        <f aca="false">IF(A111="YES",B95,0)</f>
        <v>0</v>
      </c>
      <c r="C143" s="199"/>
      <c r="D143" s="42" t="n">
        <f aca="false">B97</f>
        <v>347.640535983406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220.79165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220.79165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(G18*0.000006)*1.2*100</f>
        <v>38.15279712</v>
      </c>
      <c r="B146" s="309" t="n">
        <f aca="false">G18*0.000002*1.2*100</f>
        <v>12.71759904</v>
      </c>
      <c r="C146" s="310"/>
      <c r="D146" s="309" t="n">
        <f aca="false">A146+B146</f>
        <v>50.87039616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1440</v>
      </c>
      <c r="H148" s="42" t="n">
        <f aca="false">G108-100</f>
        <v>139.988</v>
      </c>
      <c r="I148" s="42"/>
      <c r="J148" s="42" t="n">
        <f aca="false">(H145+J145+G148+H148)-H151</f>
        <v>2880.77965</v>
      </c>
      <c r="K148" s="107"/>
      <c r="L148" s="67"/>
      <c r="M148" s="113" t="n">
        <f aca="false">IF(M111="YES",((A41*N111)*0.1)*(M133),0)</f>
        <v>1440</v>
      </c>
      <c r="N148" s="42" t="n">
        <f aca="false">M108-100</f>
        <v>99.99</v>
      </c>
      <c r="O148" s="42"/>
      <c r="P148" s="42" t="n">
        <f aca="false">(N145+P145+M148+N148)-N151</f>
        <v>2840.78165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239.99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IF(A111="YES",(A44/100*B111)*B131,0)*0.1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8655.63268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700</v>
      </c>
      <c r="E157" s="107"/>
      <c r="F157" s="67"/>
      <c r="G157" s="233"/>
      <c r="H157" s="337" t="n">
        <f aca="false">B57</f>
        <v>5000</v>
      </c>
      <c r="I157" s="337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338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337" t="n">
        <f aca="false">B57</f>
        <v>5000</v>
      </c>
      <c r="O160" s="337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338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337" t="n">
        <f aca="false">B57</f>
        <v>5000</v>
      </c>
      <c r="C166" s="337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338" t="n">
        <f aca="false">A58</f>
        <v>12</v>
      </c>
      <c r="B167" s="78" t="n">
        <f aca="false">B97</f>
        <v>347.640535983406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347.640535983406</v>
      </c>
      <c r="B177" s="290" t="n">
        <f aca="false">IF(A111="YES",B95,0)</f>
        <v>0</v>
      </c>
      <c r="C177" s="294"/>
      <c r="D177" s="290" t="n">
        <f aca="false">A177+B177</f>
        <v>347.640535983406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Terminal pause with 9 down </v>
      </c>
      <c r="B180" s="42" t="n">
        <f aca="false">B96*B63</f>
        <v>3128.76482385065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3128.76482385065</v>
      </c>
      <c r="B183" s="42" t="n">
        <f aca="false">E120</f>
        <v>0</v>
      </c>
      <c r="C183" s="199"/>
      <c r="D183" s="303" t="n">
        <f aca="false">B64</f>
        <v>3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347.640535983406</v>
      </c>
      <c r="B186" s="42" t="n">
        <f aca="false">IF(A111="YES",B95,0)</f>
        <v>0</v>
      </c>
      <c r="C186" s="199"/>
      <c r="D186" s="42" t="n">
        <f aca="false">B97</f>
        <v>347.640535983406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38.15279712</v>
      </c>
      <c r="B189" s="309" t="n">
        <f aca="false">G18*0.000002*1.2*100</f>
        <v>12.71759904</v>
      </c>
      <c r="C189" s="310"/>
      <c r="D189" s="309" t="n">
        <f aca="false">A189+B189</f>
        <v>50.87039616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239.99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IF(A111="YES",(A44/100*B111)*B131,0)*0.1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0.065</v>
      </c>
      <c r="C209" s="290" t="s">
        <v>228</v>
      </c>
      <c r="D209" s="320" t="n">
        <f aca="false">D70</f>
        <v>3709.29972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3969.29972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3709.29972</v>
      </c>
      <c r="C217" s="223" t="s">
        <v>234</v>
      </c>
      <c r="D217" s="199"/>
      <c r="E217" s="270" t="n">
        <f aca="false">B72</f>
        <v>250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3969.29972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30.027160271459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370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5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G38:H38"/>
    <mergeCell ref="B41:C41"/>
    <mergeCell ref="D41:E41"/>
    <mergeCell ref="B44:C44"/>
    <mergeCell ref="D44:E44"/>
    <mergeCell ref="A50:A51"/>
    <mergeCell ref="B50:C50"/>
    <mergeCell ref="B51:C51"/>
    <mergeCell ref="B52:C52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D41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18:A20" type="list">
      <formula1>$Y$16:$Y$18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20945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43128.1634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995</v>
      </c>
      <c r="F10" s="67"/>
      <c r="G10" s="67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8655.63268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290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53028.79608</v>
      </c>
      <c r="F15" s="67"/>
      <c r="G15" s="21" t="n">
        <f aca="false">E15</f>
        <v>53028.79608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33" t="s">
        <v>36</v>
      </c>
      <c r="H26" s="34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38" t="s">
        <v>38</v>
      </c>
      <c r="H27" s="39" t="n"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38" t="s">
        <v>40</v>
      </c>
      <c r="H28" s="39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334" t="n">
        <f aca="true">TODAY()+1</f>
        <v>45916</v>
      </c>
      <c r="E29" s="334"/>
      <c r="F29" s="67"/>
      <c r="G29" s="33" t="s">
        <v>41</v>
      </c>
      <c r="H29" s="41" t="n">
        <f aca="false">A32</f>
        <v>12</v>
      </c>
      <c r="I29" s="67" t="b">
        <f aca="false">ISNUMBER(I31)</f>
        <v>0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33" t="s">
        <v>45</v>
      </c>
      <c r="H30" s="41" t="n">
        <f aca="false">B32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52</v>
      </c>
      <c r="B31" s="205" t="s">
        <v>53</v>
      </c>
      <c r="C31" s="199"/>
      <c r="D31" s="205" t="s">
        <v>54</v>
      </c>
      <c r="E31" s="200"/>
      <c r="F31" s="67"/>
      <c r="G31" s="33" t="s">
        <v>48</v>
      </c>
      <c r="H31" s="46" t="str">
        <f aca="false">A41</f>
        <v>6000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06" t="n">
        <v>12</v>
      </c>
      <c r="B32" s="207" t="n">
        <v>5000</v>
      </c>
      <c r="C32" s="207"/>
      <c r="D32" s="106" t="n">
        <f aca="false">(A32/12)*B32</f>
        <v>5000</v>
      </c>
      <c r="E32" s="106"/>
      <c r="F32" s="67"/>
      <c r="G32" s="33" t="s">
        <v>49</v>
      </c>
      <c r="H32" s="46" t="n">
        <f aca="false">A44*A32</f>
        <v>600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38"/>
      <c r="H33" s="5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348</v>
      </c>
      <c r="B34" s="216" t="s">
        <v>61</v>
      </c>
      <c r="C34" s="215" t="s">
        <v>10</v>
      </c>
      <c r="D34" s="217" t="s">
        <v>62</v>
      </c>
      <c r="E34" s="200"/>
      <c r="F34" s="67"/>
      <c r="G34" s="7"/>
      <c r="H34" s="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12" t="n">
        <f aca="false">E15</f>
        <v>53028.79608</v>
      </c>
      <c r="B35" s="207" t="s">
        <v>58</v>
      </c>
      <c r="C35" s="207"/>
      <c r="D35" s="256" t="n">
        <f aca="false">A35-B35</f>
        <v>52028.79608</v>
      </c>
      <c r="E35" s="256"/>
      <c r="F35" s="67"/>
      <c r="G35" s="54" t="s">
        <v>59</v>
      </c>
      <c r="H35" s="335" t="n">
        <v>0.065</v>
      </c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7" t="s">
        <v>63</v>
      </c>
      <c r="H36" s="7" t="n">
        <f aca="false">B38</f>
        <v>11</v>
      </c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66</v>
      </c>
      <c r="B37" s="205" t="s">
        <v>67</v>
      </c>
      <c r="C37" s="199" t="s">
        <v>10</v>
      </c>
      <c r="D37" s="205" t="s">
        <v>68</v>
      </c>
      <c r="E37" s="200"/>
      <c r="F37" s="67"/>
      <c r="G37" s="7"/>
      <c r="H37" s="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07" t="s">
        <v>55</v>
      </c>
      <c r="B38" s="224" t="n">
        <f aca="false">A32-1</f>
        <v>11</v>
      </c>
      <c r="C38" s="224"/>
      <c r="D38" s="106" t="s">
        <v>70</v>
      </c>
      <c r="E38" s="106"/>
      <c r="F38" s="67"/>
      <c r="G38" s="57" t="s">
        <v>65</v>
      </c>
      <c r="H38" s="5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7" t="s">
        <v>69</v>
      </c>
      <c r="H39" s="7" t="str">
        <f aca="false">D38</f>
        <v>500</v>
      </c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76</v>
      </c>
      <c r="B40" s="223" t="s">
        <v>74</v>
      </c>
      <c r="C40" s="215"/>
      <c r="D40" s="170" t="s">
        <v>75</v>
      </c>
      <c r="E40" s="200"/>
      <c r="F40" s="67" t="s">
        <v>10</v>
      </c>
      <c r="G40" s="7" t="s">
        <v>71</v>
      </c>
      <c r="H40" s="7" t="n">
        <f aca="false">E11</f>
        <v>8655.63268</v>
      </c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344</v>
      </c>
      <c r="B41" s="106" t="s">
        <v>345</v>
      </c>
      <c r="C41" s="106"/>
      <c r="D41" s="207" t="s">
        <v>31</v>
      </c>
      <c r="E41" s="207"/>
      <c r="F41" s="67"/>
      <c r="G41" s="7" t="s">
        <v>72</v>
      </c>
      <c r="H41" s="7" t="str">
        <f aca="false">IF(D41="Yes",A44,0)</f>
        <v>50</v>
      </c>
      <c r="I41" s="7" t="s">
        <v>10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7" t="s">
        <v>76</v>
      </c>
      <c r="H42" s="7" t="str">
        <f aca="false">A41</f>
        <v>6000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05" t="s">
        <v>130</v>
      </c>
      <c r="B43" s="223" t="s">
        <v>80</v>
      </c>
      <c r="C43" s="215" t="s">
        <v>10</v>
      </c>
      <c r="D43" s="223" t="s">
        <v>222</v>
      </c>
      <c r="E43" s="226"/>
      <c r="F43" s="67"/>
      <c r="G43" s="7" t="s">
        <v>77</v>
      </c>
      <c r="H43" s="7" t="n">
        <f aca="false">A32</f>
        <v>12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346</v>
      </c>
      <c r="B44" s="106" t="s">
        <v>347</v>
      </c>
      <c r="C44" s="106"/>
      <c r="D44" s="106" t="s">
        <v>347</v>
      </c>
      <c r="E44" s="106"/>
      <c r="F44" s="67"/>
      <c r="G44" s="7" t="s">
        <v>78</v>
      </c>
      <c r="H44" s="7" t="n">
        <f aca="false">((H40-(((H42/(1.2))*0.2)))/(H43))</f>
        <v>637.96939</v>
      </c>
      <c r="I44" s="336" t="n">
        <f aca="false">((A41*(B35-1))+D32)/B35</f>
        <v>5999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7" t="s">
        <v>82</v>
      </c>
      <c r="H45" s="7" t="n">
        <f aca="false">(H39-H44)+H41</f>
        <v>-87.9693900000001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348</v>
      </c>
      <c r="B46" s="215" t="s">
        <v>349</v>
      </c>
      <c r="C46" s="215" t="s">
        <v>10</v>
      </c>
      <c r="D46" s="215"/>
      <c r="E46" s="226"/>
      <c r="F46" s="67" t="n">
        <v>0</v>
      </c>
      <c r="G46" s="7" t="s">
        <v>83</v>
      </c>
      <c r="H46" s="7" t="n">
        <v>0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12" t="s">
        <v>348</v>
      </c>
      <c r="B47" s="215"/>
      <c r="C47" s="215"/>
      <c r="D47" s="215"/>
      <c r="E47" s="226"/>
      <c r="F47" s="67"/>
      <c r="G47" s="7" t="s">
        <v>84</v>
      </c>
      <c r="H47" s="7" t="n">
        <f aca="false">A38/H29</f>
        <v>1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59" t="s">
        <v>86</v>
      </c>
      <c r="H48" s="7" t="n">
        <f aca="false">B41/H29</f>
        <v>1.66666666666667</v>
      </c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59" t="s">
        <v>87</v>
      </c>
      <c r="H49" s="7" t="n">
        <f aca="false">H45+H48+H47</f>
        <v>-85.3027233333334</v>
      </c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112"/>
      <c r="B50" s="215"/>
      <c r="C50" s="215"/>
      <c r="D50" s="215"/>
      <c r="E50" s="226"/>
      <c r="F50" s="67"/>
      <c r="G50" s="7" t="s">
        <v>350</v>
      </c>
      <c r="H50" s="7" t="n">
        <f aca="false">H49-H41</f>
        <v>-135.302723333333</v>
      </c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/>
      <c r="B52" s="78"/>
      <c r="C52" s="78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337" t="n">
        <f aca="false">H30</f>
        <v>5000</v>
      </c>
      <c r="C57" s="337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338" t="n">
        <f aca="false">H29</f>
        <v>12</v>
      </c>
      <c r="B58" s="78" t="n">
        <f aca="false">H49</f>
        <v>-85.3027233333334</v>
      </c>
      <c r="C58" s="78"/>
      <c r="D58" s="236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9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3</v>
      </c>
      <c r="C64" s="199" t="s">
        <v>10</v>
      </c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/>
      <c r="B66" s="199"/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52989.996</v>
      </c>
      <c r="C67" s="199"/>
      <c r="D67" s="199"/>
      <c r="E67" s="200"/>
      <c r="F67" s="67"/>
      <c r="G67" s="198" t="s">
        <v>27</v>
      </c>
      <c r="H67" s="36" t="n">
        <f aca="false">G18</f>
        <v>52989.996</v>
      </c>
      <c r="I67" s="199"/>
      <c r="J67" s="199"/>
      <c r="K67" s="200"/>
      <c r="L67" s="67"/>
      <c r="M67" s="198" t="s">
        <v>27</v>
      </c>
      <c r="N67" s="36" t="n">
        <f aca="false">G18</f>
        <v>52989.996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3709.29972</v>
      </c>
      <c r="C70" s="199" t="n">
        <v>10000</v>
      </c>
      <c r="D70" s="36" t="n">
        <f aca="false">B70-A149</f>
        <v>3709.29972</v>
      </c>
      <c r="E70" s="200" t="n">
        <f aca="false">D70/12</f>
        <v>309.10831</v>
      </c>
      <c r="F70" s="67"/>
      <c r="G70" s="262" t="s">
        <v>103</v>
      </c>
      <c r="H70" s="69" t="n">
        <f aca="false">H67*H69</f>
        <v>3709.29972</v>
      </c>
      <c r="I70" s="199"/>
      <c r="J70" s="36" t="n">
        <f aca="false">H70-G151</f>
        <v>3709.29972</v>
      </c>
      <c r="K70" s="200"/>
      <c r="L70" s="67"/>
      <c r="M70" s="262" t="s">
        <v>103</v>
      </c>
      <c r="N70" s="69" t="n">
        <f aca="false">N67*N69</f>
        <v>3709.29972</v>
      </c>
      <c r="O70" s="199"/>
      <c r="P70" s="36" t="n">
        <f aca="false">N70-M151</f>
        <v>3709.29972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69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 t="n">
        <f aca="false">B71+(B71*0.5*(H29/12-1))</f>
        <v>250</v>
      </c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264.94998</v>
      </c>
      <c r="I73" s="199"/>
      <c r="J73" s="36"/>
      <c r="K73" s="200"/>
      <c r="L73" s="67"/>
      <c r="M73" s="262" t="s">
        <v>106</v>
      </c>
      <c r="N73" s="69" t="n">
        <f aca="false">N67*N72</f>
        <v>264.94998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659.833333333333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54.9861111111111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45.8333333333333</v>
      </c>
      <c r="C82" s="199"/>
      <c r="D82" s="36" t="n">
        <f aca="false">IF(A50="YES",0,B82)</f>
        <v>45.8333333333333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5075.01540627451</v>
      </c>
      <c r="C87" s="199"/>
      <c r="D87" s="199"/>
      <c r="E87" s="200"/>
      <c r="F87" s="67"/>
      <c r="G87" s="276" t="s">
        <v>115</v>
      </c>
      <c r="H87" s="277" t="n">
        <f aca="false">SUM(J70:J86)</f>
        <v>6862.88305333333</v>
      </c>
      <c r="I87" s="199"/>
      <c r="J87" s="199"/>
      <c r="K87" s="200"/>
      <c r="L87" s="67"/>
      <c r="M87" s="276" t="s">
        <v>115</v>
      </c>
      <c r="N87" s="277" t="n">
        <f aca="false">SUM(P70:P86)</f>
        <v>6823.29972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422.917950522876</v>
      </c>
      <c r="C88" s="199"/>
      <c r="D88" s="199"/>
      <c r="E88" s="200"/>
      <c r="F88" s="67"/>
      <c r="G88" s="198" t="s">
        <v>116</v>
      </c>
      <c r="H88" s="37" t="n">
        <f aca="false">H87/H29</f>
        <v>571.906921111111</v>
      </c>
      <c r="I88" s="199"/>
      <c r="J88" s="199"/>
      <c r="K88" s="200"/>
      <c r="L88" s="67"/>
      <c r="M88" s="198" t="s">
        <v>116</v>
      </c>
      <c r="N88" s="37" t="n">
        <f aca="false">N87/H29</f>
        <v>568.60831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H50</f>
        <v>-135.302723333333</v>
      </c>
      <c r="C89" s="199"/>
      <c r="D89" s="199"/>
      <c r="E89" s="200"/>
      <c r="F89" s="67"/>
      <c r="G89" s="278" t="s">
        <v>117</v>
      </c>
      <c r="H89" s="63" t="n">
        <f aca="false">H46</f>
        <v>0</v>
      </c>
      <c r="I89" s="199"/>
      <c r="J89" s="199"/>
      <c r="K89" s="200"/>
      <c r="L89" s="67"/>
      <c r="M89" s="278" t="s">
        <v>117</v>
      </c>
      <c r="N89" s="63" t="n">
        <f aca="false">H46</f>
        <v>0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3451.38272627451</v>
      </c>
      <c r="C91" s="199"/>
      <c r="D91" s="199"/>
      <c r="E91" s="200"/>
      <c r="F91" s="67"/>
      <c r="G91" s="265" t="s">
        <v>127</v>
      </c>
      <c r="H91" s="31" t="n">
        <f aca="false">((H89*H29)+H87)*1.2</f>
        <v>8235.459664</v>
      </c>
      <c r="I91" s="199"/>
      <c r="J91" s="199"/>
      <c r="K91" s="200"/>
      <c r="L91" s="67"/>
      <c r="M91" s="265" t="s">
        <v>127</v>
      </c>
      <c r="N91" s="31" t="n">
        <f aca="false">((N89*H29)+N87)</f>
        <v>6823.29972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30.027160271459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58.136564792255</v>
      </c>
      <c r="I92" s="199"/>
      <c r="J92" s="199"/>
      <c r="K92" s="200"/>
      <c r="L92" s="67"/>
      <c r="M92" s="198" t="s">
        <v>128</v>
      </c>
      <c r="N92" s="37" t="n">
        <f aca="false">(N91/(1-N76))*N76</f>
        <v>57.8012481323114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3481.40988654597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10293.5962287923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8881.10096813231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IF(B105=Z104,(((H41*A32)+(H41*A32)*(B111/100))/(B64)),(((H41*A32)+(H41*A32)*(B111/100))/(B63+B64)))</f>
        <v>65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290.117490545497</v>
      </c>
      <c r="C96" s="199" t="s">
        <v>10</v>
      </c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355.117490545497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31</v>
      </c>
      <c r="B111" s="284" t="n">
        <v>30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167" t="n">
        <f aca="false">G158</f>
        <v>12</v>
      </c>
      <c r="H133" s="168" t="n">
        <f aca="false">B157</f>
        <v>0</v>
      </c>
      <c r="I133" s="215"/>
      <c r="J133" s="214" t="n">
        <f aca="false">B64</f>
        <v>3</v>
      </c>
      <c r="K133" s="200"/>
      <c r="L133" s="67"/>
      <c r="M133" s="167" t="n">
        <f aca="false">M161</f>
        <v>12</v>
      </c>
      <c r="N133" s="168" t="n">
        <f aca="false">B157</f>
        <v>0</v>
      </c>
      <c r="O133" s="215"/>
      <c r="P133" s="214" t="n">
        <f aca="false">B64</f>
        <v>3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290.117490545497</v>
      </c>
      <c r="B134" s="290" t="n">
        <f aca="false">IF(A111="YES",B95,0)</f>
        <v>65</v>
      </c>
      <c r="C134" s="295"/>
      <c r="D134" s="290" t="n">
        <f aca="false">B97</f>
        <v>355.117490545497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Terminal pause with 9 down </v>
      </c>
      <c r="B137" s="42" t="n">
        <f aca="false">B96*B63</f>
        <v>2611.05741490948</v>
      </c>
      <c r="C137" s="199"/>
      <c r="D137" s="42" t="n">
        <f aca="false">IF(A111="YES",B95*B63,0)</f>
        <v>585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3196.05741490948</v>
      </c>
      <c r="B140" s="42" t="n">
        <f aca="false">E120</f>
        <v>0</v>
      </c>
      <c r="C140" s="199"/>
      <c r="D140" s="303" t="n">
        <f aca="false">B64</f>
        <v>3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0.31817277648</v>
      </c>
      <c r="H142" s="42" t="n">
        <f aca="false">IF(G111="YES",E15*0.000002,0)</f>
        <v>0.10605759216</v>
      </c>
      <c r="I142" s="42"/>
      <c r="J142" s="42" t="n">
        <f aca="false">G142+H142</f>
        <v>0.42423036864</v>
      </c>
      <c r="K142" s="107"/>
      <c r="L142" s="67"/>
      <c r="M142" s="113" t="n">
        <f aca="false">E15*0.000006</f>
        <v>0.31817277648</v>
      </c>
      <c r="N142" s="42" t="n">
        <f aca="false">IF(M111="YES",E15*0.000002,0)</f>
        <v>0.10605759216</v>
      </c>
      <c r="O142" s="42"/>
      <c r="P142" s="42" t="n">
        <f aca="false">M142+N142</f>
        <v>0.42423036864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290.117490545497</v>
      </c>
      <c r="B143" s="42" t="n">
        <f aca="false">IF(A111="YES",B95,0)</f>
        <v>65</v>
      </c>
      <c r="C143" s="199"/>
      <c r="D143" s="42" t="n">
        <f aca="false">B97</f>
        <v>355.117490545497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220.79165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220.79165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31.7939976</v>
      </c>
      <c r="B146" s="309" t="n">
        <f aca="false">G18*0.000002*100</f>
        <v>10.5979992</v>
      </c>
      <c r="C146" s="310"/>
      <c r="D146" s="309" t="n">
        <f aca="false">A146+B146</f>
        <v>42.3919968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1440</v>
      </c>
      <c r="H148" s="42" t="n">
        <f aca="false">G108-100</f>
        <v>139.988</v>
      </c>
      <c r="I148" s="42"/>
      <c r="J148" s="42" t="n">
        <f aca="false">(H145+J145+G148+H148)-H151</f>
        <v>2880.77965</v>
      </c>
      <c r="K148" s="107"/>
      <c r="L148" s="67"/>
      <c r="M148" s="113" t="n">
        <f aca="false">IF(M111="YES",((A41*N111)*0.1)*(M133),0)</f>
        <v>1440</v>
      </c>
      <c r="N148" s="42" t="n">
        <f aca="false">M108-100</f>
        <v>99.99</v>
      </c>
      <c r="O148" s="42"/>
      <c r="P148" s="42" t="n">
        <f aca="false">(N145+P145+M148+N148)-N151</f>
        <v>2840.78165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IF(A111="YES",(A44/100*B111)*B131,0)*0.1</f>
        <v>18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8655.63268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718</v>
      </c>
      <c r="E157" s="107"/>
      <c r="F157" s="67"/>
      <c r="G157" s="233"/>
      <c r="H157" s="337" t="n">
        <f aca="false">B57</f>
        <v>5000</v>
      </c>
      <c r="I157" s="337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338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337" t="n">
        <f aca="false">B57</f>
        <v>5000</v>
      </c>
      <c r="O160" s="337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338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337" t="n">
        <f aca="false">B57</f>
        <v>5000</v>
      </c>
      <c r="C166" s="337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338" t="n">
        <f aca="false">A58</f>
        <v>12</v>
      </c>
      <c r="B167" s="78" t="n">
        <f aca="false">B97</f>
        <v>355.117490545497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 t="b">
        <f aca="false">ISNUMBER(B183)</f>
        <v>1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290.117490545497</v>
      </c>
      <c r="B177" s="290" t="n">
        <f aca="false">IF(A111="YES",B95,0)</f>
        <v>65</v>
      </c>
      <c r="C177" s="295"/>
      <c r="D177" s="290" t="n">
        <f aca="false">B91</f>
        <v>3451.38272627451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Terminal pause with 9 down </v>
      </c>
      <c r="B180" s="42" t="n">
        <f aca="false">B96*B63</f>
        <v>2611.05741490948</v>
      </c>
      <c r="C180" s="199"/>
      <c r="D180" s="42" t="n">
        <f aca="false">IF(A111="YES",B95*B63,0)</f>
        <v>585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3196.05741490948</v>
      </c>
      <c r="B183" s="42" t="n">
        <f aca="false">E120</f>
        <v>0</v>
      </c>
      <c r="C183" s="199"/>
      <c r="D183" s="303" t="n">
        <f aca="false">B64</f>
        <v>3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290.117490545497</v>
      </c>
      <c r="B186" s="42" t="n">
        <f aca="false">IF(A111="YES",B95,0)</f>
        <v>65</v>
      </c>
      <c r="C186" s="199"/>
      <c r="D186" s="42" t="n">
        <f aca="false">B97</f>
        <v>355.117490545497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31.7939976</v>
      </c>
      <c r="B189" s="309" t="n">
        <f aca="false">G18*0.000002*100</f>
        <v>10.5979992</v>
      </c>
      <c r="C189" s="310"/>
      <c r="D189" s="309" t="n">
        <f aca="false">A189+B189</f>
        <v>42.3919968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IF(A111="YES",(A44/100*B111)*B131,0)*0.1</f>
        <v>18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718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0.065</v>
      </c>
      <c r="C209" s="290" t="s">
        <v>228</v>
      </c>
      <c r="D209" s="320" t="n">
        <f aca="false">D70</f>
        <v>3709.29972</v>
      </c>
      <c r="E209" s="291"/>
      <c r="F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690</v>
      </c>
      <c r="E211" s="291"/>
      <c r="F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4149.29972</v>
      </c>
      <c r="C213" s="294"/>
      <c r="D213" s="290"/>
      <c r="E213" s="291"/>
      <c r="F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3709.29972</v>
      </c>
      <c r="C217" s="223" t="s">
        <v>234</v>
      </c>
      <c r="D217" s="199"/>
      <c r="E217" s="270" t="n">
        <f aca="false">B72</f>
        <v>250</v>
      </c>
      <c r="F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4149.29972</v>
      </c>
      <c r="F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180</v>
      </c>
      <c r="C225" s="42"/>
      <c r="D225" s="307"/>
      <c r="E225" s="157"/>
      <c r="F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30.027160271459</v>
      </c>
      <c r="F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370</v>
      </c>
      <c r="F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198"/>
      <c r="B243" s="199"/>
      <c r="C243" s="199"/>
      <c r="D243" s="199"/>
      <c r="E243" s="200"/>
      <c r="F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113"/>
      <c r="B244" s="42"/>
      <c r="C244" s="42"/>
      <c r="D244" s="42"/>
      <c r="E244" s="107"/>
      <c r="F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198"/>
      <c r="B245" s="199"/>
      <c r="C245" s="199"/>
      <c r="D245" s="199"/>
      <c r="E245" s="200"/>
      <c r="F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198"/>
      <c r="B246" s="199"/>
      <c r="C246" s="199"/>
      <c r="D246" s="199"/>
      <c r="E246" s="200"/>
      <c r="F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113"/>
      <c r="B247" s="42"/>
      <c r="C247" s="199"/>
      <c r="D247" s="199"/>
      <c r="E247" s="200"/>
      <c r="F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262"/>
      <c r="B248" s="263"/>
      <c r="C248" s="263"/>
      <c r="D248" s="263"/>
      <c r="E248" s="264"/>
      <c r="F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2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G38:H38"/>
    <mergeCell ref="B41:C41"/>
    <mergeCell ref="D41:E41"/>
    <mergeCell ref="B44:C44"/>
    <mergeCell ref="D44:E44"/>
    <mergeCell ref="B52:C52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4">
    <dataValidation allowBlank="true" errorStyle="stop" operator="between" showDropDown="false" showErrorMessage="true" showInputMessage="false" sqref="A18:A20" type="list">
      <formula1>$Y$16:$Y$18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  <dataValidation allowBlank="true" errorStyle="stop" operator="between" showDropDown="false" showErrorMessage="true" showInputMessage="false" sqref="D41 A111 G111 M111 O113 B116 H116 N116" type="list">
      <formula1>$Z$19:$Z$20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81"/>
  <sheetViews>
    <sheetView showFormulas="false" showGridLines="true" showRowColHeaders="true" showZeros="true" rightToLeft="false" tabSelected="false" showOutlineSymbols="true" defaultGridColor="true" view="normal" topLeftCell="A255" colorId="64" zoomScale="100" zoomScaleNormal="100" zoomScalePageLayoutView="100" workbookViewId="0">
      <selection pane="topLeft" activeCell="F270" activeCellId="0" sqref="F270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20945</v>
      </c>
      <c r="C3" s="398"/>
      <c r="D3" s="398" t="n">
        <v>0</v>
      </c>
      <c r="E3" s="398"/>
      <c r="F3" s="398" t="n">
        <v>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399" t="n">
        <v>0</v>
      </c>
      <c r="C4" s="399"/>
      <c r="D4" s="400" t="n">
        <v>0</v>
      </c>
      <c r="E4" s="400"/>
      <c r="F4" s="400" t="n">
        <v>0</v>
      </c>
      <c r="G4" s="400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0</v>
      </c>
      <c r="C5" s="398"/>
      <c r="D5" s="398" t="n">
        <v>0</v>
      </c>
      <c r="E5" s="398"/>
      <c r="F5" s="398" t="n">
        <v>0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880.1666</v>
      </c>
      <c r="C6" s="209"/>
      <c r="D6" s="209" t="n">
        <f aca="false">(D3*D4/100)+D5</f>
        <v>0</v>
      </c>
      <c r="E6" s="209"/>
      <c r="F6" s="209" t="n">
        <f aca="false">(F3*F4/100)+F5</f>
        <v>0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43128.1634</v>
      </c>
      <c r="C7" s="209"/>
      <c r="D7" s="209" t="n">
        <f aca="false">D3-D6</f>
        <v>0</v>
      </c>
      <c r="E7" s="209"/>
      <c r="F7" s="209" t="n">
        <f aca="false">F3-F6</f>
        <v>0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1095</v>
      </c>
    </row>
    <row r="9" customFormat="false" ht="19.7" hidden="false" customHeight="false" outlineLevel="0" collapsed="false">
      <c r="A9" s="143" t="s">
        <v>173</v>
      </c>
      <c r="B9" s="143"/>
      <c r="C9" s="143"/>
      <c r="D9" s="143"/>
      <c r="E9" s="143"/>
      <c r="F9" s="143"/>
      <c r="G9" s="129"/>
      <c r="H9" s="355" t="n">
        <f aca="false">B7+D7+F7+H3</f>
        <v>43128.1634</v>
      </c>
      <c r="I9" s="7"/>
      <c r="J9" s="7"/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/>
      <c r="F10" s="145"/>
      <c r="G10" s="146"/>
      <c r="H10" s="354" t="n">
        <v>995</v>
      </c>
      <c r="I10" s="7"/>
      <c r="J10" s="7"/>
      <c r="L10" s="20" t="s">
        <v>15</v>
      </c>
      <c r="M10" s="14" t="n">
        <f aca="false">H15-H11-M8</f>
        <v>43278.1634</v>
      </c>
    </row>
    <row r="11" customFormat="false" ht="18.75" hidden="false" customHeight="false" outlineLevel="0" collapsed="false">
      <c r="A11" s="145" t="s">
        <v>175</v>
      </c>
      <c r="B11" s="145"/>
      <c r="C11" s="145"/>
      <c r="D11" s="145"/>
      <c r="E11" s="145"/>
      <c r="F11" s="145"/>
      <c r="G11" s="146"/>
      <c r="H11" s="37" t="n">
        <f aca="false">(H9+H10)*20%</f>
        <v>8655.63268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/>
      <c r="C13" s="145"/>
      <c r="D13" s="145"/>
      <c r="E13" s="145"/>
      <c r="F13" s="145"/>
      <c r="G13" s="146"/>
      <c r="H13" s="354" t="n">
        <v>290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/>
      <c r="F14" s="145"/>
      <c r="G14" s="146"/>
      <c r="H14" s="354" t="n">
        <v>55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53028.79608</v>
      </c>
      <c r="I15" s="7"/>
      <c r="J15" s="21" t="n">
        <f aca="false">H15</f>
        <v>53028.79608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/>
      <c r="F16" s="145"/>
      <c r="G16" s="146"/>
      <c r="H16" s="354" t="n">
        <v>0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52989.996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/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53028.79608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22.05" hidden="false" customHeight="false" outlineLevel="0" collapsed="false">
      <c r="A26" s="32" t="s">
        <v>35</v>
      </c>
      <c r="B26" s="32"/>
      <c r="C26" s="32"/>
      <c r="D26" s="32"/>
      <c r="E26" s="32"/>
      <c r="F26" s="32"/>
      <c r="G26" s="32"/>
      <c r="H26" s="32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18.75" hidden="false" customHeight="false" outlineLevel="0" collapsed="false">
      <c r="A28" s="40" t="s">
        <v>36</v>
      </c>
      <c r="B28" s="36" t="s">
        <v>39</v>
      </c>
      <c r="C28" s="36"/>
      <c r="D28" s="36"/>
      <c r="E28" s="36"/>
      <c r="F28" s="36"/>
      <c r="G28" s="36"/>
      <c r="H28" s="37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/>
      <c r="I29" s="36"/>
      <c r="J29" s="33" t="s">
        <v>41</v>
      </c>
      <c r="K29" s="41" t="str">
        <f aca="false">A34</f>
        <v>33</v>
      </c>
    </row>
    <row r="30" customFormat="false" ht="18.75" hidden="false" customHeight="false" outlineLevel="0" collapsed="false">
      <c r="A30" s="40" t="s">
        <v>42</v>
      </c>
      <c r="B30" s="36"/>
      <c r="C30" s="42" t="s">
        <v>43</v>
      </c>
      <c r="D30" s="43"/>
      <c r="E30" s="36"/>
      <c r="F30" s="42" t="s">
        <v>44</v>
      </c>
      <c r="G30" s="43"/>
      <c r="H30" s="37"/>
      <c r="I30" s="36"/>
      <c r="J30" s="33" t="s">
        <v>45</v>
      </c>
      <c r="K30" s="41" t="str">
        <f aca="false">C34</f>
        <v>5000</v>
      </c>
    </row>
    <row r="31" customFormat="false" ht="18.75" hidden="false" customHeight="false" outlineLevel="0" collapsed="false">
      <c r="A31" s="44" t="s">
        <v>46</v>
      </c>
      <c r="B31" s="36"/>
      <c r="C31" s="45" t="s">
        <v>47</v>
      </c>
      <c r="D31" s="45"/>
      <c r="E31" s="36"/>
      <c r="F31" s="45"/>
      <c r="G31" s="45"/>
      <c r="H31" s="37"/>
      <c r="I31" s="36"/>
      <c r="J31" s="33" t="s">
        <v>48</v>
      </c>
      <c r="K31" s="46" t="n">
        <f aca="false">A43</f>
        <v>6000</v>
      </c>
    </row>
    <row r="32" customFormat="false" ht="34.3" hidden="false" customHeight="false" outlineLevel="0" collapsed="false">
      <c r="A32" s="40"/>
      <c r="B32" s="47"/>
      <c r="C32" s="47"/>
      <c r="D32" s="47"/>
      <c r="E32" s="47"/>
      <c r="F32" s="47"/>
      <c r="G32" s="47"/>
      <c r="H32" s="37"/>
      <c r="I32" s="7"/>
      <c r="J32" s="33" t="s">
        <v>49</v>
      </c>
      <c r="K32" s="46" t="n">
        <f aca="false">A46</f>
        <v>0</v>
      </c>
    </row>
    <row r="33" customFormat="false" ht="18.75" hidden="false" customHeight="false" outlineLevel="0" collapsed="false">
      <c r="A33" s="40" t="s">
        <v>52</v>
      </c>
      <c r="B33" s="36"/>
      <c r="C33" s="50" t="s">
        <v>53</v>
      </c>
      <c r="D33" s="43"/>
      <c r="E33" s="36"/>
      <c r="F33" s="42" t="s">
        <v>54</v>
      </c>
      <c r="G33" s="43"/>
      <c r="H33" s="51"/>
      <c r="I33" s="7"/>
      <c r="J33" s="38"/>
      <c r="K33" s="52"/>
    </row>
    <row r="34" customFormat="false" ht="18.75" hidden="false" customHeight="false" outlineLevel="0" collapsed="false">
      <c r="A34" s="44" t="s">
        <v>259</v>
      </c>
      <c r="B34" s="36"/>
      <c r="C34" s="45" t="s">
        <v>56</v>
      </c>
      <c r="D34" s="45"/>
      <c r="E34" s="36"/>
      <c r="F34" s="45" t="n">
        <f aca="false">(A34/12)*C34</f>
        <v>13750</v>
      </c>
      <c r="G34" s="45"/>
      <c r="H34" s="51"/>
      <c r="I34" s="7"/>
      <c r="J34" s="7"/>
      <c r="K34" s="7"/>
    </row>
    <row r="35" customFormat="false" ht="21.6" hidden="false" customHeight="false" outlineLevel="0" collapsed="false">
      <c r="A35" s="35"/>
      <c r="B35" s="36"/>
      <c r="C35" s="36"/>
      <c r="E35" s="36"/>
      <c r="F35" s="47"/>
      <c r="G35" s="47"/>
      <c r="H35" s="51"/>
      <c r="I35" s="7"/>
      <c r="J35" s="54" t="s">
        <v>59</v>
      </c>
      <c r="K35" s="402" t="n">
        <v>0.065</v>
      </c>
    </row>
    <row r="36" customFormat="false" ht="18.75" hidden="false" customHeight="false" outlineLevel="0" collapsed="false">
      <c r="A36" s="40" t="s">
        <v>60</v>
      </c>
      <c r="B36" s="36"/>
      <c r="C36" s="42" t="s">
        <v>61</v>
      </c>
      <c r="D36" s="43"/>
      <c r="E36" s="36"/>
      <c r="F36" s="42" t="s">
        <v>62</v>
      </c>
      <c r="G36" s="43"/>
      <c r="H36" s="51"/>
      <c r="I36" s="7"/>
      <c r="J36" s="7" t="s">
        <v>63</v>
      </c>
      <c r="K36" s="7" t="n">
        <f aca="false">C40</f>
        <v>32</v>
      </c>
    </row>
    <row r="37" customFormat="false" ht="18.75" hidden="false" customHeight="false" outlineLevel="0" collapsed="false">
      <c r="A37" s="40" t="n">
        <f aca="false">H15</f>
        <v>53028.79608</v>
      </c>
      <c r="B37" s="36"/>
      <c r="C37" s="45" t="s">
        <v>58</v>
      </c>
      <c r="D37" s="45"/>
      <c r="E37" s="36"/>
      <c r="F37" s="47" t="n">
        <f aca="false">A37-C37</f>
        <v>52028.79608</v>
      </c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40"/>
      <c r="B38" s="47"/>
      <c r="C38" s="47"/>
      <c r="D38" s="47"/>
      <c r="E38" s="47"/>
      <c r="F38" s="47"/>
      <c r="G38" s="47"/>
      <c r="H38" s="51"/>
      <c r="J38" s="57" t="s">
        <v>65</v>
      </c>
      <c r="K38" s="57"/>
      <c r="L38" s="7"/>
    </row>
    <row r="39" customFormat="false" ht="18.75" hidden="false" customHeight="false" outlineLevel="0" collapsed="false">
      <c r="A39" s="40" t="s">
        <v>66</v>
      </c>
      <c r="B39" s="36"/>
      <c r="C39" s="43" t="s">
        <v>67</v>
      </c>
      <c r="D39" s="42"/>
      <c r="E39" s="36"/>
      <c r="F39" s="42" t="s">
        <v>68</v>
      </c>
      <c r="G39" s="43"/>
      <c r="H39" s="51"/>
      <c r="J39" s="7" t="s">
        <v>69</v>
      </c>
      <c r="K39" s="7" t="str">
        <f aca="false">F40</f>
        <v>500</v>
      </c>
      <c r="L39" s="7"/>
    </row>
    <row r="40" customFormat="false" ht="18.75" hidden="false" customHeight="false" outlineLevel="0" collapsed="false">
      <c r="A40" s="44" t="s">
        <v>55</v>
      </c>
      <c r="B40" s="36"/>
      <c r="C40" s="58" t="n">
        <f aca="false">A34-1</f>
        <v>32</v>
      </c>
      <c r="D40" s="58"/>
      <c r="E40" s="36"/>
      <c r="F40" s="45" t="s">
        <v>70</v>
      </c>
      <c r="G40" s="45"/>
      <c r="H40" s="51"/>
      <c r="J40" s="7" t="s">
        <v>71</v>
      </c>
      <c r="K40" s="7" t="n">
        <f aca="false">H11</f>
        <v>8655.63268</v>
      </c>
      <c r="L40" s="7"/>
    </row>
    <row r="41" customFormat="false" ht="18.75" hidden="false" customHeight="false" outlineLevel="0" collapsed="false">
      <c r="A41" s="40"/>
      <c r="B41" s="47"/>
      <c r="C41" s="47"/>
      <c r="D41" s="47"/>
      <c r="E41" s="47"/>
      <c r="F41" s="47"/>
      <c r="G41" s="47"/>
      <c r="H41" s="51"/>
      <c r="J41" s="7" t="s">
        <v>72</v>
      </c>
      <c r="K41" s="7" t="n">
        <f aca="false">IF(F43="Yes",A46,0)</f>
        <v>0</v>
      </c>
      <c r="L41" s="7"/>
    </row>
    <row r="42" customFormat="false" ht="18.75" hidden="false" customHeight="false" outlineLevel="0" collapsed="false">
      <c r="A42" s="40" t="s">
        <v>73</v>
      </c>
      <c r="B42" s="36"/>
      <c r="C42" s="42" t="s">
        <v>74</v>
      </c>
      <c r="D42" s="43"/>
      <c r="E42" s="36"/>
      <c r="F42" s="42" t="s">
        <v>75</v>
      </c>
      <c r="G42" s="43"/>
      <c r="H42" s="51"/>
      <c r="J42" s="7" t="s">
        <v>76</v>
      </c>
      <c r="K42" s="7" t="n">
        <f aca="false">A43</f>
        <v>6000</v>
      </c>
      <c r="L42" s="7"/>
    </row>
    <row r="43" customFormat="false" ht="18.75" hidden="false" customHeight="false" outlineLevel="0" collapsed="false">
      <c r="A43" s="44" t="n">
        <v>6000</v>
      </c>
      <c r="B43" s="36"/>
      <c r="C43" s="45" t="n">
        <v>20</v>
      </c>
      <c r="D43" s="45"/>
      <c r="E43" s="36"/>
      <c r="F43" s="45" t="s">
        <v>31</v>
      </c>
      <c r="G43" s="45"/>
      <c r="H43" s="51"/>
      <c r="J43" s="7" t="s">
        <v>77</v>
      </c>
      <c r="K43" s="7" t="str">
        <f aca="false">A34</f>
        <v>33</v>
      </c>
      <c r="L43" s="7"/>
    </row>
    <row r="44" customFormat="false" ht="18.75" hidden="false" customHeight="false" outlineLevel="0" collapsed="false">
      <c r="A44" s="40"/>
      <c r="B44" s="47"/>
      <c r="C44" s="47"/>
      <c r="D44" s="47"/>
      <c r="E44" s="47"/>
      <c r="F44" s="47"/>
      <c r="G44" s="47"/>
      <c r="H44" s="51"/>
      <c r="J44" s="7" t="s">
        <v>78</v>
      </c>
      <c r="K44" s="7" t="n">
        <f aca="false">((K40-(((K42/(1.2))*0.2)))/(K43))</f>
        <v>231.988869090909</v>
      </c>
      <c r="L44" s="7"/>
    </row>
    <row r="45" customFormat="false" ht="18.75" hidden="false" customHeight="false" outlineLevel="0" collapsed="false">
      <c r="A45" s="40" t="s">
        <v>79</v>
      </c>
      <c r="B45" s="36"/>
      <c r="C45" s="42" t="s">
        <v>80</v>
      </c>
      <c r="D45" s="43"/>
      <c r="E45" s="36"/>
      <c r="F45" s="42" t="s">
        <v>81</v>
      </c>
      <c r="G45" s="43"/>
      <c r="H45" s="51"/>
      <c r="J45" s="7" t="s">
        <v>82</v>
      </c>
      <c r="K45" s="7" t="n">
        <f aca="false">(K39-K44)+K41</f>
        <v>268.011130909091</v>
      </c>
      <c r="L45" s="7"/>
    </row>
    <row r="46" customFormat="false" ht="18.75" hidden="false" customHeight="false" outlineLevel="0" collapsed="false">
      <c r="A46" s="44" t="n">
        <v>0</v>
      </c>
      <c r="B46" s="36"/>
      <c r="C46" s="45" t="n">
        <v>1</v>
      </c>
      <c r="D46" s="45"/>
      <c r="E46" s="36"/>
      <c r="F46" s="45" t="n">
        <v>0</v>
      </c>
      <c r="G46" s="45"/>
      <c r="H46" s="51"/>
      <c r="J46" s="7" t="s">
        <v>83</v>
      </c>
      <c r="K46" s="7" t="n">
        <v>0</v>
      </c>
      <c r="L46" s="7"/>
    </row>
    <row r="47" customFormat="false" ht="18.75" hidden="false" customHeight="false" outlineLevel="0" collapsed="false">
      <c r="A47" s="40"/>
      <c r="B47" s="47"/>
      <c r="C47" s="47"/>
      <c r="D47" s="47"/>
      <c r="E47" s="47"/>
      <c r="F47" s="47"/>
      <c r="G47" s="47"/>
      <c r="H47" s="51"/>
      <c r="J47" s="7" t="s">
        <v>84</v>
      </c>
      <c r="K47" s="7" t="n">
        <f aca="false">A40/K29</f>
        <v>0.363636363636364</v>
      </c>
      <c r="L47" s="7"/>
    </row>
    <row r="48" customFormat="false" ht="18.75" hidden="false" customHeight="false" outlineLevel="0" collapsed="false">
      <c r="A48" s="40" t="s">
        <v>85</v>
      </c>
      <c r="B48" s="47"/>
      <c r="C48" s="47"/>
      <c r="D48" s="47"/>
      <c r="E48" s="47"/>
      <c r="F48" s="47"/>
      <c r="G48" s="47"/>
      <c r="H48" s="51"/>
      <c r="J48" s="59" t="s">
        <v>86</v>
      </c>
      <c r="K48" s="7" t="n">
        <f aca="false">C43/A34</f>
        <v>0.606060606060606</v>
      </c>
      <c r="L48" s="7"/>
    </row>
    <row r="49" customFormat="false" ht="18.75" hidden="false" customHeight="false" outlineLevel="0" collapsed="false">
      <c r="A49" s="40" t="n">
        <f aca="false">C46+F46</f>
        <v>1</v>
      </c>
      <c r="B49" s="47"/>
      <c r="C49" s="47"/>
      <c r="D49" s="47"/>
      <c r="E49" s="36"/>
      <c r="F49" s="47"/>
      <c r="G49" s="47"/>
      <c r="H49" s="51"/>
      <c r="J49" s="59" t="s">
        <v>87</v>
      </c>
      <c r="K49" s="7" t="n">
        <f aca="false">K45+K48+K47</f>
        <v>268.980827878788</v>
      </c>
      <c r="L49" s="7"/>
    </row>
    <row r="50" customFormat="false" ht="18.75" hidden="false" customHeight="false" outlineLevel="0" collapsed="false">
      <c r="A50" s="60"/>
      <c r="B50" s="61"/>
      <c r="C50" s="61"/>
      <c r="D50" s="61"/>
      <c r="E50" s="61"/>
      <c r="F50" s="61"/>
      <c r="G50" s="62"/>
      <c r="H50" s="63"/>
      <c r="I50" s="7"/>
      <c r="J50" s="59" t="s">
        <v>88</v>
      </c>
      <c r="K50" s="7" t="n">
        <f aca="false">K49-A46</f>
        <v>268.980827878788</v>
      </c>
    </row>
    <row r="51" customFormat="false" ht="19.5" hidden="false" customHeight="true" outlineLevel="0" collapsed="false">
      <c r="A51" s="29"/>
      <c r="B51" s="30"/>
      <c r="C51" s="30"/>
      <c r="D51" s="30"/>
      <c r="E51" s="30"/>
      <c r="F51" s="30"/>
      <c r="G51" s="30"/>
      <c r="H51" s="31"/>
      <c r="I51" s="7"/>
      <c r="J51" s="7"/>
      <c r="K51" s="7"/>
    </row>
    <row r="52" customFormat="false" ht="18.75" hidden="false" customHeight="false" outlineLevel="0" collapsed="false">
      <c r="A52" s="64" t="s">
        <v>89</v>
      </c>
      <c r="B52" s="36"/>
      <c r="C52" s="36" t="s">
        <v>90</v>
      </c>
      <c r="D52" s="36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65" t="n">
        <v>1</v>
      </c>
      <c r="B53" s="36"/>
      <c r="C53" s="66" t="n">
        <v>1</v>
      </c>
      <c r="D53" s="66"/>
      <c r="E53" s="66"/>
      <c r="F53" s="36"/>
      <c r="G53" s="36"/>
      <c r="H53" s="37"/>
      <c r="I53" s="7"/>
      <c r="J53" s="67" t="s">
        <v>91</v>
      </c>
      <c r="K53" s="68" t="s">
        <v>394</v>
      </c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9"/>
      <c r="B55" s="30"/>
      <c r="C55" s="30"/>
      <c r="D55" s="30"/>
      <c r="E55" s="30"/>
      <c r="F55" s="30"/>
      <c r="G55" s="30"/>
      <c r="H55" s="31"/>
      <c r="I55" s="7"/>
      <c r="J55" s="7" t="s">
        <v>93</v>
      </c>
      <c r="K55" s="7" t="n">
        <f aca="false">A46*A34</f>
        <v>0</v>
      </c>
    </row>
    <row r="56" customFormat="false" ht="18.75" hidden="false" customHeight="false" outlineLevel="0" collapsed="false">
      <c r="A56" s="70" t="s">
        <v>94</v>
      </c>
      <c r="B56" s="36"/>
      <c r="C56" s="36"/>
      <c r="D56" s="71"/>
      <c r="E56" s="71"/>
      <c r="F56" s="71"/>
      <c r="G56" s="71"/>
      <c r="H56" s="72"/>
      <c r="I56" s="7"/>
      <c r="J56" s="7"/>
      <c r="K56" s="7"/>
    </row>
    <row r="57" customFormat="false" ht="19.5" hidden="false" customHeight="true" outlineLevel="0" collapsed="false">
      <c r="A57" s="35"/>
      <c r="B57" s="73"/>
      <c r="C57" s="73"/>
      <c r="D57" s="36"/>
      <c r="E57" s="36"/>
      <c r="F57" s="36"/>
      <c r="G57" s="36"/>
      <c r="H57" s="37"/>
      <c r="I57" s="7"/>
      <c r="J57" s="7"/>
      <c r="K57" s="7"/>
    </row>
    <row r="58" customFormat="false" ht="19.7" hidden="false" customHeight="false" outlineLevel="0" collapsed="false">
      <c r="A58" s="74" t="s">
        <v>95</v>
      </c>
      <c r="B58" s="75" t="s">
        <v>96</v>
      </c>
      <c r="C58" s="75"/>
      <c r="D58" s="75"/>
      <c r="E58" s="36"/>
      <c r="F58" s="36"/>
      <c r="G58" s="36"/>
      <c r="H58" s="37"/>
      <c r="I58" s="7"/>
      <c r="J58" s="7"/>
      <c r="K58" s="7"/>
    </row>
    <row r="59" customFormat="false" ht="18.75" hidden="false" customHeight="false" outlineLevel="0" collapsed="false">
      <c r="A59" s="74"/>
      <c r="B59" s="76" t="str">
        <f aca="false">K30</f>
        <v>5000</v>
      </c>
      <c r="C59" s="76"/>
      <c r="D59" s="76"/>
      <c r="E59" s="36"/>
      <c r="F59" s="36"/>
      <c r="G59" s="36"/>
      <c r="H59" s="37"/>
      <c r="I59" s="7"/>
      <c r="J59" s="7"/>
      <c r="K59" s="7"/>
    </row>
    <row r="60" customFormat="false" ht="18.75" hidden="false" customHeight="false" outlineLevel="0" collapsed="false">
      <c r="A60" s="77" t="str">
        <f aca="false">K29</f>
        <v>33</v>
      </c>
      <c r="B60" s="78" t="n">
        <f aca="false">K49</f>
        <v>268.980827878788</v>
      </c>
      <c r="C60" s="78"/>
      <c r="D60" s="78"/>
      <c r="E60" s="36"/>
      <c r="F60" s="36"/>
      <c r="G60" s="36"/>
      <c r="H60" s="37"/>
      <c r="I60" s="7"/>
      <c r="J60" s="7"/>
      <c r="K60" s="7"/>
    </row>
    <row r="61" customFormat="false" ht="18.75" hidden="false" customHeight="false" outlineLevel="0" collapsed="false">
      <c r="A61" s="35"/>
      <c r="B61" s="36"/>
      <c r="C61" s="36"/>
      <c r="D61" s="36"/>
      <c r="E61" s="36"/>
      <c r="F61" s="36"/>
      <c r="G61" s="36"/>
      <c r="H61" s="37"/>
      <c r="I61" s="7"/>
      <c r="J61" s="7"/>
      <c r="K61" s="7"/>
    </row>
    <row r="62" customFormat="false" ht="18.75" hidden="false" customHeight="false" outlineLevel="0" collapsed="false">
      <c r="A62" s="60"/>
      <c r="B62" s="61"/>
      <c r="C62" s="61"/>
      <c r="D62" s="61"/>
      <c r="E62" s="61"/>
      <c r="F62" s="61"/>
      <c r="G62" s="61"/>
      <c r="H62" s="69"/>
      <c r="I62" s="7"/>
      <c r="J62" s="7"/>
      <c r="K62" s="7"/>
    </row>
    <row r="63" customFormat="false" ht="18.75" hidden="false" customHeight="false" outlineLevel="0" collapsed="false">
      <c r="A63" s="36"/>
      <c r="B63" s="36"/>
      <c r="C63" s="36"/>
      <c r="D63" s="36"/>
      <c r="E63" s="36"/>
      <c r="F63" s="36"/>
      <c r="G63" s="36"/>
      <c r="H63" s="36"/>
      <c r="I63" s="7"/>
      <c r="J63" s="7"/>
      <c r="K63" s="7"/>
    </row>
    <row r="64" customFormat="false" ht="18.75" hidden="false" customHeight="false" outlineLevel="0" collapsed="false">
      <c r="A64" s="36"/>
      <c r="B64" s="36"/>
      <c r="C64" s="36"/>
      <c r="D64" s="36"/>
      <c r="E64" s="36"/>
      <c r="F64" s="36"/>
      <c r="G64" s="36"/>
      <c r="H64" s="36"/>
      <c r="I64" s="7"/>
      <c r="J64" s="7"/>
      <c r="K64" s="7"/>
    </row>
    <row r="65" customFormat="false" ht="18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J65" s="7"/>
      <c r="K65" s="7"/>
    </row>
    <row r="66" customFormat="false" ht="18.75" hidden="false" customHeight="false" outlineLevel="0" collapsed="false">
      <c r="A66" s="29"/>
      <c r="B66" s="30"/>
      <c r="C66" s="30"/>
      <c r="D66" s="30"/>
      <c r="E66" s="79"/>
      <c r="F66" s="79"/>
      <c r="G66" s="79"/>
      <c r="H66" s="31"/>
      <c r="J66" s="29"/>
      <c r="K66" s="30"/>
      <c r="L66" s="30"/>
      <c r="M66" s="30"/>
      <c r="N66" s="79"/>
      <c r="O66" s="79"/>
      <c r="P66" s="79"/>
      <c r="Q66" s="31"/>
      <c r="S66" s="29"/>
      <c r="T66" s="30"/>
      <c r="U66" s="30"/>
      <c r="V66" s="30"/>
      <c r="W66" s="79"/>
      <c r="X66" s="79"/>
      <c r="Y66" s="79"/>
      <c r="Z66" s="31"/>
      <c r="AB66" s="29"/>
      <c r="AC66" s="30"/>
      <c r="AD66" s="30"/>
      <c r="AE66" s="30"/>
      <c r="AF66" s="79"/>
      <c r="AG66" s="79"/>
      <c r="AH66" s="79"/>
      <c r="AI66" s="31"/>
    </row>
    <row r="67" customFormat="false" ht="18.75" hidden="false" customHeight="false" outlineLevel="0" collapsed="false">
      <c r="A67" s="35" t="s">
        <v>97</v>
      </c>
      <c r="B67" s="36" t="n">
        <v>1</v>
      </c>
      <c r="C67" s="36"/>
      <c r="D67" s="36"/>
      <c r="E67" s="27"/>
      <c r="F67" s="27"/>
      <c r="G67" s="27"/>
      <c r="H67" s="37"/>
      <c r="J67" s="35" t="s">
        <v>97</v>
      </c>
      <c r="K67" s="36" t="n">
        <v>1</v>
      </c>
      <c r="L67" s="36"/>
      <c r="M67" s="36"/>
      <c r="N67" s="27"/>
      <c r="O67" s="27"/>
      <c r="P67" s="27"/>
      <c r="Q67" s="37"/>
      <c r="S67" s="35" t="s">
        <v>97</v>
      </c>
      <c r="T67" s="36" t="n">
        <v>1</v>
      </c>
      <c r="U67" s="36"/>
      <c r="V67" s="36"/>
      <c r="W67" s="27"/>
      <c r="X67" s="27"/>
      <c r="Y67" s="27"/>
      <c r="Z67" s="37"/>
      <c r="AB67" s="35" t="s">
        <v>97</v>
      </c>
      <c r="AC67" s="36" t="n">
        <v>1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35" t="s">
        <v>98</v>
      </c>
      <c r="B68" s="36" t="n">
        <f aca="false">K29-B67</f>
        <v>32</v>
      </c>
      <c r="C68" s="36"/>
      <c r="D68" s="36"/>
      <c r="E68" s="27"/>
      <c r="F68" s="27"/>
      <c r="G68" s="27"/>
      <c r="H68" s="37"/>
      <c r="J68" s="35" t="s">
        <v>98</v>
      </c>
      <c r="K68" s="36" t="n">
        <f aca="false">K29-K67</f>
        <v>32</v>
      </c>
      <c r="L68" s="36"/>
      <c r="M68" s="36"/>
      <c r="N68" s="27"/>
      <c r="O68" s="27"/>
      <c r="P68" s="27"/>
      <c r="Q68" s="37"/>
      <c r="S68" s="35" t="s">
        <v>98</v>
      </c>
      <c r="T68" s="36" t="n">
        <f aca="false">K29-T67</f>
        <v>32</v>
      </c>
      <c r="U68" s="36"/>
      <c r="V68" s="36"/>
      <c r="W68" s="27"/>
      <c r="X68" s="27"/>
      <c r="Y68" s="27"/>
      <c r="Z68" s="37"/>
      <c r="AB68" s="35" t="s">
        <v>98</v>
      </c>
      <c r="AC68" s="36" t="n">
        <f aca="false">K29-AC67</f>
        <v>32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0" t="s">
        <v>99</v>
      </c>
      <c r="B69" s="81" t="n">
        <v>25</v>
      </c>
      <c r="C69" s="36"/>
      <c r="D69" s="36"/>
      <c r="E69" s="27"/>
      <c r="F69" s="27"/>
      <c r="G69" s="27"/>
      <c r="H69" s="37"/>
      <c r="J69" s="80" t="s">
        <v>99</v>
      </c>
      <c r="K69" s="81" t="n">
        <v>20</v>
      </c>
      <c r="L69" s="36"/>
      <c r="M69" s="36"/>
      <c r="N69" s="27"/>
      <c r="O69" s="27"/>
      <c r="P69" s="27"/>
      <c r="Q69" s="37"/>
      <c r="S69" s="80" t="s">
        <v>99</v>
      </c>
      <c r="T69" s="81" t="n">
        <v>10</v>
      </c>
      <c r="U69" s="36"/>
      <c r="V69" s="36"/>
      <c r="W69" s="27"/>
      <c r="X69" s="27"/>
      <c r="Y69" s="27"/>
      <c r="Z69" s="37"/>
      <c r="AB69" s="80" t="s">
        <v>99</v>
      </c>
      <c r="AC69" s="81" t="n">
        <v>10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35" t="s">
        <v>27</v>
      </c>
      <c r="B70" s="36" t="n">
        <f aca="false">J18</f>
        <v>52989.996</v>
      </c>
      <c r="C70" s="36"/>
      <c r="D70" s="36"/>
      <c r="E70" s="27"/>
      <c r="F70" s="27"/>
      <c r="G70" s="27"/>
      <c r="H70" s="37"/>
      <c r="J70" s="35" t="s">
        <v>27</v>
      </c>
      <c r="K70" s="36" t="n">
        <f aca="false">J18</f>
        <v>52989.996</v>
      </c>
      <c r="L70" s="36"/>
      <c r="M70" s="36"/>
      <c r="N70" s="27"/>
      <c r="O70" s="27"/>
      <c r="P70" s="27"/>
      <c r="Q70" s="37"/>
      <c r="S70" s="35" t="s">
        <v>27</v>
      </c>
      <c r="T70" s="36" t="n">
        <f aca="false">J18</f>
        <v>52989.996</v>
      </c>
      <c r="U70" s="36"/>
      <c r="V70" s="36"/>
      <c r="W70" s="27"/>
      <c r="X70" s="27"/>
      <c r="Y70" s="27"/>
      <c r="Z70" s="37"/>
      <c r="AB70" s="35" t="s">
        <v>27</v>
      </c>
      <c r="AC70" s="36" t="n">
        <f aca="false">J18</f>
        <v>52989.996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82" t="s">
        <v>100</v>
      </c>
      <c r="B71" s="83" t="n">
        <v>0</v>
      </c>
      <c r="C71" s="36"/>
      <c r="D71" s="36"/>
      <c r="E71" s="27"/>
      <c r="F71" s="27"/>
      <c r="G71" s="27"/>
      <c r="H71" s="37"/>
      <c r="J71" s="82" t="s">
        <v>100</v>
      </c>
      <c r="K71" s="83" t="n">
        <v>0.06</v>
      </c>
      <c r="L71" s="36"/>
      <c r="M71" s="36"/>
      <c r="N71" s="27"/>
      <c r="O71" s="27"/>
      <c r="P71" s="27"/>
      <c r="Q71" s="37"/>
      <c r="S71" s="82" t="s">
        <v>100</v>
      </c>
      <c r="T71" s="83" t="n">
        <f aca="false">IF(AND(K29&gt;=12,K29&lt;=24),0.0105,IF(AND(K29&gt;=48),-0.0075,0))</f>
        <v>-0.0075</v>
      </c>
      <c r="U71" s="36"/>
      <c r="V71" s="36"/>
      <c r="W71" s="27"/>
      <c r="X71" s="27"/>
      <c r="Y71" s="27"/>
      <c r="Z71" s="37"/>
      <c r="AB71" s="82" t="s">
        <v>100</v>
      </c>
      <c r="AC71" s="83" t="n">
        <f aca="false">IF(AND(K29&gt;=12,K29&lt;=24),0.0105,IF(AND(K29&gt;=48),-0.0075,0))</f>
        <v>-0.0075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4" t="s">
        <v>101</v>
      </c>
      <c r="B72" s="85" t="n">
        <v>0.065</v>
      </c>
      <c r="C72" s="36"/>
      <c r="D72" s="36"/>
      <c r="E72" s="27"/>
      <c r="F72" s="27"/>
      <c r="G72" s="27"/>
      <c r="H72" s="37"/>
      <c r="J72" s="84" t="s">
        <v>101</v>
      </c>
      <c r="K72" s="85" t="n">
        <v>0.08</v>
      </c>
      <c r="L72" s="36"/>
      <c r="M72" s="36"/>
      <c r="N72" s="27"/>
      <c r="O72" s="27"/>
      <c r="P72" s="27"/>
      <c r="Q72" s="37"/>
      <c r="S72" s="84" t="s">
        <v>101</v>
      </c>
      <c r="T72" s="85" t="n">
        <v>0.059</v>
      </c>
      <c r="U72" s="36"/>
      <c r="V72" s="36"/>
      <c r="W72" s="27"/>
      <c r="X72" s="27"/>
      <c r="Y72" s="27"/>
      <c r="Z72" s="37"/>
      <c r="AB72" s="84" t="s">
        <v>101</v>
      </c>
      <c r="AC72" s="85" t="n">
        <v>0.059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6" t="s">
        <v>102</v>
      </c>
      <c r="B73" s="87" t="n">
        <v>0.05</v>
      </c>
      <c r="C73" s="36"/>
      <c r="D73" s="36"/>
      <c r="E73" s="27"/>
      <c r="F73" s="27"/>
      <c r="G73" s="27"/>
      <c r="H73" s="37"/>
      <c r="J73" s="86" t="s">
        <v>102</v>
      </c>
      <c r="K73" s="87" t="n">
        <v>0.1</v>
      </c>
      <c r="L73" s="36"/>
      <c r="M73" s="36"/>
      <c r="N73" s="27"/>
      <c r="O73" s="27"/>
      <c r="P73" s="27"/>
      <c r="Q73" s="37"/>
      <c r="S73" s="86" t="s">
        <v>102</v>
      </c>
      <c r="T73" s="87" t="n">
        <f aca="false">IF(T117=AP117,2.4%,7.2%)</f>
        <v>0.072</v>
      </c>
      <c r="U73" s="36"/>
      <c r="V73" s="36"/>
      <c r="W73" s="27"/>
      <c r="X73" s="27"/>
      <c r="Y73" s="27"/>
      <c r="Z73" s="37"/>
      <c r="AB73" s="86" t="s">
        <v>102</v>
      </c>
      <c r="AC73" s="87" t="n">
        <f aca="false">IF(AC117=AP117,2.4%,7.2%)</f>
        <v>0.072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103</v>
      </c>
      <c r="B74" s="69" t="n">
        <f aca="false">(B98*B68)-(K47*K29)</f>
        <v>55542.1417972887</v>
      </c>
      <c r="C74" s="36"/>
      <c r="D74" s="36"/>
      <c r="E74" s="27"/>
      <c r="F74" s="27"/>
      <c r="G74" s="27"/>
      <c r="H74" s="37"/>
      <c r="J74" s="60" t="s">
        <v>103</v>
      </c>
      <c r="K74" s="69" t="n">
        <f aca="false">(K98*K68)-(K47*K29)</f>
        <v>48851.2896008064</v>
      </c>
      <c r="L74" s="36"/>
      <c r="M74" s="36"/>
      <c r="N74" s="27"/>
      <c r="O74" s="27"/>
      <c r="P74" s="27"/>
      <c r="Q74" s="37"/>
      <c r="S74" s="60" t="s">
        <v>103</v>
      </c>
      <c r="T74" s="69" t="n">
        <f aca="false">(T98*T68)-(K47*K29)</f>
        <v>49348.1539063192</v>
      </c>
      <c r="U74" s="36"/>
      <c r="V74" s="36"/>
      <c r="W74" s="27"/>
      <c r="X74" s="27"/>
      <c r="Y74" s="27"/>
      <c r="Z74" s="37"/>
      <c r="AB74" s="60" t="s">
        <v>103</v>
      </c>
      <c r="AC74" s="69" t="n">
        <f aca="false">(AC98*AC68)-(K47*K29)</f>
        <v>49348.1539063192</v>
      </c>
      <c r="AD74" s="36"/>
      <c r="AE74" s="36"/>
      <c r="AF74" s="27"/>
      <c r="AG74" s="27"/>
      <c r="AH74" s="27"/>
      <c r="AI74" s="37"/>
    </row>
    <row r="75" customFormat="false" ht="18.75" hidden="false" customHeight="false" outlineLevel="0" collapsed="false">
      <c r="A75" s="82" t="s">
        <v>104</v>
      </c>
      <c r="B75" s="83" t="n">
        <v>0.015</v>
      </c>
      <c r="C75" s="36"/>
      <c r="D75" s="36"/>
      <c r="E75" s="27"/>
      <c r="F75" s="27"/>
      <c r="G75" s="27"/>
      <c r="H75" s="37"/>
      <c r="J75" s="82" t="s">
        <v>104</v>
      </c>
      <c r="K75" s="83" t="n">
        <v>0.05</v>
      </c>
      <c r="L75" s="36"/>
      <c r="M75" s="36"/>
      <c r="N75" s="27"/>
      <c r="O75" s="27"/>
      <c r="P75" s="27"/>
      <c r="Q75" s="37"/>
      <c r="S75" s="82" t="s">
        <v>104</v>
      </c>
      <c r="T75" s="83" t="n">
        <v>0.005</v>
      </c>
      <c r="U75" s="36"/>
      <c r="V75" s="36"/>
      <c r="W75" s="27"/>
      <c r="X75" s="27"/>
      <c r="Y75" s="27"/>
      <c r="Z75" s="37"/>
      <c r="AB75" s="82" t="s">
        <v>104</v>
      </c>
      <c r="AC75" s="83" t="n">
        <v>0.005</v>
      </c>
      <c r="AD75" s="36"/>
      <c r="AE75" s="36"/>
      <c r="AF75" s="27"/>
      <c r="AG75" s="27"/>
      <c r="AH75" s="27"/>
      <c r="AI75" s="37"/>
    </row>
    <row r="76" customFormat="false" ht="18.75" hidden="false" customHeight="false" outlineLevel="0" collapsed="false">
      <c r="A76" s="35"/>
      <c r="B76" s="88" t="n">
        <f aca="false">B75</f>
        <v>0.015</v>
      </c>
      <c r="C76" s="36"/>
      <c r="D76" s="36"/>
      <c r="E76" s="27"/>
      <c r="F76" s="27"/>
      <c r="G76" s="27"/>
      <c r="H76" s="37"/>
      <c r="J76" s="35" t="s">
        <v>105</v>
      </c>
      <c r="K76" s="88" t="n">
        <f aca="false">K75+(K75*0.25*(K29/12-1))</f>
        <v>0.071875</v>
      </c>
      <c r="L76" s="36"/>
      <c r="M76" s="36"/>
      <c r="N76" s="27"/>
      <c r="O76" s="27"/>
      <c r="P76" s="27"/>
      <c r="Q76" s="37"/>
      <c r="S76" s="35" t="s">
        <v>105</v>
      </c>
      <c r="T76" s="88" t="n">
        <f aca="false">T75+(T75*0.5*(K29/12-1))</f>
        <v>0.009375</v>
      </c>
      <c r="U76" s="36"/>
      <c r="V76" s="36"/>
      <c r="W76" s="27"/>
      <c r="X76" s="27"/>
      <c r="Y76" s="27"/>
      <c r="Z76" s="37"/>
      <c r="AB76" s="35" t="s">
        <v>105</v>
      </c>
      <c r="AC76" s="88" t="n">
        <f aca="false">AC75+(AC75*0.5*(K29/12-1))</f>
        <v>0.009375</v>
      </c>
      <c r="AD76" s="36"/>
      <c r="AE76" s="36"/>
      <c r="AF76" s="27"/>
      <c r="AG76" s="27"/>
      <c r="AH76" s="27"/>
      <c r="AI76" s="37"/>
    </row>
    <row r="77" customFormat="false" ht="18.75" hidden="false" customHeight="false" outlineLevel="0" collapsed="false">
      <c r="A77" s="60" t="s">
        <v>106</v>
      </c>
      <c r="B77" s="69" t="n">
        <f aca="false">(G167*B76)</f>
        <v>841.9319412</v>
      </c>
      <c r="C77" s="36"/>
      <c r="D77" s="36"/>
      <c r="E77" s="27"/>
      <c r="F77" s="27"/>
      <c r="G77" s="27"/>
      <c r="H77" s="37"/>
      <c r="J77" s="60" t="s">
        <v>106</v>
      </c>
      <c r="K77" s="69" t="n">
        <f aca="false">K70*K76</f>
        <v>3808.6559625</v>
      </c>
      <c r="L77" s="36"/>
      <c r="M77" s="36"/>
      <c r="N77" s="27"/>
      <c r="O77" s="27"/>
      <c r="P77" s="27"/>
      <c r="Q77" s="37"/>
      <c r="S77" s="60" t="s">
        <v>106</v>
      </c>
      <c r="T77" s="69" t="n">
        <f aca="false">T70*T76</f>
        <v>496.7812125</v>
      </c>
      <c r="U77" s="36"/>
      <c r="V77" s="36"/>
      <c r="W77" s="27"/>
      <c r="X77" s="27"/>
      <c r="Y77" s="27"/>
      <c r="Z77" s="37"/>
      <c r="AB77" s="60" t="s">
        <v>106</v>
      </c>
      <c r="AC77" s="69" t="n">
        <f aca="false">AH167*AC76</f>
        <v>392.648409375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82" t="s">
        <v>107</v>
      </c>
      <c r="B78" s="83" t="n">
        <v>0</v>
      </c>
      <c r="C78" s="36"/>
      <c r="D78" s="36"/>
      <c r="E78" s="27"/>
      <c r="F78" s="27"/>
      <c r="G78" s="27"/>
      <c r="H78" s="37"/>
      <c r="J78" s="82" t="s">
        <v>107</v>
      </c>
      <c r="K78" s="83" t="n">
        <v>0</v>
      </c>
      <c r="L78" s="36"/>
      <c r="M78" s="36"/>
      <c r="N78" s="27"/>
      <c r="O78" s="27"/>
      <c r="P78" s="27"/>
      <c r="Q78" s="37"/>
      <c r="S78" s="82" t="s">
        <v>107</v>
      </c>
      <c r="T78" s="83" t="n">
        <v>0</v>
      </c>
      <c r="U78" s="36"/>
      <c r="V78" s="36"/>
      <c r="W78" s="27"/>
      <c r="X78" s="27"/>
      <c r="Y78" s="27"/>
      <c r="Z78" s="37"/>
      <c r="AB78" s="82" t="s">
        <v>107</v>
      </c>
      <c r="AC78" s="83" t="n"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84" t="s">
        <v>108</v>
      </c>
      <c r="B79" s="85" t="n">
        <v>0</v>
      </c>
      <c r="C79" s="36"/>
      <c r="D79" s="36"/>
      <c r="E79" s="27"/>
      <c r="F79" s="27"/>
      <c r="G79" s="27"/>
      <c r="H79" s="37"/>
      <c r="J79" s="84" t="s">
        <v>108</v>
      </c>
      <c r="K79" s="85" t="n">
        <v>0</v>
      </c>
      <c r="L79" s="36"/>
      <c r="M79" s="36"/>
      <c r="N79" s="27"/>
      <c r="O79" s="27"/>
      <c r="P79" s="27"/>
      <c r="Q79" s="37"/>
      <c r="S79" s="84" t="s">
        <v>108</v>
      </c>
      <c r="T79" s="85" t="n">
        <v>0</v>
      </c>
      <c r="U79" s="36"/>
      <c r="V79" s="36"/>
      <c r="W79" s="27"/>
      <c r="X79" s="27"/>
      <c r="Y79" s="27"/>
      <c r="Z79" s="37"/>
      <c r="AB79" s="84" t="s">
        <v>108</v>
      </c>
      <c r="AC79" s="85" t="n">
        <v>0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60" t="s">
        <v>109</v>
      </c>
      <c r="B80" s="89" t="n">
        <f aca="false">B78*(1+B79)</f>
        <v>0</v>
      </c>
      <c r="C80" s="36"/>
      <c r="D80" s="36"/>
      <c r="E80" s="27"/>
      <c r="F80" s="27"/>
      <c r="G80" s="27"/>
      <c r="H80" s="37"/>
      <c r="J80" s="60" t="s">
        <v>109</v>
      </c>
      <c r="K80" s="89" t="n">
        <f aca="false">K78*(1+K79)</f>
        <v>0</v>
      </c>
      <c r="L80" s="36"/>
      <c r="M80" s="36"/>
      <c r="N80" s="27"/>
      <c r="O80" s="27"/>
      <c r="P80" s="27"/>
      <c r="Q80" s="37"/>
      <c r="S80" s="60" t="s">
        <v>109</v>
      </c>
      <c r="T80" s="89" t="n">
        <f aca="false">T78*(1+T79)</f>
        <v>0</v>
      </c>
      <c r="U80" s="36"/>
      <c r="V80" s="36"/>
      <c r="W80" s="27"/>
      <c r="X80" s="27"/>
      <c r="Y80" s="27"/>
      <c r="Z80" s="37"/>
      <c r="AB80" s="60" t="s">
        <v>109</v>
      </c>
      <c r="AC80" s="89" t="n">
        <f aca="false">AC78*(1+AC79)</f>
        <v>0</v>
      </c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82" t="s">
        <v>110</v>
      </c>
      <c r="B81" s="90" t="n">
        <v>0</v>
      </c>
      <c r="C81" s="36"/>
      <c r="D81" s="36"/>
      <c r="E81" s="27"/>
      <c r="F81" s="27"/>
      <c r="G81" s="27"/>
      <c r="H81" s="37"/>
      <c r="J81" s="82" t="s">
        <v>110</v>
      </c>
      <c r="K81" s="90" t="n">
        <v>0</v>
      </c>
      <c r="L81" s="36"/>
      <c r="M81" s="36"/>
      <c r="N81" s="27"/>
      <c r="O81" s="27"/>
      <c r="P81" s="27"/>
      <c r="Q81" s="37"/>
      <c r="S81" s="82" t="s">
        <v>110</v>
      </c>
      <c r="T81" s="90" t="n">
        <v>0</v>
      </c>
      <c r="U81" s="36"/>
      <c r="V81" s="36"/>
      <c r="W81" s="27"/>
      <c r="X81" s="27"/>
      <c r="Y81" s="27"/>
      <c r="Z81" s="37"/>
      <c r="AB81" s="82" t="s">
        <v>110</v>
      </c>
      <c r="AC81" s="90" t="n">
        <v>0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84" t="s">
        <v>111</v>
      </c>
      <c r="B82" s="81" t="n">
        <v>0</v>
      </c>
      <c r="C82" s="36"/>
      <c r="D82" s="36"/>
      <c r="E82" s="27"/>
      <c r="F82" s="27"/>
      <c r="G82" s="27"/>
      <c r="H82" s="37"/>
      <c r="J82" s="84" t="s">
        <v>111</v>
      </c>
      <c r="K82" s="81" t="n">
        <v>0</v>
      </c>
      <c r="L82" s="36"/>
      <c r="M82" s="36"/>
      <c r="N82" s="27"/>
      <c r="O82" s="27"/>
      <c r="P82" s="27"/>
      <c r="Q82" s="37"/>
      <c r="S82" s="84" t="s">
        <v>111</v>
      </c>
      <c r="T82" s="81" t="n">
        <v>0</v>
      </c>
      <c r="U82" s="36"/>
      <c r="V82" s="36"/>
      <c r="W82" s="27"/>
      <c r="X82" s="27"/>
      <c r="Y82" s="27"/>
      <c r="Z82" s="37"/>
      <c r="AB82" s="84" t="s">
        <v>111</v>
      </c>
      <c r="AC82" s="81" t="n"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60" t="s">
        <v>112</v>
      </c>
      <c r="B83" s="69" t="n">
        <f aca="false">B82*K29</f>
        <v>0</v>
      </c>
      <c r="C83" s="36"/>
      <c r="D83" s="36" t="n">
        <f aca="false">B83+B81</f>
        <v>0</v>
      </c>
      <c r="E83" s="27"/>
      <c r="F83" s="27"/>
      <c r="G83" s="27"/>
      <c r="H83" s="37"/>
      <c r="J83" s="60" t="s">
        <v>112</v>
      </c>
      <c r="K83" s="69" t="n">
        <f aca="false">K82*K29</f>
        <v>0</v>
      </c>
      <c r="L83" s="36"/>
      <c r="M83" s="36" t="n">
        <f aca="false">K83+K81</f>
        <v>0</v>
      </c>
      <c r="N83" s="27"/>
      <c r="O83" s="27"/>
      <c r="P83" s="27"/>
      <c r="Q83" s="37"/>
      <c r="S83" s="60" t="s">
        <v>112</v>
      </c>
      <c r="T83" s="69" t="n">
        <f aca="false">T82*K29</f>
        <v>0</v>
      </c>
      <c r="U83" s="36"/>
      <c r="V83" s="36" t="n">
        <f aca="false">T83+T81</f>
        <v>0</v>
      </c>
      <c r="W83" s="27"/>
      <c r="X83" s="27"/>
      <c r="Y83" s="27"/>
      <c r="Z83" s="37"/>
      <c r="AB83" s="60" t="s">
        <v>112</v>
      </c>
      <c r="AC83" s="69" t="n">
        <f aca="false">AC82*K29</f>
        <v>0</v>
      </c>
      <c r="AD83" s="36"/>
      <c r="AE83" s="36" t="n">
        <f aca="false">AC83+AC81</f>
        <v>0</v>
      </c>
      <c r="AF83" s="27"/>
      <c r="AG83" s="27"/>
      <c r="AH83" s="27"/>
      <c r="AI83" s="37"/>
    </row>
    <row r="84" customFormat="false" ht="18.75" hidden="false" customHeight="false" outlineLevel="0" collapsed="false">
      <c r="A84" s="84" t="s">
        <v>113</v>
      </c>
      <c r="B84" s="81" t="n">
        <v>0</v>
      </c>
      <c r="C84" s="36"/>
      <c r="D84" s="36" t="n">
        <f aca="false">B84</f>
        <v>0</v>
      </c>
      <c r="E84" s="27"/>
      <c r="F84" s="27"/>
      <c r="G84" s="27"/>
      <c r="H84" s="37"/>
      <c r="J84" s="84" t="s">
        <v>113</v>
      </c>
      <c r="K84" s="81" t="n">
        <v>0</v>
      </c>
      <c r="L84" s="36"/>
      <c r="M84" s="36" t="n">
        <f aca="false">K84</f>
        <v>0</v>
      </c>
      <c r="N84" s="27"/>
      <c r="O84" s="27"/>
      <c r="P84" s="27"/>
      <c r="Q84" s="37"/>
      <c r="S84" s="84" t="s">
        <v>113</v>
      </c>
      <c r="T84" s="81" t="n">
        <v>0</v>
      </c>
      <c r="U84" s="36"/>
      <c r="V84" s="36" t="n">
        <f aca="false">T84</f>
        <v>0</v>
      </c>
      <c r="W84" s="27"/>
      <c r="X84" s="27"/>
      <c r="Y84" s="27"/>
      <c r="Z84" s="37"/>
      <c r="AB84" s="84" t="s">
        <v>113</v>
      </c>
      <c r="AC84" s="81" t="n">
        <v>0</v>
      </c>
      <c r="AD84" s="36"/>
      <c r="AE84" s="36" t="n">
        <f aca="false">AC84</f>
        <v>0</v>
      </c>
      <c r="AF84" s="27"/>
      <c r="AG84" s="27"/>
      <c r="AH84" s="27"/>
      <c r="AI84" s="37"/>
    </row>
    <row r="85" customFormat="false" ht="18.75" hidden="false" customHeight="false" outlineLevel="0" collapsed="false">
      <c r="A85" s="86" t="s">
        <v>114</v>
      </c>
      <c r="B85" s="91" t="n">
        <v>0</v>
      </c>
      <c r="C85" s="36"/>
      <c r="D85" s="36" t="n">
        <f aca="false">B85</f>
        <v>0</v>
      </c>
      <c r="E85" s="27"/>
      <c r="F85" s="36"/>
      <c r="G85" s="27"/>
      <c r="H85" s="37"/>
      <c r="J85" s="86" t="s">
        <v>114</v>
      </c>
      <c r="K85" s="91" t="n">
        <v>0</v>
      </c>
      <c r="L85" s="36"/>
      <c r="M85" s="36" t="n">
        <f aca="false">K85</f>
        <v>0</v>
      </c>
      <c r="N85" s="27"/>
      <c r="O85" s="27"/>
      <c r="P85" s="27"/>
      <c r="Q85" s="37"/>
      <c r="S85" s="86" t="s">
        <v>114</v>
      </c>
      <c r="T85" s="91" t="n">
        <v>0</v>
      </c>
      <c r="U85" s="36"/>
      <c r="V85" s="36" t="n">
        <f aca="false">T85</f>
        <v>0</v>
      </c>
      <c r="W85" s="27"/>
      <c r="X85" s="27"/>
      <c r="Y85" s="27"/>
      <c r="Z85" s="37"/>
      <c r="AB85" s="86" t="s">
        <v>114</v>
      </c>
      <c r="AC85" s="91" t="n">
        <v>0</v>
      </c>
      <c r="AD85" s="36"/>
      <c r="AE85" s="36" t="n">
        <f aca="false">AC85</f>
        <v>0</v>
      </c>
      <c r="AF85" s="27"/>
      <c r="AG85" s="27"/>
      <c r="AH85" s="27"/>
      <c r="AI85" s="37"/>
    </row>
    <row r="86" customFormat="false" ht="18.75" hidden="false" customHeight="false" outlineLevel="0" collapsed="false">
      <c r="A86" s="92" t="s">
        <v>115</v>
      </c>
      <c r="B86" s="93" t="n">
        <f aca="false">SUM(D74:D85)</f>
        <v>0</v>
      </c>
      <c r="C86" s="36"/>
      <c r="D86" s="36"/>
      <c r="E86" s="27"/>
      <c r="F86" s="36"/>
      <c r="G86" s="36"/>
      <c r="H86" s="37"/>
      <c r="J86" s="92" t="s">
        <v>115</v>
      </c>
      <c r="K86" s="93" t="n">
        <f aca="false">SUM(M74:M85)</f>
        <v>0</v>
      </c>
      <c r="L86" s="36"/>
      <c r="M86" s="36"/>
      <c r="N86" s="27"/>
      <c r="O86" s="27"/>
      <c r="P86" s="27"/>
      <c r="Q86" s="37"/>
      <c r="S86" s="92" t="s">
        <v>115</v>
      </c>
      <c r="T86" s="93" t="n">
        <f aca="false">SUM(V74:V85)</f>
        <v>0</v>
      </c>
      <c r="U86" s="36"/>
      <c r="V86" s="36"/>
      <c r="W86" s="27"/>
      <c r="X86" s="27"/>
      <c r="Y86" s="27"/>
      <c r="Z86" s="37"/>
      <c r="AB86" s="92" t="s">
        <v>115</v>
      </c>
      <c r="AC86" s="93" t="n">
        <f aca="false">SUM(AE74:AE85)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116</v>
      </c>
      <c r="B87" s="37" t="n">
        <f aca="false">B86/K29</f>
        <v>0</v>
      </c>
      <c r="C87" s="36"/>
      <c r="D87" s="36"/>
      <c r="E87" s="27"/>
      <c r="F87" s="27"/>
      <c r="G87" s="27"/>
      <c r="H87" s="37"/>
      <c r="J87" s="35" t="s">
        <v>116</v>
      </c>
      <c r="K87" s="37" t="n">
        <f aca="false">K86/K29</f>
        <v>0</v>
      </c>
      <c r="L87" s="36"/>
      <c r="M87" s="36"/>
      <c r="N87" s="27"/>
      <c r="O87" s="27"/>
      <c r="P87" s="27"/>
      <c r="Q87" s="37"/>
      <c r="S87" s="35" t="s">
        <v>116</v>
      </c>
      <c r="T87" s="37" t="n">
        <f aca="false">T86/K29</f>
        <v>0</v>
      </c>
      <c r="U87" s="36"/>
      <c r="V87" s="36"/>
      <c r="W87" s="27"/>
      <c r="X87" s="27"/>
      <c r="Y87" s="27"/>
      <c r="Z87" s="37"/>
      <c r="AB87" s="35" t="s">
        <v>116</v>
      </c>
      <c r="AC87" s="37" t="n">
        <f aca="false">AC86/K29</f>
        <v>0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94" t="s">
        <v>117</v>
      </c>
      <c r="B88" s="63" t="n">
        <f aca="false">K49</f>
        <v>268.980827878788</v>
      </c>
      <c r="C88" s="36"/>
      <c r="D88" s="36"/>
      <c r="E88" s="27"/>
      <c r="F88" s="27"/>
      <c r="G88" s="27"/>
      <c r="H88" s="37"/>
      <c r="J88" s="94" t="s">
        <v>117</v>
      </c>
      <c r="K88" s="63" t="n">
        <f aca="false">K47</f>
        <v>0.363636363636364</v>
      </c>
      <c r="L88" s="36"/>
      <c r="M88" s="36"/>
      <c r="N88" s="27"/>
      <c r="O88" s="27"/>
      <c r="P88" s="27"/>
      <c r="Q88" s="37"/>
      <c r="S88" s="94" t="s">
        <v>117</v>
      </c>
      <c r="T88" s="63" t="n">
        <f aca="false">B60</f>
        <v>268.980827878788</v>
      </c>
      <c r="U88" s="36"/>
      <c r="V88" s="36"/>
      <c r="W88" s="27"/>
      <c r="X88" s="27"/>
      <c r="Y88" s="27"/>
      <c r="Z88" s="37"/>
      <c r="AB88" s="94" t="s">
        <v>117</v>
      </c>
      <c r="AC88" s="63" t="n">
        <f aca="false">B60</f>
        <v>268.980827878788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/>
      <c r="B89" s="36"/>
      <c r="C89" s="36"/>
      <c r="D89" s="36"/>
      <c r="E89" s="27"/>
      <c r="F89" s="27"/>
      <c r="G89" s="27"/>
      <c r="H89" s="37"/>
      <c r="J89" s="35"/>
      <c r="K89" s="36"/>
      <c r="L89" s="36"/>
      <c r="M89" s="36"/>
      <c r="N89" s="27"/>
      <c r="O89" s="27"/>
      <c r="P89" s="27"/>
      <c r="Q89" s="37"/>
      <c r="S89" s="35"/>
      <c r="T89" s="36"/>
      <c r="U89" s="36"/>
      <c r="V89" s="36"/>
      <c r="W89" s="27"/>
      <c r="X89" s="27"/>
      <c r="Y89" s="27"/>
      <c r="Z89" s="37"/>
      <c r="AB89" s="35"/>
      <c r="AC89" s="36"/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29" t="s">
        <v>118</v>
      </c>
      <c r="B90" s="31" t="n">
        <f aca="false">F37</f>
        <v>52028.79608</v>
      </c>
      <c r="C90" s="36"/>
      <c r="D90" s="36"/>
      <c r="E90" s="27"/>
      <c r="F90" s="29" t="s">
        <v>118</v>
      </c>
      <c r="G90" s="31" t="n">
        <f aca="false">F37</f>
        <v>52028.79608</v>
      </c>
      <c r="H90" s="37"/>
      <c r="J90" s="29" t="s">
        <v>118</v>
      </c>
      <c r="K90" s="31" t="n">
        <f aca="false">P167</f>
        <v>36630.004</v>
      </c>
      <c r="L90" s="36"/>
      <c r="M90" s="36"/>
      <c r="N90" s="27"/>
      <c r="O90" s="27"/>
      <c r="P90" s="27"/>
      <c r="Q90" s="37"/>
      <c r="S90" s="29" t="s">
        <v>118</v>
      </c>
      <c r="T90" s="31" t="n">
        <f aca="false">Y167</f>
        <v>41882.497</v>
      </c>
      <c r="U90" s="36"/>
      <c r="V90" s="36"/>
      <c r="W90" s="27"/>
      <c r="X90" s="27"/>
      <c r="Y90" s="27"/>
      <c r="Z90" s="37"/>
      <c r="AB90" s="29" t="s">
        <v>118</v>
      </c>
      <c r="AC90" s="31" t="n">
        <f aca="false">AH167</f>
        <v>41882.497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119</v>
      </c>
      <c r="B91" s="37" t="n">
        <f aca="false">IF(A111="YES",A43,0)*1.2</f>
        <v>6000</v>
      </c>
      <c r="C91" s="36"/>
      <c r="D91" s="36"/>
      <c r="E91" s="27"/>
      <c r="F91" s="35" t="s">
        <v>119</v>
      </c>
      <c r="G91" s="37" t="n">
        <f aca="false">IF(A111="YES",A43,0)*1.2</f>
        <v>6000</v>
      </c>
      <c r="H91" s="37"/>
      <c r="J91" s="35" t="s">
        <v>119</v>
      </c>
      <c r="K91" s="37" t="n">
        <f aca="false">IF(J120="YES",A40,0)</f>
        <v>0</v>
      </c>
      <c r="L91" s="36"/>
      <c r="M91" s="36"/>
      <c r="N91" s="27"/>
      <c r="O91" s="27"/>
      <c r="P91" s="27"/>
      <c r="Q91" s="37"/>
      <c r="S91" s="35" t="s">
        <v>119</v>
      </c>
      <c r="T91" s="37" t="str">
        <f aca="false">A40</f>
        <v>12</v>
      </c>
      <c r="U91" s="36"/>
      <c r="V91" s="36"/>
      <c r="W91" s="27"/>
      <c r="X91" s="27"/>
      <c r="Y91" s="27"/>
      <c r="Z91" s="37"/>
      <c r="AB91" s="35" t="s">
        <v>119</v>
      </c>
      <c r="AC91" s="37" t="str">
        <f aca="false">A40</f>
        <v>12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35" t="s">
        <v>120</v>
      </c>
      <c r="B92" s="88" t="n">
        <f aca="false">B71+B72+B73</f>
        <v>0.115</v>
      </c>
      <c r="C92" s="36"/>
      <c r="D92" s="36"/>
      <c r="E92" s="27"/>
      <c r="F92" s="35" t="s">
        <v>120</v>
      </c>
      <c r="G92" s="95" t="n">
        <f aca="false">B72</f>
        <v>0.065</v>
      </c>
      <c r="H92" s="37"/>
      <c r="J92" s="35" t="s">
        <v>120</v>
      </c>
      <c r="K92" s="88" t="n">
        <f aca="false">K71+K72+K73</f>
        <v>0.24</v>
      </c>
      <c r="L92" s="36"/>
      <c r="M92" s="36"/>
      <c r="N92" s="27"/>
      <c r="O92" s="27"/>
      <c r="P92" s="27"/>
      <c r="Q92" s="37"/>
      <c r="S92" s="35" t="s">
        <v>120</v>
      </c>
      <c r="T92" s="88" t="n">
        <f aca="false">T71+T72+T73</f>
        <v>0.1235</v>
      </c>
      <c r="U92" s="36"/>
      <c r="V92" s="36"/>
      <c r="W92" s="27"/>
      <c r="X92" s="27"/>
      <c r="Y92" s="27"/>
      <c r="Z92" s="37"/>
      <c r="AB92" s="35" t="s">
        <v>120</v>
      </c>
      <c r="AC92" s="88" t="n">
        <f aca="false">AC71+AC72+AC73</f>
        <v>0.1235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 t="s">
        <v>121</v>
      </c>
      <c r="B93" s="88" t="n">
        <f aca="false">B92/12</f>
        <v>0.00958333333333333</v>
      </c>
      <c r="C93" s="36"/>
      <c r="D93" s="36"/>
      <c r="E93" s="27"/>
      <c r="F93" s="35" t="s">
        <v>121</v>
      </c>
      <c r="G93" s="88" t="n">
        <f aca="false">G92/12</f>
        <v>0.00541666666666667</v>
      </c>
      <c r="H93" s="37"/>
      <c r="J93" s="35" t="s">
        <v>121</v>
      </c>
      <c r="K93" s="88" t="n">
        <f aca="false">K92/12</f>
        <v>0.02</v>
      </c>
      <c r="L93" s="36"/>
      <c r="M93" s="36"/>
      <c r="N93" s="27"/>
      <c r="O93" s="27"/>
      <c r="P93" s="27"/>
      <c r="Q93" s="37"/>
      <c r="S93" s="35" t="s">
        <v>121</v>
      </c>
      <c r="T93" s="88" t="n">
        <f aca="false">T92/12</f>
        <v>0.0102916666666667</v>
      </c>
      <c r="U93" s="36"/>
      <c r="V93" s="36"/>
      <c r="W93" s="27"/>
      <c r="X93" s="27"/>
      <c r="Y93" s="27"/>
      <c r="Z93" s="37"/>
      <c r="AB93" s="35" t="s">
        <v>121</v>
      </c>
      <c r="AC93" s="88" t="n">
        <f aca="false">AC92/12</f>
        <v>0.0102916666666667</v>
      </c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35" t="s">
        <v>122</v>
      </c>
      <c r="B94" s="37" t="n">
        <f aca="false">IF(B91=0,(B68+B67),(B68))</f>
        <v>32</v>
      </c>
      <c r="C94" s="36"/>
      <c r="D94" s="36"/>
      <c r="E94" s="27"/>
      <c r="F94" s="35" t="s">
        <v>122</v>
      </c>
      <c r="G94" s="37" t="n">
        <f aca="false">IF(G91=0,(B68+B67),(B68))</f>
        <v>32</v>
      </c>
      <c r="H94" s="37"/>
      <c r="J94" s="35" t="s">
        <v>122</v>
      </c>
      <c r="K94" s="37" t="n">
        <f aca="false">IF(K91=0,(K68+K67),(K68))</f>
        <v>33</v>
      </c>
      <c r="L94" s="36"/>
      <c r="M94" s="36"/>
      <c r="N94" s="27"/>
      <c r="O94" s="27"/>
      <c r="P94" s="27"/>
      <c r="Q94" s="37"/>
      <c r="S94" s="35" t="s">
        <v>122</v>
      </c>
      <c r="T94" s="37" t="n">
        <f aca="false">T68</f>
        <v>32</v>
      </c>
      <c r="U94" s="36"/>
      <c r="V94" s="36"/>
      <c r="W94" s="27"/>
      <c r="X94" s="27"/>
      <c r="Y94" s="27"/>
      <c r="Z94" s="37"/>
      <c r="AB94" s="35" t="s">
        <v>122</v>
      </c>
      <c r="AC94" s="37" t="n">
        <f aca="false">AC68</f>
        <v>32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35" t="s">
        <v>123</v>
      </c>
      <c r="B95" s="37" t="n">
        <f aca="false">(B91/((1+B93)^(B94+1)))</f>
        <v>4379.8532592462</v>
      </c>
      <c r="C95" s="36"/>
      <c r="D95" s="36"/>
      <c r="E95" s="27"/>
      <c r="F95" s="35" t="s">
        <v>123</v>
      </c>
      <c r="G95" s="37" t="n">
        <f aca="false">(G91/((1+G93)^(G94+1)))</f>
        <v>5020.31079273804</v>
      </c>
      <c r="H95" s="37"/>
      <c r="J95" s="35" t="s">
        <v>123</v>
      </c>
      <c r="K95" s="37" t="n">
        <f aca="false">(K91/((1+K93)^(K94+1)))</f>
        <v>0</v>
      </c>
      <c r="L95" s="36"/>
      <c r="M95" s="36"/>
      <c r="N95" s="27"/>
      <c r="O95" s="27"/>
      <c r="P95" s="27"/>
      <c r="Q95" s="37"/>
      <c r="S95" s="35" t="s">
        <v>123</v>
      </c>
      <c r="T95" s="37" t="n">
        <f aca="false">(T91/((1+T93)^(T94+1)))</f>
        <v>8.55929138316766</v>
      </c>
      <c r="U95" s="36"/>
      <c r="V95" s="36"/>
      <c r="W95" s="27"/>
      <c r="X95" s="27"/>
      <c r="Y95" s="27"/>
      <c r="Z95" s="37"/>
      <c r="AB95" s="35" t="s">
        <v>123</v>
      </c>
      <c r="AC95" s="37" t="n">
        <f aca="false">(AC91/((1+AC93)^(AC94+1)))</f>
        <v>8.55929138316766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35" t="s">
        <v>124</v>
      </c>
      <c r="B96" s="37" t="n">
        <f aca="false">((1-(1/((1+B93)^B94)))/B93)</f>
        <v>27.4464895133802</v>
      </c>
      <c r="C96" s="36"/>
      <c r="D96" s="36"/>
      <c r="E96" s="27"/>
      <c r="F96" s="35" t="s">
        <v>124</v>
      </c>
      <c r="G96" s="37" t="n">
        <f aca="false">((1-(1/((1+G93)^G94)))/G93)</f>
        <v>29.3075648349115</v>
      </c>
      <c r="H96" s="37"/>
      <c r="J96" s="35" t="s">
        <v>124</v>
      </c>
      <c r="K96" s="37" t="n">
        <f aca="false">((1-(1/((1+K93)^K94)))/K93)</f>
        <v>23.9885635530494</v>
      </c>
      <c r="L96" s="36"/>
      <c r="M96" s="36"/>
      <c r="N96" s="27"/>
      <c r="O96" s="27"/>
      <c r="P96" s="27"/>
      <c r="Q96" s="37"/>
      <c r="S96" s="35" t="s">
        <v>124</v>
      </c>
      <c r="T96" s="37" t="n">
        <f aca="false">((1-(1/((1+T93)^T94)))/T93)</f>
        <v>27.1467145183312</v>
      </c>
      <c r="U96" s="36"/>
      <c r="V96" s="36"/>
      <c r="W96" s="27"/>
      <c r="X96" s="27"/>
      <c r="Y96" s="27"/>
      <c r="Z96" s="37"/>
      <c r="AB96" s="35" t="s">
        <v>124</v>
      </c>
      <c r="AC96" s="37" t="n">
        <f aca="false">((1-(1/((1+AC93)^AC94)))/AC93)</f>
        <v>27.1467145183312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35" t="s">
        <v>125</v>
      </c>
      <c r="B97" s="37" t="n">
        <f aca="false">B90-B95</f>
        <v>47648.9428207538</v>
      </c>
      <c r="C97" s="36"/>
      <c r="D97" s="36"/>
      <c r="E97" s="27"/>
      <c r="F97" s="35" t="s">
        <v>125</v>
      </c>
      <c r="G97" s="37" t="n">
        <f aca="false">G90-G95</f>
        <v>47008.485287262</v>
      </c>
      <c r="H97" s="37"/>
      <c r="J97" s="35" t="s">
        <v>125</v>
      </c>
      <c r="K97" s="37" t="n">
        <f aca="false">K90-K95</f>
        <v>36630.004</v>
      </c>
      <c r="L97" s="36"/>
      <c r="M97" s="36"/>
      <c r="N97" s="27"/>
      <c r="O97" s="27"/>
      <c r="P97" s="27"/>
      <c r="Q97" s="37"/>
      <c r="S97" s="35" t="s">
        <v>125</v>
      </c>
      <c r="T97" s="37" t="n">
        <f aca="false">T90-T95</f>
        <v>41873.9377086168</v>
      </c>
      <c r="U97" s="36"/>
      <c r="V97" s="36"/>
      <c r="W97" s="27"/>
      <c r="X97" s="27"/>
      <c r="Y97" s="27"/>
      <c r="Z97" s="37"/>
      <c r="AB97" s="35" t="s">
        <v>125</v>
      </c>
      <c r="AC97" s="37" t="n">
        <f aca="false">AC90-AC95</f>
        <v>41873.9377086168</v>
      </c>
      <c r="AD97" s="36"/>
      <c r="AE97" s="36"/>
      <c r="AF97" s="27"/>
      <c r="AG97" s="27"/>
      <c r="AH97" s="27"/>
      <c r="AI97" s="37"/>
    </row>
    <row r="98" customFormat="false" ht="18.75" hidden="false" customHeight="false" outlineLevel="0" collapsed="false">
      <c r="A98" s="35" t="s">
        <v>126</v>
      </c>
      <c r="B98" s="37" t="n">
        <f aca="false">(B97/B96)</f>
        <v>1736.06693116527</v>
      </c>
      <c r="C98" s="36"/>
      <c r="D98" s="36"/>
      <c r="E98" s="27"/>
      <c r="F98" s="35" t="s">
        <v>126</v>
      </c>
      <c r="G98" s="37" t="n">
        <f aca="false">(G97/G96)</f>
        <v>1603.97104133554</v>
      </c>
      <c r="H98" s="37"/>
      <c r="J98" s="35" t="s">
        <v>126</v>
      </c>
      <c r="K98" s="37" t="n">
        <f aca="false">(K97/K96)</f>
        <v>1526.9778000252</v>
      </c>
      <c r="L98" s="36"/>
      <c r="M98" s="36"/>
      <c r="N98" s="27"/>
      <c r="O98" s="27"/>
      <c r="P98" s="27"/>
      <c r="Q98" s="37"/>
      <c r="S98" s="35" t="s">
        <v>126</v>
      </c>
      <c r="T98" s="37" t="n">
        <f aca="false">(T97/T96)</f>
        <v>1542.50480957248</v>
      </c>
      <c r="U98" s="36"/>
      <c r="V98" s="36"/>
      <c r="W98" s="27"/>
      <c r="X98" s="27"/>
      <c r="Y98" s="27"/>
      <c r="Z98" s="37"/>
      <c r="AB98" s="35" t="s">
        <v>126</v>
      </c>
      <c r="AC98" s="37" t="n">
        <f aca="false">(AC97/AC96)</f>
        <v>1542.50480957248</v>
      </c>
      <c r="AD98" s="36"/>
      <c r="AE98" s="36"/>
      <c r="AF98" s="27"/>
      <c r="AG98" s="27"/>
      <c r="AH98" s="27"/>
      <c r="AI98" s="37"/>
    </row>
    <row r="99" customFormat="false" ht="18.75" hidden="false" customHeight="false" outlineLevel="0" collapsed="false">
      <c r="A99" s="35" t="s">
        <v>127</v>
      </c>
      <c r="B99" s="37" t="n">
        <f aca="false">((B98*(B94))+B86)</f>
        <v>55554.1417972887</v>
      </c>
      <c r="C99" s="36"/>
      <c r="D99" s="36"/>
      <c r="E99" s="27"/>
      <c r="F99" s="35" t="s">
        <v>127</v>
      </c>
      <c r="G99" s="37" t="n">
        <f aca="false">((G98*(G94))+G86)</f>
        <v>51327.0733227373</v>
      </c>
      <c r="H99" s="37"/>
      <c r="J99" s="35" t="s">
        <v>127</v>
      </c>
      <c r="K99" s="37" t="n">
        <f aca="false">((K98*(K94))+K86)</f>
        <v>50390.2674008316</v>
      </c>
      <c r="L99" s="36"/>
      <c r="M99" s="36"/>
      <c r="N99" s="27"/>
      <c r="O99" s="27"/>
      <c r="P99" s="27"/>
      <c r="Q99" s="37"/>
      <c r="S99" s="35" t="s">
        <v>127</v>
      </c>
      <c r="T99" s="37" t="n">
        <f aca="false">(T98*(T94))+T86</f>
        <v>49360.1539063192</v>
      </c>
      <c r="U99" s="36"/>
      <c r="V99" s="36"/>
      <c r="W99" s="27"/>
      <c r="X99" s="27"/>
      <c r="Y99" s="27"/>
      <c r="Z99" s="37"/>
      <c r="AB99" s="35" t="s">
        <v>127</v>
      </c>
      <c r="AC99" s="37" t="n">
        <f aca="false">(AC98*(AC68))+AC86</f>
        <v>49360.1539063192</v>
      </c>
      <c r="AD99" s="36"/>
      <c r="AE99" s="36"/>
      <c r="AF99" s="27"/>
      <c r="AG99" s="27"/>
      <c r="AH99" s="27"/>
      <c r="AI99" s="37"/>
    </row>
    <row r="100" customFormat="false" ht="18.75" hidden="false" customHeight="false" outlineLevel="0" collapsed="false">
      <c r="A100" s="35" t="s">
        <v>128</v>
      </c>
      <c r="B100" s="37" t="n">
        <f aca="false">(((B98*(B94))+B86)/(1-B80))*B80</f>
        <v>0</v>
      </c>
      <c r="C100" s="36"/>
      <c r="D100" s="36"/>
      <c r="E100" s="27"/>
      <c r="F100" s="35" t="s">
        <v>128</v>
      </c>
      <c r="G100" s="37" t="n">
        <f aca="false">(((G98*(G94))+G86)/(1-G80))*G80</f>
        <v>0</v>
      </c>
      <c r="H100" s="37"/>
      <c r="J100" s="35" t="s">
        <v>128</v>
      </c>
      <c r="K100" s="37" t="n">
        <f aca="false">(K99/(1-K80))*K80</f>
        <v>0</v>
      </c>
      <c r="L100" s="36"/>
      <c r="M100" s="36"/>
      <c r="N100" s="27"/>
      <c r="O100" s="27"/>
      <c r="P100" s="27"/>
      <c r="Q100" s="37"/>
      <c r="S100" s="35" t="s">
        <v>128</v>
      </c>
      <c r="T100" s="37" t="n">
        <f aca="false">(T99/(1-T80))*T80</f>
        <v>0</v>
      </c>
      <c r="U100" s="36"/>
      <c r="V100" s="36"/>
      <c r="W100" s="27"/>
      <c r="X100" s="27"/>
      <c r="Y100" s="27"/>
      <c r="Z100" s="37"/>
      <c r="AB100" s="35" t="s">
        <v>128</v>
      </c>
      <c r="AC100" s="37" t="n">
        <f aca="false">(AC99/(1-AC80))*AC80</f>
        <v>0</v>
      </c>
      <c r="AD100" s="36"/>
      <c r="AE100" s="36"/>
      <c r="AF100" s="27"/>
      <c r="AG100" s="27"/>
      <c r="AH100" s="27"/>
      <c r="AI100" s="37"/>
    </row>
    <row r="101" customFormat="false" ht="18.75" hidden="false" customHeight="false" outlineLevel="0" collapsed="false">
      <c r="A101" s="60" t="s">
        <v>129</v>
      </c>
      <c r="B101" s="69" t="n">
        <f aca="false">(B99+B100)</f>
        <v>55554.1417972887</v>
      </c>
      <c r="C101" s="36"/>
      <c r="D101" s="36"/>
      <c r="E101" s="27"/>
      <c r="F101" s="60" t="s">
        <v>129</v>
      </c>
      <c r="G101" s="69" t="n">
        <f aca="false">(G99+G100)</f>
        <v>51327.0733227373</v>
      </c>
      <c r="H101" s="37"/>
      <c r="J101" s="60" t="s">
        <v>129</v>
      </c>
      <c r="K101" s="69" t="n">
        <f aca="false">(K99+K100)</f>
        <v>50390.2674008316</v>
      </c>
      <c r="L101" s="36"/>
      <c r="M101" s="36"/>
      <c r="N101" s="27"/>
      <c r="O101" s="27"/>
      <c r="P101" s="27"/>
      <c r="Q101" s="37"/>
      <c r="S101" s="60" t="s">
        <v>129</v>
      </c>
      <c r="T101" s="69" t="n">
        <f aca="false">(T99+T100)</f>
        <v>49360.1539063192</v>
      </c>
      <c r="U101" s="36"/>
      <c r="V101" s="36"/>
      <c r="W101" s="27"/>
      <c r="X101" s="27"/>
      <c r="Y101" s="27"/>
      <c r="Z101" s="37"/>
      <c r="AB101" s="60" t="s">
        <v>129</v>
      </c>
      <c r="AC101" s="69" t="n">
        <f aca="false">(AC99+AC100)</f>
        <v>49360.1539063192</v>
      </c>
      <c r="AD101" s="36"/>
      <c r="AE101" s="36"/>
      <c r="AF101" s="27"/>
      <c r="AG101" s="27"/>
      <c r="AH101" s="27"/>
      <c r="AI101" s="37"/>
    </row>
    <row r="102" customFormat="false" ht="18.75" hidden="false" customHeight="false" outlineLevel="0" collapsed="false">
      <c r="A102" s="35"/>
      <c r="B102" s="36"/>
      <c r="C102" s="36"/>
      <c r="D102" s="36"/>
      <c r="E102" s="27"/>
      <c r="F102" s="35"/>
      <c r="G102" s="36"/>
      <c r="H102" s="37"/>
      <c r="J102" s="35"/>
      <c r="K102" s="36"/>
      <c r="L102" s="36"/>
      <c r="M102" s="36"/>
      <c r="N102" s="27"/>
      <c r="O102" s="27"/>
      <c r="P102" s="27"/>
      <c r="Q102" s="37"/>
      <c r="S102" s="35"/>
      <c r="T102" s="36"/>
      <c r="U102" s="36"/>
      <c r="V102" s="36"/>
      <c r="W102" s="27"/>
      <c r="X102" s="27"/>
      <c r="Y102" s="27"/>
      <c r="Z102" s="37"/>
      <c r="AB102" s="35"/>
      <c r="AC102" s="36"/>
      <c r="AD102" s="36"/>
      <c r="AE102" s="36"/>
      <c r="AF102" s="27"/>
      <c r="AG102" s="27"/>
      <c r="AH102" s="27"/>
      <c r="AI102" s="37"/>
    </row>
    <row r="103" customFormat="false" ht="18.75" hidden="false" customHeight="false" outlineLevel="0" collapsed="false">
      <c r="A103" s="92" t="s">
        <v>130</v>
      </c>
      <c r="B103" s="93" t="n">
        <f aca="false">((A46*A34)+((A46*A34)*A117))/(B68)</f>
        <v>0</v>
      </c>
      <c r="C103" s="36"/>
      <c r="D103" s="36"/>
      <c r="E103" s="27"/>
      <c r="F103" s="92" t="s">
        <v>130</v>
      </c>
      <c r="G103" s="96" t="str">
        <f aca="false">IF(B35="YES",((E49/B94)*(1+A117)*(C54/100)),"0")</f>
        <v>0</v>
      </c>
      <c r="H103" s="37"/>
      <c r="J103" s="92" t="s">
        <v>130</v>
      </c>
      <c r="K103" s="93" t="n">
        <f aca="false">((E40/K94)*(1+J117))*1.2</f>
        <v>0</v>
      </c>
      <c r="L103" s="36"/>
      <c r="M103" s="36"/>
      <c r="N103" s="27"/>
      <c r="O103" s="27"/>
      <c r="P103" s="27"/>
      <c r="Q103" s="37"/>
      <c r="S103" s="92" t="s">
        <v>130</v>
      </c>
      <c r="T103" s="93" t="n">
        <f aca="false">((E40/T94)*(1+S117))</f>
        <v>0</v>
      </c>
      <c r="U103" s="36"/>
      <c r="V103" s="36"/>
      <c r="W103" s="27"/>
      <c r="X103" s="27"/>
      <c r="Y103" s="27"/>
      <c r="Z103" s="37"/>
      <c r="AB103" s="92" t="s">
        <v>130</v>
      </c>
      <c r="AC103" s="93" t="n">
        <f aca="false">((E40/AC94)*(1+AB117))*1.2</f>
        <v>0</v>
      </c>
      <c r="AD103" s="36"/>
      <c r="AE103" s="36"/>
      <c r="AF103" s="27"/>
      <c r="AG103" s="27"/>
      <c r="AH103" s="27"/>
      <c r="AI103" s="37"/>
    </row>
    <row r="104" customFormat="false" ht="18.75" hidden="false" customHeight="false" outlineLevel="0" collapsed="false">
      <c r="A104" s="97" t="s">
        <v>131</v>
      </c>
      <c r="B104" s="98" t="n">
        <f aca="false">B101/(B94)</f>
        <v>1736.06693116527</v>
      </c>
      <c r="C104" s="36"/>
      <c r="D104" s="36"/>
      <c r="E104" s="27"/>
      <c r="F104" s="97" t="s">
        <v>131</v>
      </c>
      <c r="G104" s="98" t="n">
        <f aca="false">G101/(G94)</f>
        <v>1603.97104133554</v>
      </c>
      <c r="H104" s="37"/>
      <c r="J104" s="97" t="s">
        <v>131</v>
      </c>
      <c r="K104" s="98" t="n">
        <f aca="false">K101/(K94)</f>
        <v>1526.9778000252</v>
      </c>
      <c r="L104" s="36"/>
      <c r="M104" s="36"/>
      <c r="N104" s="27"/>
      <c r="O104" s="27"/>
      <c r="P104" s="27"/>
      <c r="Q104" s="37"/>
      <c r="S104" s="97" t="s">
        <v>131</v>
      </c>
      <c r="T104" s="98" t="n">
        <f aca="false">T101/(T94)</f>
        <v>1542.50480957248</v>
      </c>
      <c r="U104" s="36"/>
      <c r="V104" s="36"/>
      <c r="W104" s="27"/>
      <c r="X104" s="27"/>
      <c r="Y104" s="27"/>
      <c r="Z104" s="37"/>
      <c r="AB104" s="97" t="s">
        <v>131</v>
      </c>
      <c r="AC104" s="98" t="n">
        <f aca="false">AC101/(AC68)</f>
        <v>1542.50480957248</v>
      </c>
      <c r="AD104" s="36"/>
      <c r="AE104" s="36"/>
      <c r="AF104" s="27"/>
      <c r="AG104" s="27"/>
      <c r="AH104" s="27"/>
      <c r="AI104" s="37"/>
    </row>
    <row r="105" customFormat="false" ht="18.75" hidden="false" customHeight="false" outlineLevel="0" collapsed="false">
      <c r="A105" s="99" t="s">
        <v>132</v>
      </c>
      <c r="B105" s="100" t="n">
        <f aca="false">B103+B104</f>
        <v>1736.06693116527</v>
      </c>
      <c r="C105" s="36"/>
      <c r="D105" s="36"/>
      <c r="E105" s="27" t="s">
        <v>31</v>
      </c>
      <c r="F105" s="99" t="s">
        <v>132</v>
      </c>
      <c r="G105" s="100" t="n">
        <f aca="false">G103+G104</f>
        <v>1603.97104133554</v>
      </c>
      <c r="H105" s="37"/>
      <c r="J105" s="99" t="s">
        <v>132</v>
      </c>
      <c r="K105" s="100" t="n">
        <f aca="false">(K103+K104)</f>
        <v>1526.9778000252</v>
      </c>
      <c r="L105" s="36"/>
      <c r="M105" s="36"/>
      <c r="N105" s="27"/>
      <c r="O105" s="27"/>
      <c r="P105" s="27"/>
      <c r="Q105" s="37"/>
      <c r="S105" s="99" t="s">
        <v>132</v>
      </c>
      <c r="T105" s="100" t="n">
        <f aca="false">T103+T104</f>
        <v>1542.50480957248</v>
      </c>
      <c r="U105" s="36"/>
      <c r="V105" s="36"/>
      <c r="W105" s="27"/>
      <c r="X105" s="27"/>
      <c r="Y105" s="27"/>
      <c r="Z105" s="37"/>
      <c r="AB105" s="99" t="s">
        <v>132</v>
      </c>
      <c r="AC105" s="100" t="n">
        <f aca="false">AC103+AC104</f>
        <v>1542.50480957248</v>
      </c>
      <c r="AD105" s="36"/>
      <c r="AE105" s="36"/>
      <c r="AF105" s="27"/>
      <c r="AG105" s="27"/>
      <c r="AH105" s="27"/>
      <c r="AI105" s="37"/>
    </row>
    <row r="106" customFormat="false" ht="18.75" hidden="false" customHeight="false" outlineLevel="0" collapsed="false">
      <c r="A106" s="60"/>
      <c r="B106" s="61"/>
      <c r="C106" s="61"/>
      <c r="D106" s="61"/>
      <c r="E106" s="101"/>
      <c r="F106" s="101"/>
      <c r="G106" s="101"/>
      <c r="H106" s="69"/>
      <c r="J106" s="60"/>
      <c r="K106" s="61"/>
      <c r="L106" s="61"/>
      <c r="M106" s="61"/>
      <c r="N106" s="101"/>
      <c r="O106" s="101"/>
      <c r="P106" s="101"/>
      <c r="Q106" s="69"/>
      <c r="S106" s="60"/>
      <c r="T106" s="61"/>
      <c r="U106" s="61"/>
      <c r="V106" s="61"/>
      <c r="W106" s="101"/>
      <c r="X106" s="101"/>
      <c r="Y106" s="101"/>
      <c r="Z106" s="69"/>
      <c r="AB106" s="60"/>
      <c r="AC106" s="61"/>
      <c r="AD106" s="61"/>
      <c r="AE106" s="61"/>
      <c r="AF106" s="101"/>
      <c r="AG106" s="101"/>
      <c r="AH106" s="101"/>
      <c r="AI106" s="69"/>
    </row>
    <row r="107" customFormat="false" ht="18.7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J107" s="27"/>
      <c r="K107" s="27"/>
      <c r="L107" s="27"/>
      <c r="M107" s="27"/>
      <c r="N107" s="27"/>
      <c r="O107" s="27"/>
      <c r="P107" s="27"/>
      <c r="Q107" s="27"/>
      <c r="S107" s="27"/>
      <c r="T107" s="27"/>
      <c r="U107" s="27"/>
      <c r="V107" s="27"/>
      <c r="W107" s="27"/>
      <c r="X107" s="27"/>
      <c r="Y107" s="27"/>
      <c r="Z107" s="27"/>
      <c r="AB107" s="27"/>
      <c r="AC107" s="27"/>
      <c r="AD107" s="27"/>
      <c r="AE107" s="27"/>
      <c r="AF107" s="27"/>
      <c r="AG107" s="27"/>
      <c r="AH107" s="27"/>
      <c r="AI107" s="27"/>
    </row>
    <row r="108" customFormat="false" ht="18.75" hidden="false" customHeight="false" outlineLevel="0" collapsed="false">
      <c r="A108" s="27" t="n">
        <v>0.2</v>
      </c>
      <c r="B108" s="27" t="s">
        <v>12</v>
      </c>
      <c r="C108" s="27"/>
      <c r="D108" s="27"/>
      <c r="E108" s="27"/>
      <c r="F108" s="27"/>
      <c r="G108" s="27"/>
      <c r="H108" s="27"/>
      <c r="J108" s="27"/>
      <c r="K108" s="27"/>
      <c r="L108" s="27"/>
      <c r="M108" s="27"/>
      <c r="N108" s="27"/>
      <c r="O108" s="27"/>
      <c r="P108" s="27"/>
      <c r="Q108" s="27"/>
      <c r="S108" s="27"/>
      <c r="T108" s="27"/>
      <c r="U108" s="27"/>
      <c r="V108" s="27"/>
      <c r="W108" s="27"/>
      <c r="X108" s="27"/>
      <c r="Y108" s="27"/>
      <c r="Z108" s="27"/>
      <c r="AB108" s="27"/>
      <c r="AC108" s="27"/>
      <c r="AD108" s="27"/>
      <c r="AE108" s="27"/>
      <c r="AF108" s="27"/>
      <c r="AG108" s="27"/>
      <c r="AH108" s="27"/>
      <c r="AI108" s="27"/>
    </row>
    <row r="109" customFormat="false" ht="47.25" hidden="false" customHeight="true" outlineLevel="0" collapsed="false">
      <c r="A109" s="102" t="s">
        <v>133</v>
      </c>
      <c r="B109" s="102"/>
      <c r="C109" s="102"/>
      <c r="D109" s="102"/>
      <c r="E109" s="102"/>
      <c r="F109" s="102"/>
      <c r="G109" s="102"/>
      <c r="H109" s="102"/>
      <c r="J109" s="28" t="s">
        <v>134</v>
      </c>
      <c r="K109" s="28"/>
      <c r="L109" s="28"/>
      <c r="M109" s="28"/>
      <c r="N109" s="28"/>
      <c r="O109" s="28"/>
      <c r="P109" s="28"/>
      <c r="Q109" s="28"/>
      <c r="S109" s="102" t="s">
        <v>135</v>
      </c>
      <c r="T109" s="102"/>
      <c r="U109" s="102"/>
      <c r="V109" s="102"/>
      <c r="W109" s="102"/>
      <c r="X109" s="102"/>
      <c r="Y109" s="102"/>
      <c r="Z109" s="102"/>
      <c r="AB109" s="102" t="s">
        <v>136</v>
      </c>
      <c r="AC109" s="102"/>
      <c r="AD109" s="102"/>
      <c r="AE109" s="102"/>
      <c r="AF109" s="102"/>
      <c r="AG109" s="102"/>
      <c r="AH109" s="102"/>
      <c r="AI109" s="102"/>
    </row>
    <row r="110" customFormat="false" ht="18.75" hidden="false" customHeight="false" outlineLevel="0" collapsed="false">
      <c r="A110" s="29"/>
      <c r="B110" s="30"/>
      <c r="C110" s="30"/>
      <c r="D110" s="30"/>
      <c r="E110" s="79"/>
      <c r="F110" s="79"/>
      <c r="G110" s="79"/>
      <c r="H110" s="103"/>
      <c r="J110" s="29"/>
      <c r="K110" s="30"/>
      <c r="L110" s="30"/>
      <c r="M110" s="30"/>
      <c r="N110" s="79"/>
      <c r="O110" s="79"/>
      <c r="P110" s="79"/>
      <c r="Q110" s="103"/>
      <c r="S110" s="29"/>
      <c r="T110" s="30"/>
      <c r="U110" s="30"/>
      <c r="V110" s="30"/>
      <c r="W110" s="79"/>
      <c r="X110" s="79"/>
      <c r="Y110" s="79"/>
      <c r="Z110" s="103"/>
      <c r="AB110" s="29"/>
      <c r="AC110" s="30"/>
      <c r="AD110" s="30"/>
      <c r="AE110" s="30"/>
      <c r="AF110" s="79"/>
      <c r="AG110" s="79"/>
      <c r="AH110" s="79"/>
      <c r="AI110" s="103"/>
    </row>
    <row r="111" customFormat="false" ht="22.05" hidden="false" customHeight="false" outlineLevel="0" collapsed="false">
      <c r="A111" s="32" t="s">
        <v>31</v>
      </c>
      <c r="B111" s="32" t="n">
        <v>0</v>
      </c>
      <c r="C111" s="32"/>
      <c r="D111" s="32"/>
      <c r="E111" s="32" t="n">
        <v>0</v>
      </c>
      <c r="F111" s="32"/>
      <c r="G111" s="32"/>
      <c r="H111" s="32"/>
      <c r="J111" s="32" t="s">
        <v>137</v>
      </c>
      <c r="K111" s="32"/>
      <c r="L111" s="32"/>
      <c r="M111" s="32"/>
      <c r="N111" s="32"/>
      <c r="O111" s="32"/>
      <c r="P111" s="32"/>
      <c r="Q111" s="32"/>
      <c r="S111" s="32" t="s">
        <v>137</v>
      </c>
      <c r="T111" s="32"/>
      <c r="U111" s="32"/>
      <c r="V111" s="32"/>
      <c r="W111" s="32"/>
      <c r="X111" s="32"/>
      <c r="Y111" s="32"/>
      <c r="Z111" s="32"/>
      <c r="AB111" s="32" t="s">
        <v>137</v>
      </c>
      <c r="AC111" s="32"/>
      <c r="AD111" s="32"/>
      <c r="AE111" s="32"/>
      <c r="AF111" s="32"/>
      <c r="AG111" s="32"/>
      <c r="AH111" s="32"/>
      <c r="AI111" s="32"/>
    </row>
    <row r="112" customFormat="false" ht="18.75" hidden="false" customHeight="false" outlineLevel="0" collapsed="false">
      <c r="A112" s="35"/>
      <c r="B112" s="36"/>
      <c r="C112" s="36"/>
      <c r="D112" s="36"/>
      <c r="E112" s="27"/>
      <c r="F112" s="27"/>
      <c r="G112" s="27"/>
      <c r="H112" s="104"/>
      <c r="J112" s="35"/>
      <c r="K112" s="36"/>
      <c r="L112" s="36"/>
      <c r="M112" s="36"/>
      <c r="N112" s="27"/>
      <c r="O112" s="27"/>
      <c r="P112" s="27"/>
      <c r="Q112" s="104"/>
      <c r="S112" s="35"/>
      <c r="T112" s="36"/>
      <c r="U112" s="36"/>
      <c r="V112" s="36"/>
      <c r="W112" s="27"/>
      <c r="X112" s="27"/>
      <c r="Y112" s="27"/>
      <c r="Z112" s="104"/>
      <c r="AB112" s="35"/>
      <c r="AC112" s="36"/>
      <c r="AD112" s="36"/>
      <c r="AE112" s="36"/>
      <c r="AF112" s="27"/>
      <c r="AG112" s="27"/>
      <c r="AH112" s="27"/>
      <c r="AI112" s="104"/>
    </row>
    <row r="113" customFormat="false" ht="18.75" hidden="false" customHeight="false" outlineLevel="0" collapsed="false">
      <c r="A113" s="35" t="s">
        <v>138</v>
      </c>
      <c r="B113" s="36" t="s">
        <v>36</v>
      </c>
      <c r="C113" s="36"/>
      <c r="D113" s="36"/>
      <c r="E113" s="36" t="s">
        <v>139</v>
      </c>
      <c r="F113" s="36"/>
      <c r="G113" s="36"/>
      <c r="H113" s="37"/>
      <c r="J113" s="35" t="s">
        <v>138</v>
      </c>
      <c r="K113" s="36" t="s">
        <v>36</v>
      </c>
      <c r="L113" s="36"/>
      <c r="M113" s="36"/>
      <c r="N113" s="36" t="s">
        <v>139</v>
      </c>
      <c r="O113" s="36"/>
      <c r="P113" s="36"/>
      <c r="Q113" s="37"/>
      <c r="S113" s="35" t="s">
        <v>138</v>
      </c>
      <c r="T113" s="36" t="s">
        <v>36</v>
      </c>
      <c r="U113" s="36"/>
      <c r="V113" s="36"/>
      <c r="W113" s="36" t="s">
        <v>139</v>
      </c>
      <c r="X113" s="36"/>
      <c r="Y113" s="36"/>
      <c r="Z113" s="37"/>
      <c r="AB113" s="35" t="s">
        <v>138</v>
      </c>
      <c r="AC113" s="36" t="s">
        <v>36</v>
      </c>
      <c r="AD113" s="36"/>
      <c r="AE113" s="36"/>
      <c r="AF113" s="36" t="s">
        <v>139</v>
      </c>
      <c r="AG113" s="36"/>
      <c r="AH113" s="36"/>
      <c r="AI113" s="37"/>
    </row>
    <row r="114" customFormat="false" ht="18.75" hidden="false" customHeight="false" outlineLevel="0" collapsed="false">
      <c r="A114" s="40" t="s">
        <v>140</v>
      </c>
      <c r="B114" s="105"/>
      <c r="C114" s="105"/>
      <c r="D114" s="105"/>
      <c r="E114" s="106" t="s">
        <v>32</v>
      </c>
      <c r="F114" s="106"/>
      <c r="G114" s="106"/>
      <c r="H114" s="104"/>
      <c r="J114" s="40" t="s">
        <v>140</v>
      </c>
      <c r="K114" s="107" t="s">
        <v>141</v>
      </c>
      <c r="L114" s="107"/>
      <c r="M114" s="107"/>
      <c r="N114" s="106" t="s">
        <v>31</v>
      </c>
      <c r="O114" s="106"/>
      <c r="P114" s="106"/>
      <c r="Q114" s="104"/>
      <c r="S114" s="40" t="s">
        <v>140</v>
      </c>
      <c r="T114" s="105" t="s">
        <v>141</v>
      </c>
      <c r="U114" s="105"/>
      <c r="V114" s="105"/>
      <c r="W114" s="106" t="s">
        <v>31</v>
      </c>
      <c r="X114" s="106"/>
      <c r="Y114" s="106"/>
      <c r="Z114" s="104"/>
      <c r="AB114" s="40" t="s">
        <v>140</v>
      </c>
      <c r="AC114" s="105" t="s">
        <v>141</v>
      </c>
      <c r="AD114" s="105"/>
      <c r="AE114" s="105"/>
      <c r="AF114" s="106" t="s">
        <v>31</v>
      </c>
      <c r="AG114" s="106"/>
      <c r="AH114" s="106"/>
      <c r="AI114" s="104"/>
    </row>
    <row r="115" customFormat="false" ht="18.75" hidden="false" customHeight="false" outlineLevel="0" collapsed="false">
      <c r="A115" s="35"/>
      <c r="B115" s="36"/>
      <c r="C115" s="36"/>
      <c r="D115" s="27"/>
      <c r="E115" s="36"/>
      <c r="F115" s="36"/>
      <c r="G115" s="27"/>
      <c r="H115" s="37"/>
      <c r="J115" s="35"/>
      <c r="K115" s="36"/>
      <c r="L115" s="36"/>
      <c r="M115" s="27"/>
      <c r="N115" s="36"/>
      <c r="O115" s="36"/>
      <c r="P115" s="27"/>
      <c r="Q115" s="37"/>
      <c r="S115" s="35"/>
      <c r="T115" s="36"/>
      <c r="U115" s="36"/>
      <c r="V115" s="27"/>
      <c r="W115" s="36"/>
      <c r="X115" s="36"/>
      <c r="Y115" s="27"/>
      <c r="Z115" s="37"/>
      <c r="AB115" s="35"/>
      <c r="AC115" s="36"/>
      <c r="AD115" s="36"/>
      <c r="AE115" s="27"/>
      <c r="AF115" s="36"/>
      <c r="AG115" s="36"/>
      <c r="AH115" s="27"/>
      <c r="AI115" s="37"/>
    </row>
    <row r="116" customFormat="false" ht="18.75" hidden="false" customHeight="false" outlineLevel="0" collapsed="false">
      <c r="A116" s="35" t="s">
        <v>142</v>
      </c>
      <c r="B116" s="36" t="s">
        <v>143</v>
      </c>
      <c r="C116" s="36"/>
      <c r="D116" s="27"/>
      <c r="E116" s="36" t="s">
        <v>144</v>
      </c>
      <c r="F116" s="36"/>
      <c r="G116" s="27"/>
      <c r="H116" s="104"/>
      <c r="J116" s="35" t="s">
        <v>142</v>
      </c>
      <c r="K116" s="36" t="s">
        <v>143</v>
      </c>
      <c r="L116" s="36"/>
      <c r="M116" s="27"/>
      <c r="N116" s="36" t="s">
        <v>144</v>
      </c>
      <c r="O116" s="36"/>
      <c r="P116" s="27"/>
      <c r="Q116" s="104"/>
      <c r="S116" s="35" t="s">
        <v>142</v>
      </c>
      <c r="T116" s="36" t="s">
        <v>143</v>
      </c>
      <c r="U116" s="36"/>
      <c r="V116" s="27"/>
      <c r="W116" s="36" t="s">
        <v>144</v>
      </c>
      <c r="X116" s="36"/>
      <c r="Y116" s="27"/>
      <c r="Z116" s="104"/>
      <c r="AB116" s="35" t="s">
        <v>142</v>
      </c>
      <c r="AC116" s="36" t="s">
        <v>143</v>
      </c>
      <c r="AD116" s="36"/>
      <c r="AE116" s="27"/>
      <c r="AF116" s="36" t="s">
        <v>144</v>
      </c>
      <c r="AG116" s="36"/>
      <c r="AH116" s="27"/>
      <c r="AI116" s="104"/>
    </row>
    <row r="117" customFormat="false" ht="18.75" hidden="false" customHeight="false" outlineLevel="0" collapsed="false">
      <c r="A117" s="108" t="n">
        <v>0.2</v>
      </c>
      <c r="B117" s="109" t="s">
        <v>145</v>
      </c>
      <c r="C117" s="109"/>
      <c r="D117" s="109"/>
      <c r="E117" s="110" t="n">
        <f aca="false">B92</f>
        <v>0.115</v>
      </c>
      <c r="F117" s="110"/>
      <c r="G117" s="110"/>
      <c r="H117" s="51"/>
      <c r="J117" s="108" t="n">
        <v>0.3</v>
      </c>
      <c r="K117" s="109" t="s">
        <v>145</v>
      </c>
      <c r="L117" s="109"/>
      <c r="M117" s="109"/>
      <c r="N117" s="110" t="n">
        <f aca="false">K92</f>
        <v>0.24</v>
      </c>
      <c r="O117" s="110"/>
      <c r="P117" s="110"/>
      <c r="Q117" s="51"/>
      <c r="S117" s="108" t="n">
        <v>0.2</v>
      </c>
      <c r="T117" s="109" t="s">
        <v>146</v>
      </c>
      <c r="U117" s="109"/>
      <c r="V117" s="109"/>
      <c r="W117" s="110" t="n">
        <f aca="false">T92</f>
        <v>0.1235</v>
      </c>
      <c r="X117" s="110"/>
      <c r="Y117" s="110"/>
      <c r="Z117" s="51"/>
      <c r="AB117" s="108" t="n">
        <v>0.2</v>
      </c>
      <c r="AC117" s="109" t="s">
        <v>146</v>
      </c>
      <c r="AD117" s="109"/>
      <c r="AE117" s="109"/>
      <c r="AF117" s="111" t="n">
        <f aca="false">AC92</f>
        <v>0.1235</v>
      </c>
      <c r="AG117" s="111"/>
      <c r="AH117" s="111"/>
      <c r="AI117" s="51"/>
      <c r="AP117" s="6" t="s">
        <v>147</v>
      </c>
    </row>
    <row r="118" customFormat="false" ht="18.75" hidden="false" customHeight="false" outlineLevel="0" collapsed="false">
      <c r="A118" s="35"/>
      <c r="B118" s="36"/>
      <c r="C118" s="36"/>
      <c r="D118" s="36"/>
      <c r="E118" s="36"/>
      <c r="F118" s="36"/>
      <c r="G118" s="36"/>
      <c r="H118" s="37"/>
      <c r="J118" s="35"/>
      <c r="K118" s="36"/>
      <c r="L118" s="36"/>
      <c r="M118" s="36"/>
      <c r="N118" s="36"/>
      <c r="O118" s="36"/>
      <c r="P118" s="36"/>
      <c r="Q118" s="37"/>
      <c r="S118" s="35"/>
      <c r="T118" s="36"/>
      <c r="U118" s="36"/>
      <c r="V118" s="36"/>
      <c r="W118" s="36"/>
      <c r="X118" s="36"/>
      <c r="Y118" s="36"/>
      <c r="Z118" s="37"/>
      <c r="AB118" s="35"/>
      <c r="AC118" s="36"/>
      <c r="AD118" s="36"/>
      <c r="AE118" s="36"/>
      <c r="AF118" s="36"/>
      <c r="AG118" s="36"/>
      <c r="AH118" s="36"/>
      <c r="AI118" s="37"/>
      <c r="AP118" s="6" t="s">
        <v>145</v>
      </c>
    </row>
    <row r="119" customFormat="false" ht="18.75" hidden="false" customHeight="false" outlineLevel="0" collapsed="false">
      <c r="A119" s="35" t="s">
        <v>148</v>
      </c>
      <c r="B119" s="36" t="s">
        <v>149</v>
      </c>
      <c r="C119" s="36"/>
      <c r="D119" s="36"/>
      <c r="E119" s="36" t="s">
        <v>150</v>
      </c>
      <c r="F119" s="36"/>
      <c r="G119" s="36"/>
      <c r="H119" s="37"/>
      <c r="J119" s="35" t="s">
        <v>148</v>
      </c>
      <c r="K119" s="36" t="s">
        <v>149</v>
      </c>
      <c r="L119" s="36"/>
      <c r="M119" s="36"/>
      <c r="N119" s="36" t="s">
        <v>150</v>
      </c>
      <c r="O119" s="36"/>
      <c r="P119" s="36"/>
      <c r="Q119" s="37"/>
      <c r="S119" s="35" t="s">
        <v>148</v>
      </c>
      <c r="T119" s="36" t="s">
        <v>149</v>
      </c>
      <c r="U119" s="36"/>
      <c r="V119" s="36"/>
      <c r="W119" s="36" t="s">
        <v>150</v>
      </c>
      <c r="X119" s="36"/>
      <c r="Y119" s="36"/>
      <c r="Z119" s="37"/>
      <c r="AB119" s="35" t="s">
        <v>148</v>
      </c>
      <c r="AC119" s="36" t="s">
        <v>149</v>
      </c>
      <c r="AD119" s="36"/>
      <c r="AE119" s="36"/>
      <c r="AF119" s="36" t="s">
        <v>150</v>
      </c>
      <c r="AG119" s="36"/>
      <c r="AH119" s="36"/>
      <c r="AI119" s="37"/>
    </row>
    <row r="120" customFormat="false" ht="18.75" hidden="false" customHeight="false" outlineLevel="0" collapsed="false">
      <c r="A120" s="44" t="s">
        <v>31</v>
      </c>
      <c r="B120" s="109" t="n">
        <v>0</v>
      </c>
      <c r="C120" s="109"/>
      <c r="D120" s="109"/>
      <c r="E120" s="109" t="n">
        <v>0</v>
      </c>
      <c r="F120" s="109"/>
      <c r="G120" s="109"/>
      <c r="H120" s="104"/>
      <c r="J120" s="44" t="s">
        <v>32</v>
      </c>
      <c r="K120" s="109" t="n">
        <v>1000</v>
      </c>
      <c r="L120" s="109"/>
      <c r="M120" s="109"/>
      <c r="N120" s="109" t="n">
        <v>0</v>
      </c>
      <c r="O120" s="109"/>
      <c r="P120" s="109"/>
      <c r="Q120" s="104"/>
      <c r="S120" s="44" t="s">
        <v>31</v>
      </c>
      <c r="T120" s="109" t="n">
        <v>1000</v>
      </c>
      <c r="U120" s="109"/>
      <c r="V120" s="109"/>
      <c r="W120" s="109" t="n">
        <v>0</v>
      </c>
      <c r="X120" s="109"/>
      <c r="Y120" s="109"/>
      <c r="Z120" s="104"/>
      <c r="AB120" s="44" t="s">
        <v>31</v>
      </c>
      <c r="AC120" s="109" t="n">
        <v>1000</v>
      </c>
      <c r="AD120" s="109"/>
      <c r="AE120" s="109"/>
      <c r="AF120" s="109" t="n">
        <v>0</v>
      </c>
      <c r="AG120" s="109"/>
      <c r="AH120" s="109"/>
      <c r="AI120" s="104"/>
    </row>
    <row r="121" customFormat="false" ht="18.75" hidden="false" customHeight="false" outlineLevel="0" collapsed="false">
      <c r="A121" s="35"/>
      <c r="B121" s="36"/>
      <c r="C121" s="36"/>
      <c r="D121" s="36"/>
      <c r="E121" s="36"/>
      <c r="F121" s="36"/>
      <c r="G121" s="27"/>
      <c r="H121" s="104"/>
      <c r="J121" s="35"/>
      <c r="K121" s="36"/>
      <c r="L121" s="36"/>
      <c r="M121" s="36"/>
      <c r="N121" s="36"/>
      <c r="O121" s="36"/>
      <c r="P121" s="27"/>
      <c r="Q121" s="104"/>
      <c r="S121" s="35"/>
      <c r="T121" s="36"/>
      <c r="U121" s="36"/>
      <c r="V121" s="36"/>
      <c r="W121" s="36"/>
      <c r="X121" s="36"/>
      <c r="Y121" s="27"/>
      <c r="Z121" s="104"/>
      <c r="AB121" s="35"/>
      <c r="AC121" s="36"/>
      <c r="AD121" s="36"/>
      <c r="AE121" s="36"/>
      <c r="AF121" s="36"/>
      <c r="AG121" s="36"/>
      <c r="AH121" s="27"/>
      <c r="AI121" s="104"/>
    </row>
    <row r="122" customFormat="false" ht="18.75" hidden="false" customHeight="false" outlineLevel="0" collapsed="false">
      <c r="A122" s="112" t="s">
        <v>151</v>
      </c>
      <c r="B122" s="36" t="s">
        <v>152</v>
      </c>
      <c r="C122" s="36"/>
      <c r="D122" s="36"/>
      <c r="E122" s="36" t="s">
        <v>153</v>
      </c>
      <c r="F122" s="36"/>
      <c r="G122" s="27"/>
      <c r="H122" s="104"/>
      <c r="J122" s="112" t="s">
        <v>151</v>
      </c>
      <c r="K122" s="36" t="s">
        <v>152</v>
      </c>
      <c r="L122" s="36"/>
      <c r="M122" s="36"/>
      <c r="N122" s="36" t="s">
        <v>153</v>
      </c>
      <c r="O122" s="36"/>
      <c r="P122" s="27"/>
      <c r="Q122" s="104"/>
      <c r="S122" s="112" t="s">
        <v>151</v>
      </c>
      <c r="T122" s="36" t="s">
        <v>152</v>
      </c>
      <c r="U122" s="36"/>
      <c r="V122" s="36"/>
      <c r="W122" s="36" t="s">
        <v>153</v>
      </c>
      <c r="X122" s="36"/>
      <c r="Y122" s="27"/>
      <c r="Z122" s="104"/>
      <c r="AB122" s="112" t="s">
        <v>151</v>
      </c>
      <c r="AC122" s="36" t="s">
        <v>152</v>
      </c>
      <c r="AD122" s="36"/>
      <c r="AE122" s="36"/>
      <c r="AF122" s="36" t="s">
        <v>153</v>
      </c>
      <c r="AG122" s="36"/>
      <c r="AH122" s="27"/>
      <c r="AI122" s="104"/>
    </row>
    <row r="123" customFormat="false" ht="18.75" hidden="false" customHeight="false" outlineLevel="0" collapsed="false">
      <c r="A123" s="113" t="n">
        <f aca="false">B120+E120</f>
        <v>0</v>
      </c>
      <c r="B123" s="109" t="n">
        <v>199.991666666667</v>
      </c>
      <c r="C123" s="109"/>
      <c r="D123" s="109"/>
      <c r="E123" s="109" t="n">
        <v>0</v>
      </c>
      <c r="F123" s="109"/>
      <c r="G123" s="109"/>
      <c r="H123" s="104"/>
      <c r="J123" s="113" t="n">
        <f aca="false">K120+N120</f>
        <v>1000</v>
      </c>
      <c r="K123" s="109" t="n">
        <v>239.99</v>
      </c>
      <c r="L123" s="109"/>
      <c r="M123" s="109"/>
      <c r="N123" s="109" t="n">
        <v>0</v>
      </c>
      <c r="O123" s="109"/>
      <c r="P123" s="109"/>
      <c r="Q123" s="104"/>
      <c r="S123" s="113" t="n">
        <f aca="false">T120+W120</f>
        <v>1000</v>
      </c>
      <c r="T123" s="109" t="n">
        <v>199.99</v>
      </c>
      <c r="U123" s="109"/>
      <c r="V123" s="109"/>
      <c r="W123" s="109" t="n">
        <v>0</v>
      </c>
      <c r="X123" s="109"/>
      <c r="Y123" s="109"/>
      <c r="Z123" s="104"/>
      <c r="AB123" s="113" t="n">
        <f aca="false">AC120+AF120</f>
        <v>1000</v>
      </c>
      <c r="AC123" s="109" t="n">
        <v>239.99</v>
      </c>
      <c r="AD123" s="109"/>
      <c r="AE123" s="109"/>
      <c r="AF123" s="109" t="n">
        <v>0</v>
      </c>
      <c r="AG123" s="109"/>
      <c r="AH123" s="109"/>
      <c r="AI123" s="104"/>
    </row>
    <row r="124" customFormat="false" ht="18.75" hidden="false" customHeight="false" outlineLevel="0" collapsed="false">
      <c r="A124" s="114"/>
      <c r="B124" s="27"/>
      <c r="C124" s="27"/>
      <c r="D124" s="27"/>
      <c r="E124" s="27"/>
      <c r="F124" s="27"/>
      <c r="G124" s="27"/>
      <c r="H124" s="104"/>
      <c r="J124" s="114"/>
      <c r="K124" s="27"/>
      <c r="L124" s="27"/>
      <c r="M124" s="27"/>
      <c r="N124" s="27"/>
      <c r="O124" s="27"/>
      <c r="P124" s="27"/>
      <c r="Q124" s="104"/>
      <c r="S124" s="114"/>
      <c r="T124" s="27"/>
      <c r="U124" s="27"/>
      <c r="V124" s="27"/>
      <c r="W124" s="27"/>
      <c r="X124" s="27"/>
      <c r="Y124" s="27"/>
      <c r="Z124" s="104"/>
      <c r="AB124" s="114"/>
      <c r="AC124" s="27"/>
      <c r="AD124" s="27"/>
      <c r="AE124" s="27"/>
      <c r="AF124" s="27"/>
      <c r="AG124" s="27"/>
      <c r="AH124" s="27"/>
      <c r="AI124" s="104"/>
    </row>
    <row r="125" customFormat="false" ht="18.75" hidden="false" customHeight="false" outlineLevel="0" collapsed="false">
      <c r="A125" s="114"/>
      <c r="B125" s="27"/>
      <c r="C125" s="27"/>
      <c r="D125" s="27"/>
      <c r="E125" s="27"/>
      <c r="F125" s="27"/>
      <c r="G125" s="27"/>
      <c r="H125" s="104"/>
      <c r="J125" s="114"/>
      <c r="K125" s="27"/>
      <c r="L125" s="27"/>
      <c r="M125" s="27"/>
      <c r="N125" s="27"/>
      <c r="O125" s="27"/>
      <c r="P125" s="27"/>
      <c r="Q125" s="104"/>
      <c r="S125" s="114"/>
      <c r="T125" s="27"/>
      <c r="U125" s="27"/>
      <c r="V125" s="27"/>
      <c r="W125" s="27"/>
      <c r="X125" s="27"/>
      <c r="Y125" s="27"/>
      <c r="Z125" s="104"/>
      <c r="AB125" s="114"/>
      <c r="AC125" s="27"/>
      <c r="AD125" s="27"/>
      <c r="AE125" s="27"/>
      <c r="AF125" s="27"/>
      <c r="AG125" s="27"/>
      <c r="AH125" s="27"/>
      <c r="AI125" s="104"/>
    </row>
    <row r="126" customFormat="false" ht="22.05" hidden="false" customHeight="false" outlineLevel="0" collapsed="false">
      <c r="A126" s="32" t="s">
        <v>154</v>
      </c>
      <c r="B126" s="32"/>
      <c r="C126" s="32"/>
      <c r="D126" s="32"/>
      <c r="E126" s="32"/>
      <c r="F126" s="32"/>
      <c r="G126" s="32"/>
      <c r="H126" s="32"/>
      <c r="J126" s="32" t="s">
        <v>154</v>
      </c>
      <c r="K126" s="32"/>
      <c r="L126" s="32"/>
      <c r="M126" s="32"/>
      <c r="N126" s="32"/>
      <c r="O126" s="32"/>
      <c r="P126" s="32"/>
      <c r="Q126" s="32"/>
      <c r="S126" s="32" t="s">
        <v>154</v>
      </c>
      <c r="T126" s="32"/>
      <c r="U126" s="32"/>
      <c r="V126" s="32"/>
      <c r="W126" s="32"/>
      <c r="X126" s="32"/>
      <c r="Y126" s="32"/>
      <c r="Z126" s="32"/>
      <c r="AB126" s="32" t="s">
        <v>154</v>
      </c>
      <c r="AC126" s="32"/>
      <c r="AD126" s="32"/>
      <c r="AE126" s="32"/>
      <c r="AF126" s="32"/>
      <c r="AG126" s="32"/>
      <c r="AH126" s="32"/>
      <c r="AI126" s="32"/>
    </row>
    <row r="127" customFormat="false" ht="18.75" hidden="false" customHeight="false" outlineLevel="0" collapsed="false">
      <c r="A127" s="114"/>
      <c r="B127" s="27"/>
      <c r="C127" s="27"/>
      <c r="D127" s="27"/>
      <c r="E127" s="27"/>
      <c r="F127" s="27"/>
      <c r="G127" s="27"/>
      <c r="H127" s="104"/>
      <c r="J127" s="114"/>
      <c r="K127" s="27"/>
      <c r="L127" s="27"/>
      <c r="M127" s="27"/>
      <c r="N127" s="27"/>
      <c r="O127" s="27"/>
      <c r="P127" s="27"/>
      <c r="Q127" s="104"/>
      <c r="S127" s="114"/>
      <c r="T127" s="27"/>
      <c r="U127" s="27"/>
      <c r="V127" s="27"/>
      <c r="W127" s="27"/>
      <c r="X127" s="27"/>
      <c r="Y127" s="27"/>
      <c r="Z127" s="104"/>
      <c r="AB127" s="114"/>
      <c r="AC127" s="27"/>
      <c r="AD127" s="27"/>
      <c r="AE127" s="27"/>
      <c r="AF127" s="27"/>
      <c r="AG127" s="27"/>
      <c r="AH127" s="27"/>
      <c r="AI127" s="104"/>
    </row>
    <row r="128" customFormat="false" ht="19.7" hidden="false" customHeight="false" outlineLevel="0" collapsed="false">
      <c r="A128" s="82"/>
      <c r="B128" s="115" t="s">
        <v>155</v>
      </c>
      <c r="C128" s="115"/>
      <c r="D128" s="115" t="s">
        <v>156</v>
      </c>
      <c r="E128" s="115"/>
      <c r="F128" s="115" t="s">
        <v>157</v>
      </c>
      <c r="G128" s="115"/>
      <c r="H128" s="116" t="s">
        <v>158</v>
      </c>
      <c r="J128" s="82"/>
      <c r="K128" s="115" t="s">
        <v>155</v>
      </c>
      <c r="L128" s="115"/>
      <c r="M128" s="115" t="s">
        <v>156</v>
      </c>
      <c r="N128" s="115"/>
      <c r="O128" s="115" t="s">
        <v>157</v>
      </c>
      <c r="P128" s="115"/>
      <c r="Q128" s="116" t="s">
        <v>158</v>
      </c>
      <c r="S128" s="82"/>
      <c r="T128" s="115" t="s">
        <v>155</v>
      </c>
      <c r="U128" s="115"/>
      <c r="V128" s="115" t="s">
        <v>156</v>
      </c>
      <c r="W128" s="115"/>
      <c r="X128" s="115" t="s">
        <v>157</v>
      </c>
      <c r="Y128" s="115"/>
      <c r="Z128" s="116" t="s">
        <v>158</v>
      </c>
      <c r="AB128" s="82"/>
      <c r="AC128" s="115" t="s">
        <v>155</v>
      </c>
      <c r="AD128" s="115"/>
      <c r="AE128" s="115" t="s">
        <v>156</v>
      </c>
      <c r="AF128" s="115"/>
      <c r="AG128" s="115" t="s">
        <v>157</v>
      </c>
      <c r="AH128" s="115"/>
      <c r="AI128" s="116" t="s">
        <v>158</v>
      </c>
    </row>
    <row r="129" customFormat="false" ht="19.7" hidden="false" customHeight="false" outlineLevel="0" collapsed="false">
      <c r="A129" s="84"/>
      <c r="B129" s="117" t="s">
        <v>159</v>
      </c>
      <c r="C129" s="118" t="s">
        <v>160</v>
      </c>
      <c r="D129" s="117" t="s">
        <v>159</v>
      </c>
      <c r="E129" s="119" t="s">
        <v>160</v>
      </c>
      <c r="F129" s="117" t="s">
        <v>159</v>
      </c>
      <c r="G129" s="119" t="s">
        <v>160</v>
      </c>
      <c r="H129" s="120"/>
      <c r="J129" s="84"/>
      <c r="K129" s="117" t="s">
        <v>159</v>
      </c>
      <c r="L129" s="118" t="s">
        <v>160</v>
      </c>
      <c r="M129" s="117" t="s">
        <v>159</v>
      </c>
      <c r="N129" s="119" t="s">
        <v>160</v>
      </c>
      <c r="O129" s="117" t="s">
        <v>159</v>
      </c>
      <c r="P129" s="119" t="s">
        <v>160</v>
      </c>
      <c r="Q129" s="120"/>
      <c r="S129" s="84"/>
      <c r="T129" s="117" t="s">
        <v>159</v>
      </c>
      <c r="U129" s="118" t="s">
        <v>160</v>
      </c>
      <c r="V129" s="117" t="s">
        <v>159</v>
      </c>
      <c r="W129" s="119" t="s">
        <v>160</v>
      </c>
      <c r="X129" s="117" t="s">
        <v>159</v>
      </c>
      <c r="Y129" s="119" t="s">
        <v>160</v>
      </c>
      <c r="Z129" s="120"/>
      <c r="AB129" s="84"/>
      <c r="AC129" s="117" t="s">
        <v>159</v>
      </c>
      <c r="AD129" s="118" t="s">
        <v>160</v>
      </c>
      <c r="AE129" s="117" t="s">
        <v>159</v>
      </c>
      <c r="AF129" s="119" t="s">
        <v>160</v>
      </c>
      <c r="AG129" s="117" t="s">
        <v>159</v>
      </c>
      <c r="AH129" s="119" t="s">
        <v>160</v>
      </c>
      <c r="AI129" s="120"/>
    </row>
    <row r="130" customFormat="false" ht="18.75" hidden="false" customHeight="false" outlineLevel="0" collapsed="false">
      <c r="A130" s="29" t="s">
        <v>161</v>
      </c>
      <c r="B130" s="29" t="n">
        <f aca="false">B3</f>
        <v>44008.33</v>
      </c>
      <c r="C130" s="44" t="n">
        <f aca="false">B130</f>
        <v>44008.33</v>
      </c>
      <c r="D130" s="29" t="n">
        <f aca="false">D3</f>
        <v>0</v>
      </c>
      <c r="E130" s="44" t="n">
        <f aca="false">D130</f>
        <v>0</v>
      </c>
      <c r="F130" s="29" t="n">
        <f aca="false">F3</f>
        <v>0</v>
      </c>
      <c r="G130" s="44" t="n">
        <f aca="false">F130</f>
        <v>0</v>
      </c>
      <c r="H130" s="121" t="n">
        <f aca="false">H3</f>
        <v>0</v>
      </c>
      <c r="J130" s="29" t="s">
        <v>161</v>
      </c>
      <c r="K130" s="29" t="n">
        <f aca="false">B3</f>
        <v>44008.33</v>
      </c>
      <c r="L130" s="44" t="n">
        <v>28629.17</v>
      </c>
      <c r="M130" s="29" t="n">
        <f aca="false">D3</f>
        <v>0</v>
      </c>
      <c r="N130" s="44" t="n">
        <f aca="false">M130</f>
        <v>0</v>
      </c>
      <c r="O130" s="29" t="n">
        <f aca="false">F3</f>
        <v>0</v>
      </c>
      <c r="P130" s="44" t="n">
        <f aca="false">O130</f>
        <v>0</v>
      </c>
      <c r="Q130" s="121" t="n">
        <f aca="false">H3</f>
        <v>0</v>
      </c>
      <c r="S130" s="29" t="s">
        <v>161</v>
      </c>
      <c r="T130" s="29" t="n">
        <f aca="false">B3</f>
        <v>44008.33</v>
      </c>
      <c r="U130" s="44" t="n">
        <f aca="false">T130</f>
        <v>44008.33</v>
      </c>
      <c r="V130" s="29" t="n">
        <f aca="false">D3</f>
        <v>0</v>
      </c>
      <c r="W130" s="44" t="n">
        <f aca="false">V130</f>
        <v>0</v>
      </c>
      <c r="X130" s="29" t="n">
        <f aca="false">F3</f>
        <v>0</v>
      </c>
      <c r="Y130" s="44" t="n">
        <f aca="false">X130</f>
        <v>0</v>
      </c>
      <c r="Z130" s="121" t="n">
        <f aca="false">H3</f>
        <v>0</v>
      </c>
      <c r="AB130" s="29" t="s">
        <v>161</v>
      </c>
      <c r="AC130" s="29" t="n">
        <f aca="false">B3</f>
        <v>44008.33</v>
      </c>
      <c r="AD130" s="44" t="n">
        <f aca="false">AC130</f>
        <v>44008.33</v>
      </c>
      <c r="AE130" s="29" t="n">
        <f aca="false">D3</f>
        <v>0</v>
      </c>
      <c r="AF130" s="44" t="n">
        <f aca="false">AE130</f>
        <v>0</v>
      </c>
      <c r="AG130" s="29" t="n">
        <f aca="false">F3</f>
        <v>0</v>
      </c>
      <c r="AH130" s="44" t="n">
        <f aca="false">AG130</f>
        <v>0</v>
      </c>
      <c r="AI130" s="121" t="n">
        <f aca="false">H3</f>
        <v>0</v>
      </c>
    </row>
    <row r="131" customFormat="false" ht="18.75" hidden="false" customHeight="false" outlineLevel="0" collapsed="false">
      <c r="A131" s="35" t="s">
        <v>162</v>
      </c>
      <c r="B131" s="122" t="n">
        <f aca="false">B4</f>
        <v>2</v>
      </c>
      <c r="C131" s="126" t="n">
        <f aca="false">B131</f>
        <v>2</v>
      </c>
      <c r="D131" s="122" t="n">
        <f aca="false">D4</f>
        <v>0</v>
      </c>
      <c r="E131" s="126" t="n">
        <f aca="false">D131</f>
        <v>0</v>
      </c>
      <c r="F131" s="122" t="n">
        <f aca="false">F4</f>
        <v>0</v>
      </c>
      <c r="G131" s="126" t="n">
        <f aca="false">F131</f>
        <v>0</v>
      </c>
      <c r="H131" s="125"/>
      <c r="J131" s="35" t="s">
        <v>162</v>
      </c>
      <c r="K131" s="122" t="n">
        <f aca="false">B4</f>
        <v>2</v>
      </c>
      <c r="L131" s="126" t="n">
        <v>0</v>
      </c>
      <c r="M131" s="122" t="n">
        <f aca="false">D4</f>
        <v>0</v>
      </c>
      <c r="N131" s="126" t="n">
        <f aca="false">M131</f>
        <v>0</v>
      </c>
      <c r="O131" s="122" t="n">
        <f aca="false">F4</f>
        <v>0</v>
      </c>
      <c r="P131" s="126" t="n">
        <f aca="false">O131</f>
        <v>0</v>
      </c>
      <c r="Q131" s="125"/>
      <c r="S131" s="35" t="s">
        <v>162</v>
      </c>
      <c r="T131" s="122" t="n">
        <f aca="false">B4</f>
        <v>2</v>
      </c>
      <c r="U131" s="126" t="n">
        <v>0.25</v>
      </c>
      <c r="V131" s="122" t="n">
        <f aca="false">D4</f>
        <v>0</v>
      </c>
      <c r="W131" s="126" t="n">
        <f aca="false">V131</f>
        <v>0</v>
      </c>
      <c r="X131" s="122" t="n">
        <f aca="false">F4</f>
        <v>0</v>
      </c>
      <c r="Y131" s="126" t="n">
        <f aca="false">X131</f>
        <v>0</v>
      </c>
      <c r="Z131" s="125"/>
      <c r="AB131" s="35" t="s">
        <v>162</v>
      </c>
      <c r="AC131" s="122" t="n">
        <f aca="false">B4</f>
        <v>2</v>
      </c>
      <c r="AD131" s="126" t="n">
        <v>0.25</v>
      </c>
      <c r="AE131" s="122" t="n">
        <f aca="false">D4</f>
        <v>0</v>
      </c>
      <c r="AF131" s="126" t="n">
        <f aca="false">AE131</f>
        <v>0</v>
      </c>
      <c r="AG131" s="122" t="n">
        <f aca="false">F4</f>
        <v>0</v>
      </c>
      <c r="AH131" s="126" t="n">
        <f aca="false">AG131</f>
        <v>0</v>
      </c>
      <c r="AI131" s="125"/>
    </row>
    <row r="132" customFormat="false" ht="18.75" hidden="false" customHeight="false" outlineLevel="0" collapsed="false">
      <c r="A132" s="35" t="s">
        <v>163</v>
      </c>
      <c r="B132" s="35" t="n">
        <f aca="false">B5</f>
        <v>0</v>
      </c>
      <c r="C132" s="44" t="n">
        <f aca="false">B132</f>
        <v>0</v>
      </c>
      <c r="D132" s="35" t="n">
        <f aca="false">D5</f>
        <v>0</v>
      </c>
      <c r="E132" s="44" t="n">
        <f aca="false">D132</f>
        <v>0</v>
      </c>
      <c r="F132" s="35" t="n">
        <f aca="false">F5</f>
        <v>0</v>
      </c>
      <c r="G132" s="44" t="n">
        <f aca="false">F132</f>
        <v>0</v>
      </c>
      <c r="H132" s="37"/>
      <c r="J132" s="35" t="s">
        <v>163</v>
      </c>
      <c r="K132" s="35" t="n">
        <f aca="false">B5</f>
        <v>0</v>
      </c>
      <c r="L132" s="44" t="n">
        <v>0</v>
      </c>
      <c r="M132" s="35" t="n">
        <f aca="false">D5</f>
        <v>0</v>
      </c>
      <c r="N132" s="44" t="n">
        <f aca="false">M132</f>
        <v>0</v>
      </c>
      <c r="O132" s="35" t="n">
        <f aca="false">F5</f>
        <v>0</v>
      </c>
      <c r="P132" s="44" t="n">
        <f aca="false">O132</f>
        <v>0</v>
      </c>
      <c r="Q132" s="37"/>
      <c r="S132" s="35" t="s">
        <v>163</v>
      </c>
      <c r="T132" s="35" t="n">
        <f aca="false">B5</f>
        <v>0</v>
      </c>
      <c r="U132" s="44" t="n">
        <v>0</v>
      </c>
      <c r="V132" s="35" t="n">
        <f aca="false">D5</f>
        <v>0</v>
      </c>
      <c r="W132" s="44" t="n">
        <f aca="false">V132</f>
        <v>0</v>
      </c>
      <c r="X132" s="35" t="n">
        <f aca="false">F5</f>
        <v>0</v>
      </c>
      <c r="Y132" s="44" t="n">
        <f aca="false">X132</f>
        <v>0</v>
      </c>
      <c r="Z132" s="37"/>
      <c r="AB132" s="35" t="s">
        <v>163</v>
      </c>
      <c r="AC132" s="35" t="n">
        <f aca="false">B5</f>
        <v>0</v>
      </c>
      <c r="AD132" s="44" t="n">
        <v>0</v>
      </c>
      <c r="AE132" s="35" t="n">
        <f aca="false">D5</f>
        <v>0</v>
      </c>
      <c r="AF132" s="44" t="n">
        <f aca="false">AE132</f>
        <v>0</v>
      </c>
      <c r="AG132" s="35" t="n">
        <f aca="false">F5</f>
        <v>0</v>
      </c>
      <c r="AH132" s="44" t="n">
        <f aca="false">AG132</f>
        <v>0</v>
      </c>
      <c r="AI132" s="37"/>
    </row>
    <row r="133" customFormat="false" ht="18.75" hidden="false" customHeight="false" outlineLevel="0" collapsed="false">
      <c r="A133" s="35" t="s">
        <v>164</v>
      </c>
      <c r="B133" s="35" t="n">
        <f aca="false">(B130*B131)+B132</f>
        <v>88016.66</v>
      </c>
      <c r="C133" s="31" t="n">
        <f aca="false">(C130*C131/100)+C132</f>
        <v>880.1666</v>
      </c>
      <c r="D133" s="35" t="n">
        <f aca="false">(D130*D131)+D132</f>
        <v>0</v>
      </c>
      <c r="E133" s="31" t="n">
        <f aca="false">(E130*E131/100)+E132</f>
        <v>0</v>
      </c>
      <c r="F133" s="35" t="n">
        <f aca="false">(F130*F131)+F132</f>
        <v>0</v>
      </c>
      <c r="G133" s="31" t="n">
        <f aca="false">(G130*G131/100)+G132</f>
        <v>0</v>
      </c>
      <c r="H133" s="37"/>
      <c r="J133" s="35" t="s">
        <v>164</v>
      </c>
      <c r="K133" s="35" t="n">
        <f aca="false">(K130*K131)+K132</f>
        <v>88016.66</v>
      </c>
      <c r="L133" s="31" t="n">
        <f aca="false">(L130*L131)+L132</f>
        <v>0</v>
      </c>
      <c r="M133" s="35" t="n">
        <f aca="false">(M130*M131)+M132</f>
        <v>0</v>
      </c>
      <c r="N133" s="31" t="n">
        <f aca="false">(N130*N131)+N132</f>
        <v>0</v>
      </c>
      <c r="O133" s="35" t="n">
        <f aca="false">(O130*O131)+O132</f>
        <v>0</v>
      </c>
      <c r="P133" s="31" t="n">
        <f aca="false">(P130*P131)+P132</f>
        <v>0</v>
      </c>
      <c r="Q133" s="37"/>
      <c r="S133" s="35" t="s">
        <v>164</v>
      </c>
      <c r="T133" s="35" t="n">
        <f aca="false">(T130*T131)+T132</f>
        <v>88016.66</v>
      </c>
      <c r="U133" s="31" t="n">
        <f aca="false">(U130*U131)+U132</f>
        <v>11002.0825</v>
      </c>
      <c r="V133" s="35" t="n">
        <f aca="false">(V130*V131)+V132</f>
        <v>0</v>
      </c>
      <c r="W133" s="31" t="n">
        <f aca="false">(W130*W131)+W132</f>
        <v>0</v>
      </c>
      <c r="X133" s="35" t="n">
        <f aca="false">(X130*X131)+X132</f>
        <v>0</v>
      </c>
      <c r="Y133" s="31" t="n">
        <f aca="false">(Y130*Y131)+Y132</f>
        <v>0</v>
      </c>
      <c r="Z133" s="37"/>
      <c r="AB133" s="35" t="s">
        <v>164</v>
      </c>
      <c r="AC133" s="35" t="n">
        <f aca="false">(AC130*AC131)+AC132</f>
        <v>88016.66</v>
      </c>
      <c r="AD133" s="31" t="n">
        <f aca="false">(AD130*AD131)+AD132</f>
        <v>11002.0825</v>
      </c>
      <c r="AE133" s="35" t="n">
        <f aca="false">(AE130*AE131)+AE132</f>
        <v>0</v>
      </c>
      <c r="AF133" s="31" t="n">
        <f aca="false">(AF130*AF131)+AF132</f>
        <v>0</v>
      </c>
      <c r="AG133" s="35" t="n">
        <f aca="false">(AG130*AG131)+AG132</f>
        <v>0</v>
      </c>
      <c r="AH133" s="31" t="n">
        <f aca="false">(AH130*AH131)+AH132</f>
        <v>0</v>
      </c>
      <c r="AI133" s="37"/>
    </row>
    <row r="134" customFormat="false" ht="18.75" hidden="false" customHeight="false" outlineLevel="0" collapsed="false">
      <c r="A134" s="60" t="s">
        <v>165</v>
      </c>
      <c r="B134" s="60" t="n">
        <f aca="false">B130-B133</f>
        <v>-44008.33</v>
      </c>
      <c r="C134" s="69" t="n">
        <f aca="false">C130-C133</f>
        <v>43128.1634</v>
      </c>
      <c r="D134" s="60" t="n">
        <f aca="false">D130-D133</f>
        <v>0</v>
      </c>
      <c r="E134" s="69" t="n">
        <f aca="false">E130-E133</f>
        <v>0</v>
      </c>
      <c r="F134" s="60" t="n">
        <f aca="false">F130-F133</f>
        <v>0</v>
      </c>
      <c r="G134" s="69" t="n">
        <f aca="false">G130-G133</f>
        <v>0</v>
      </c>
      <c r="H134" s="69"/>
      <c r="J134" s="60" t="s">
        <v>165</v>
      </c>
      <c r="K134" s="60" t="n">
        <f aca="false">K130-K133</f>
        <v>-44008.33</v>
      </c>
      <c r="L134" s="69" t="n">
        <f aca="false">L130-L133</f>
        <v>28629.17</v>
      </c>
      <c r="M134" s="60" t="n">
        <f aca="false">M130-M133</f>
        <v>0</v>
      </c>
      <c r="N134" s="69" t="n">
        <f aca="false">N130-N133</f>
        <v>0</v>
      </c>
      <c r="O134" s="60" t="n">
        <f aca="false">O130-O133</f>
        <v>0</v>
      </c>
      <c r="P134" s="69" t="n">
        <f aca="false">P130-P133</f>
        <v>0</v>
      </c>
      <c r="Q134" s="69"/>
      <c r="S134" s="60" t="s">
        <v>165</v>
      </c>
      <c r="T134" s="60" t="n">
        <f aca="false">T130-T133</f>
        <v>-44008.33</v>
      </c>
      <c r="U134" s="69" t="n">
        <f aca="false">U130-U133</f>
        <v>33006.2475</v>
      </c>
      <c r="V134" s="60" t="n">
        <f aca="false">V130-V133</f>
        <v>0</v>
      </c>
      <c r="W134" s="69" t="n">
        <f aca="false">W130-W133</f>
        <v>0</v>
      </c>
      <c r="X134" s="60" t="n">
        <f aca="false">X130-X133</f>
        <v>0</v>
      </c>
      <c r="Y134" s="69" t="n">
        <f aca="false">Y130-Y133</f>
        <v>0</v>
      </c>
      <c r="Z134" s="69"/>
      <c r="AB134" s="60" t="s">
        <v>165</v>
      </c>
      <c r="AC134" s="60" t="n">
        <f aca="false">AC130-AC133</f>
        <v>-44008.33</v>
      </c>
      <c r="AD134" s="69" t="n">
        <f aca="false">AD130-AD133</f>
        <v>33006.2475</v>
      </c>
      <c r="AE134" s="60" t="n">
        <f aca="false">AE130-AE133</f>
        <v>0</v>
      </c>
      <c r="AF134" s="69" t="n">
        <f aca="false">AF130-AF133</f>
        <v>0</v>
      </c>
      <c r="AG134" s="60" t="n">
        <f aca="false">AG130-AG133</f>
        <v>0</v>
      </c>
      <c r="AH134" s="69" t="n">
        <f aca="false">AH130-AH133</f>
        <v>0</v>
      </c>
      <c r="AI134" s="69"/>
    </row>
    <row r="135" customFormat="false" ht="18.75" hidden="false" customHeight="false" outlineLevel="0" collapsed="false">
      <c r="A135" s="35"/>
      <c r="B135" s="36"/>
      <c r="C135" s="36"/>
      <c r="D135" s="36"/>
      <c r="E135" s="36"/>
      <c r="F135" s="36"/>
      <c r="G135" s="36"/>
      <c r="H135" s="37"/>
      <c r="J135" s="35"/>
      <c r="K135" s="36"/>
      <c r="L135" s="36"/>
      <c r="M135" s="36"/>
      <c r="N135" s="36"/>
      <c r="O135" s="36"/>
      <c r="P135" s="36"/>
      <c r="Q135" s="37"/>
      <c r="S135" s="35"/>
      <c r="T135" s="36"/>
      <c r="U135" s="36"/>
      <c r="V135" s="36"/>
      <c r="W135" s="36"/>
      <c r="X135" s="36"/>
      <c r="Y135" s="36"/>
      <c r="Z135" s="37"/>
      <c r="AB135" s="35"/>
      <c r="AC135" s="36"/>
      <c r="AD135" s="36"/>
      <c r="AE135" s="36"/>
      <c r="AF135" s="36"/>
      <c r="AG135" s="36"/>
      <c r="AH135" s="36"/>
      <c r="AI135" s="37"/>
    </row>
    <row r="136" customFormat="false" ht="19.7" hidden="false" customHeight="false" outlineLevel="0" collapsed="false">
      <c r="A136" s="127"/>
      <c r="B136" s="128"/>
      <c r="C136" s="128"/>
      <c r="D136" s="128"/>
      <c r="E136" s="128"/>
      <c r="F136" s="128"/>
      <c r="G136" s="129" t="s">
        <v>159</v>
      </c>
      <c r="H136" s="130" t="s">
        <v>160</v>
      </c>
      <c r="J136" s="127"/>
      <c r="K136" s="128"/>
      <c r="L136" s="128"/>
      <c r="M136" s="128"/>
      <c r="N136" s="128"/>
      <c r="O136" s="128"/>
      <c r="P136" s="129" t="s">
        <v>159</v>
      </c>
      <c r="Q136" s="130" t="s">
        <v>160</v>
      </c>
      <c r="S136" s="127"/>
      <c r="T136" s="128"/>
      <c r="U136" s="128"/>
      <c r="V136" s="128"/>
      <c r="W136" s="128"/>
      <c r="X136" s="128"/>
      <c r="Y136" s="129" t="s">
        <v>159</v>
      </c>
      <c r="Z136" s="130" t="s">
        <v>160</v>
      </c>
      <c r="AB136" s="127"/>
      <c r="AC136" s="128"/>
      <c r="AD136" s="128"/>
      <c r="AE136" s="128"/>
      <c r="AF136" s="128"/>
      <c r="AG136" s="128"/>
      <c r="AH136" s="129" t="s">
        <v>159</v>
      </c>
      <c r="AI136" s="130" t="s">
        <v>160</v>
      </c>
    </row>
    <row r="137" customFormat="false" ht="18.75" hidden="false" customHeight="false" outlineLevel="0" collapsed="false">
      <c r="A137" s="131" t="s">
        <v>166</v>
      </c>
      <c r="B137" s="132"/>
      <c r="C137" s="132"/>
      <c r="D137" s="132"/>
      <c r="E137" s="132"/>
      <c r="F137" s="132"/>
      <c r="G137" s="133" t="n">
        <f aca="false">H130</f>
        <v>0</v>
      </c>
      <c r="H137" s="134" t="n">
        <f aca="false">SUM(H140:H142)</f>
        <v>0</v>
      </c>
      <c r="J137" s="131" t="s">
        <v>166</v>
      </c>
      <c r="K137" s="132"/>
      <c r="L137" s="132"/>
      <c r="M137" s="132"/>
      <c r="N137" s="132"/>
      <c r="O137" s="132"/>
      <c r="P137" s="133" t="n">
        <f aca="false">Q130</f>
        <v>0</v>
      </c>
      <c r="Q137" s="134" t="n">
        <f aca="false">SUM(Q140:Q142)</f>
        <v>0</v>
      </c>
      <c r="S137" s="131" t="s">
        <v>166</v>
      </c>
      <c r="T137" s="132"/>
      <c r="U137" s="132"/>
      <c r="V137" s="132"/>
      <c r="W137" s="132"/>
      <c r="X137" s="132"/>
      <c r="Y137" s="133" t="n">
        <f aca="false">Z130</f>
        <v>0</v>
      </c>
      <c r="Z137" s="134" t="n">
        <f aca="false">SUM(Z140:Z142)</f>
        <v>0</v>
      </c>
      <c r="AB137" s="131" t="s">
        <v>166</v>
      </c>
      <c r="AC137" s="132"/>
      <c r="AD137" s="132"/>
      <c r="AE137" s="132"/>
      <c r="AF137" s="132"/>
      <c r="AG137" s="132"/>
      <c r="AH137" s="133" t="n">
        <f aca="false">AI130</f>
        <v>0</v>
      </c>
      <c r="AI137" s="134" t="n">
        <f aca="false">SUM(AI140:AI142)</f>
        <v>0</v>
      </c>
    </row>
    <row r="138" customFormat="false" ht="18.75" hidden="false" customHeight="false" outlineLevel="0" collapsed="false">
      <c r="A138" s="35"/>
      <c r="B138" s="36"/>
      <c r="C138" s="36"/>
      <c r="D138" s="36"/>
      <c r="E138" s="36"/>
      <c r="F138" s="36"/>
      <c r="G138" s="135"/>
      <c r="H138" s="136"/>
      <c r="J138" s="35"/>
      <c r="K138" s="36"/>
      <c r="L138" s="36"/>
      <c r="M138" s="36"/>
      <c r="N138" s="36"/>
      <c r="O138" s="36"/>
      <c r="P138" s="135"/>
      <c r="Q138" s="136"/>
      <c r="S138" s="35"/>
      <c r="T138" s="36"/>
      <c r="U138" s="36"/>
      <c r="V138" s="36"/>
      <c r="W138" s="36"/>
      <c r="X138" s="36"/>
      <c r="Y138" s="135"/>
      <c r="Z138" s="136"/>
      <c r="AB138" s="35"/>
      <c r="AC138" s="36"/>
      <c r="AD138" s="36"/>
      <c r="AE138" s="36"/>
      <c r="AF138" s="36"/>
      <c r="AG138" s="36"/>
      <c r="AH138" s="135"/>
      <c r="AI138" s="136"/>
    </row>
    <row r="139" customFormat="false" ht="18.75" hidden="false" customHeight="false" outlineLevel="0" collapsed="false">
      <c r="A139" s="137" t="s">
        <v>167</v>
      </c>
      <c r="B139" s="138" t="s">
        <v>168</v>
      </c>
      <c r="C139" s="138"/>
      <c r="D139" s="138" t="s">
        <v>169</v>
      </c>
      <c r="E139" s="138"/>
      <c r="F139" s="138" t="s">
        <v>163</v>
      </c>
      <c r="G139" s="138"/>
      <c r="H139" s="136" t="s">
        <v>160</v>
      </c>
      <c r="J139" s="137" t="s">
        <v>167</v>
      </c>
      <c r="K139" s="139" t="s">
        <v>168</v>
      </c>
      <c r="L139" s="139"/>
      <c r="M139" s="138" t="s">
        <v>169</v>
      </c>
      <c r="N139" s="138"/>
      <c r="O139" s="138" t="s">
        <v>163</v>
      </c>
      <c r="P139" s="138"/>
      <c r="Q139" s="136" t="s">
        <v>160</v>
      </c>
      <c r="S139" s="137" t="s">
        <v>167</v>
      </c>
      <c r="T139" s="138" t="s">
        <v>168</v>
      </c>
      <c r="U139" s="138"/>
      <c r="V139" s="138" t="s">
        <v>169</v>
      </c>
      <c r="W139" s="138"/>
      <c r="X139" s="138" t="s">
        <v>163</v>
      </c>
      <c r="Y139" s="138"/>
      <c r="Z139" s="136" t="s">
        <v>160</v>
      </c>
      <c r="AB139" s="137" t="s">
        <v>167</v>
      </c>
      <c r="AC139" s="138" t="s">
        <v>168</v>
      </c>
      <c r="AD139" s="138"/>
      <c r="AE139" s="138" t="s">
        <v>169</v>
      </c>
      <c r="AF139" s="138"/>
      <c r="AG139" s="138" t="s">
        <v>163</v>
      </c>
      <c r="AH139" s="138"/>
      <c r="AI139" s="136" t="s">
        <v>160</v>
      </c>
    </row>
    <row r="140" customFormat="false" ht="18.75" hidden="false" customHeight="false" outlineLevel="0" collapsed="false">
      <c r="A140" s="35" t="s">
        <v>170</v>
      </c>
      <c r="B140" s="140" t="n">
        <f aca="false">G137</f>
        <v>0</v>
      </c>
      <c r="C140" s="140"/>
      <c r="D140" s="141" t="n">
        <v>0</v>
      </c>
      <c r="E140" s="141"/>
      <c r="F140" s="140" t="n">
        <v>0</v>
      </c>
      <c r="G140" s="140"/>
      <c r="H140" s="142" t="n">
        <f aca="false">(B140-(B140*D140))-F140</f>
        <v>0</v>
      </c>
      <c r="J140" s="35" t="s">
        <v>170</v>
      </c>
      <c r="K140" s="140" t="n">
        <f aca="false">P137</f>
        <v>0</v>
      </c>
      <c r="L140" s="140"/>
      <c r="M140" s="141" t="n">
        <v>0</v>
      </c>
      <c r="N140" s="141"/>
      <c r="O140" s="140" t="n">
        <v>0</v>
      </c>
      <c r="P140" s="140"/>
      <c r="Q140" s="142" t="n">
        <f aca="false">(K140-(K140*M140))-O140</f>
        <v>0</v>
      </c>
      <c r="S140" s="35" t="s">
        <v>170</v>
      </c>
      <c r="T140" s="140" t="n">
        <f aca="false">Y137</f>
        <v>0</v>
      </c>
      <c r="U140" s="140"/>
      <c r="V140" s="141" t="n">
        <v>0</v>
      </c>
      <c r="W140" s="141"/>
      <c r="X140" s="140" t="n">
        <v>0</v>
      </c>
      <c r="Y140" s="140"/>
      <c r="Z140" s="142" t="n">
        <f aca="false">(T140-(T140*V140))-X140</f>
        <v>0</v>
      </c>
      <c r="AB140" s="35" t="s">
        <v>170</v>
      </c>
      <c r="AC140" s="140" t="n">
        <f aca="false">AH137</f>
        <v>0</v>
      </c>
      <c r="AD140" s="140"/>
      <c r="AE140" s="141" t="n">
        <v>0</v>
      </c>
      <c r="AF140" s="141"/>
      <c r="AG140" s="140" t="n">
        <v>0</v>
      </c>
      <c r="AH140" s="140"/>
      <c r="AI140" s="142" t="n">
        <f aca="false">(AC140-(AC140*AE140))-AG140</f>
        <v>0</v>
      </c>
    </row>
    <row r="141" customFormat="false" ht="18.75" hidden="false" customHeight="false" outlineLevel="0" collapsed="false">
      <c r="A141" s="35" t="s">
        <v>171</v>
      </c>
      <c r="B141" s="140" t="n">
        <v>0</v>
      </c>
      <c r="C141" s="140"/>
      <c r="D141" s="141" t="n">
        <v>0</v>
      </c>
      <c r="E141" s="141"/>
      <c r="F141" s="140" t="n">
        <v>0</v>
      </c>
      <c r="G141" s="140"/>
      <c r="H141" s="142" t="n">
        <f aca="false">(B141-(B141*D141))-F141</f>
        <v>0</v>
      </c>
      <c r="J141" s="35" t="s">
        <v>171</v>
      </c>
      <c r="K141" s="140" t="n">
        <v>0</v>
      </c>
      <c r="L141" s="140"/>
      <c r="M141" s="141" t="n">
        <v>0</v>
      </c>
      <c r="N141" s="141"/>
      <c r="O141" s="140" t="n">
        <v>0</v>
      </c>
      <c r="P141" s="140"/>
      <c r="Q141" s="142" t="n">
        <f aca="false">(K141-(K141*M141))-O141</f>
        <v>0</v>
      </c>
      <c r="S141" s="35" t="s">
        <v>171</v>
      </c>
      <c r="T141" s="140" t="n">
        <v>0</v>
      </c>
      <c r="U141" s="140"/>
      <c r="V141" s="141" t="n">
        <v>0</v>
      </c>
      <c r="W141" s="141"/>
      <c r="X141" s="140" t="n">
        <v>0</v>
      </c>
      <c r="Y141" s="140"/>
      <c r="Z141" s="142" t="n">
        <f aca="false">(T141-(T141*V141))-X141</f>
        <v>0</v>
      </c>
      <c r="AB141" s="35" t="s">
        <v>171</v>
      </c>
      <c r="AC141" s="140" t="n">
        <v>0</v>
      </c>
      <c r="AD141" s="140"/>
      <c r="AE141" s="141" t="n">
        <v>0</v>
      </c>
      <c r="AF141" s="141"/>
      <c r="AG141" s="140" t="n">
        <v>0</v>
      </c>
      <c r="AH141" s="140"/>
      <c r="AI141" s="142" t="n">
        <f aca="false">(AC141-(AC141*AE141))-AG141</f>
        <v>0</v>
      </c>
    </row>
    <row r="142" customFormat="false" ht="18.75" hidden="false" customHeight="false" outlineLevel="0" collapsed="false">
      <c r="A142" s="35" t="s">
        <v>172</v>
      </c>
      <c r="B142" s="140" t="n">
        <v>0</v>
      </c>
      <c r="C142" s="140"/>
      <c r="D142" s="141" t="n">
        <v>0</v>
      </c>
      <c r="E142" s="141"/>
      <c r="F142" s="140" t="n">
        <v>0</v>
      </c>
      <c r="G142" s="140"/>
      <c r="H142" s="142" t="n">
        <f aca="false">(B142-(B142*D142))-F142</f>
        <v>0</v>
      </c>
      <c r="J142" s="35" t="s">
        <v>172</v>
      </c>
      <c r="K142" s="140" t="n">
        <v>0</v>
      </c>
      <c r="L142" s="140"/>
      <c r="M142" s="141" t="n">
        <v>0</v>
      </c>
      <c r="N142" s="141"/>
      <c r="O142" s="140" t="n">
        <v>0</v>
      </c>
      <c r="P142" s="140"/>
      <c r="Q142" s="142" t="n">
        <f aca="false">(K142-(K142*M142))-O142</f>
        <v>0</v>
      </c>
      <c r="S142" s="35" t="s">
        <v>172</v>
      </c>
      <c r="T142" s="140" t="n">
        <v>0</v>
      </c>
      <c r="U142" s="140"/>
      <c r="V142" s="141" t="n">
        <v>0</v>
      </c>
      <c r="W142" s="141"/>
      <c r="X142" s="140" t="n">
        <v>0</v>
      </c>
      <c r="Y142" s="140"/>
      <c r="Z142" s="142" t="n">
        <f aca="false">(T142-(T142*V142))-X142</f>
        <v>0</v>
      </c>
      <c r="AB142" s="35" t="s">
        <v>172</v>
      </c>
      <c r="AC142" s="140" t="n">
        <v>0</v>
      </c>
      <c r="AD142" s="140"/>
      <c r="AE142" s="141" t="n">
        <v>0</v>
      </c>
      <c r="AF142" s="141"/>
      <c r="AG142" s="140" t="n">
        <v>0</v>
      </c>
      <c r="AH142" s="140"/>
      <c r="AI142" s="142" t="n">
        <f aca="false">(AC142-(AC142*AE142))-AG142</f>
        <v>0</v>
      </c>
    </row>
    <row r="143" customFormat="false" ht="18.75" hidden="false" customHeight="false" outlineLevel="0" collapsed="false">
      <c r="A143" s="35"/>
      <c r="B143" s="36"/>
      <c r="C143" s="36"/>
      <c r="D143" s="36"/>
      <c r="E143" s="36"/>
      <c r="F143" s="36"/>
      <c r="G143" s="135"/>
      <c r="H143" s="136"/>
      <c r="J143" s="35"/>
      <c r="K143" s="36"/>
      <c r="L143" s="36"/>
      <c r="M143" s="36"/>
      <c r="N143" s="36"/>
      <c r="O143" s="36"/>
      <c r="P143" s="135"/>
      <c r="Q143" s="136"/>
      <c r="S143" s="35"/>
      <c r="T143" s="36"/>
      <c r="U143" s="36"/>
      <c r="V143" s="36"/>
      <c r="W143" s="36"/>
      <c r="X143" s="36"/>
      <c r="Y143" s="135"/>
      <c r="Z143" s="136"/>
      <c r="AB143" s="35"/>
      <c r="AC143" s="36"/>
      <c r="AD143" s="36"/>
      <c r="AE143" s="36"/>
      <c r="AF143" s="36"/>
      <c r="AG143" s="36"/>
      <c r="AH143" s="135"/>
      <c r="AI143" s="136"/>
    </row>
    <row r="144" customFormat="false" ht="19.7" hidden="false" customHeight="false" outlineLevel="0" collapsed="false">
      <c r="A144" s="143" t="s">
        <v>173</v>
      </c>
      <c r="B144" s="143"/>
      <c r="C144" s="143"/>
      <c r="D144" s="143"/>
      <c r="E144" s="143"/>
      <c r="F144" s="143"/>
      <c r="G144" s="129" t="n">
        <f aca="false">H9</f>
        <v>43128.1634</v>
      </c>
      <c r="H144" s="144" t="n">
        <f aca="false">C134+E134+G134+H137</f>
        <v>43128.1634</v>
      </c>
      <c r="J144" s="143" t="s">
        <v>173</v>
      </c>
      <c r="K144" s="143"/>
      <c r="L144" s="143"/>
      <c r="M144" s="143"/>
      <c r="N144" s="143"/>
      <c r="O144" s="143"/>
      <c r="P144" s="129" t="n">
        <f aca="false">H9</f>
        <v>43128.1634</v>
      </c>
      <c r="Q144" s="144" t="n">
        <f aca="false">L134+N134+P134+Q137</f>
        <v>28629.17</v>
      </c>
      <c r="S144" s="143" t="s">
        <v>173</v>
      </c>
      <c r="T144" s="143"/>
      <c r="U144" s="143"/>
      <c r="V144" s="143"/>
      <c r="W144" s="143"/>
      <c r="X144" s="143"/>
      <c r="Y144" s="129" t="n">
        <f aca="false">H9</f>
        <v>43128.1634</v>
      </c>
      <c r="Z144" s="144" t="n">
        <f aca="false">U134+W134+Y134+Z137</f>
        <v>33006.2475</v>
      </c>
      <c r="AB144" s="143" t="s">
        <v>173</v>
      </c>
      <c r="AC144" s="143"/>
      <c r="AD144" s="143"/>
      <c r="AE144" s="143"/>
      <c r="AF144" s="143"/>
      <c r="AG144" s="143"/>
      <c r="AH144" s="129" t="n">
        <f aca="false">H9</f>
        <v>43128.1634</v>
      </c>
      <c r="AI144" s="144" t="n">
        <f aca="false">AD134+AF134+AH134+AI137</f>
        <v>33006.2475</v>
      </c>
    </row>
    <row r="145" customFormat="false" ht="18.75" hidden="false" customHeight="false" outlineLevel="0" collapsed="false">
      <c r="A145" s="145" t="s">
        <v>174</v>
      </c>
      <c r="B145" s="145"/>
      <c r="C145" s="145"/>
      <c r="D145" s="145"/>
      <c r="E145" s="145"/>
      <c r="F145" s="145"/>
      <c r="G145" s="146" t="n">
        <f aca="false">H10</f>
        <v>150</v>
      </c>
      <c r="H145" s="37" t="n">
        <f aca="false">G145</f>
        <v>150</v>
      </c>
      <c r="J145" s="145" t="s">
        <v>174</v>
      </c>
      <c r="K145" s="145"/>
      <c r="L145" s="145"/>
      <c r="M145" s="145"/>
      <c r="N145" s="145"/>
      <c r="O145" s="145"/>
      <c r="P145" s="146" t="n">
        <f aca="false">H10</f>
        <v>150</v>
      </c>
      <c r="Q145" s="37" t="n">
        <f aca="false">P145</f>
        <v>150</v>
      </c>
      <c r="S145" s="145" t="s">
        <v>174</v>
      </c>
      <c r="T145" s="145"/>
      <c r="U145" s="145"/>
      <c r="V145" s="145"/>
      <c r="W145" s="145"/>
      <c r="X145" s="145"/>
      <c r="Y145" s="146" t="n">
        <f aca="false">H10</f>
        <v>150</v>
      </c>
      <c r="Z145" s="37" t="n">
        <f aca="false">Y145</f>
        <v>150</v>
      </c>
      <c r="AB145" s="145" t="s">
        <v>174</v>
      </c>
      <c r="AC145" s="145"/>
      <c r="AD145" s="145"/>
      <c r="AE145" s="145"/>
      <c r="AF145" s="145"/>
      <c r="AG145" s="145"/>
      <c r="AH145" s="146" t="n">
        <f aca="false">H10</f>
        <v>150</v>
      </c>
      <c r="AI145" s="37" t="n">
        <f aca="false">AH145</f>
        <v>150</v>
      </c>
    </row>
    <row r="146" customFormat="false" ht="18.75" hidden="false" customHeight="false" outlineLevel="0" collapsed="false">
      <c r="A146" s="145" t="s">
        <v>175</v>
      </c>
      <c r="B146" s="145"/>
      <c r="C146" s="145"/>
      <c r="D146" s="145"/>
      <c r="E146" s="145"/>
      <c r="F146" s="145"/>
      <c r="G146" s="146" t="n">
        <f aca="false">H11</f>
        <v>8655.63268</v>
      </c>
      <c r="H146" s="37" t="n">
        <f aca="false">(H144+H145)*20%</f>
        <v>8655.63268</v>
      </c>
      <c r="J146" s="145" t="s">
        <v>175</v>
      </c>
      <c r="K146" s="145"/>
      <c r="L146" s="145"/>
      <c r="M146" s="145"/>
      <c r="N146" s="145"/>
      <c r="O146" s="145"/>
      <c r="P146" s="146" t="n">
        <f aca="false">H11</f>
        <v>8655.63268</v>
      </c>
      <c r="Q146" s="37" t="n">
        <f aca="false">(Q144+Q145)*20%</f>
        <v>5755.834</v>
      </c>
      <c r="S146" s="145" t="s">
        <v>175</v>
      </c>
      <c r="T146" s="145"/>
      <c r="U146" s="145"/>
      <c r="V146" s="145"/>
      <c r="W146" s="145"/>
      <c r="X146" s="145"/>
      <c r="Y146" s="146" t="n">
        <f aca="false">H11</f>
        <v>8655.63268</v>
      </c>
      <c r="Z146" s="37" t="n">
        <f aca="false">(Z144+Z145)*20%</f>
        <v>6631.2495</v>
      </c>
      <c r="AB146" s="145" t="s">
        <v>175</v>
      </c>
      <c r="AC146" s="145"/>
      <c r="AD146" s="145"/>
      <c r="AE146" s="145"/>
      <c r="AF146" s="145"/>
      <c r="AG146" s="145"/>
      <c r="AH146" s="146" t="n">
        <f aca="false">H11</f>
        <v>8655.63268</v>
      </c>
      <c r="AI146" s="37" t="n">
        <f aca="false">(AI144+AI145)*20%</f>
        <v>6631.2495</v>
      </c>
    </row>
    <row r="147" customFormat="false" ht="18.75" hidden="false" customHeight="false" outlineLevel="0" collapsed="false">
      <c r="A147" s="145" t="s">
        <v>176</v>
      </c>
      <c r="B147" s="145"/>
      <c r="C147" s="145"/>
      <c r="D147" s="145"/>
      <c r="E147" s="145"/>
      <c r="F147" s="145"/>
      <c r="G147" s="146" t="n">
        <f aca="false">H12</f>
        <v>0</v>
      </c>
      <c r="H147" s="37" t="n">
        <v>0</v>
      </c>
      <c r="J147" s="145" t="s">
        <v>176</v>
      </c>
      <c r="K147" s="145"/>
      <c r="L147" s="145"/>
      <c r="M147" s="145"/>
      <c r="N147" s="145"/>
      <c r="O147" s="145"/>
      <c r="P147" s="146" t="n">
        <f aca="false">H12</f>
        <v>0</v>
      </c>
      <c r="Q147" s="37" t="n">
        <f aca="false">P147</f>
        <v>0</v>
      </c>
      <c r="S147" s="145" t="s">
        <v>176</v>
      </c>
      <c r="T147" s="145"/>
      <c r="U147" s="145"/>
      <c r="V147" s="145"/>
      <c r="W147" s="145"/>
      <c r="X147" s="145"/>
      <c r="Y147" s="146" t="n">
        <f aca="false">H12</f>
        <v>0</v>
      </c>
      <c r="Z147" s="37" t="n">
        <f aca="false">Y147</f>
        <v>0</v>
      </c>
      <c r="AB147" s="145" t="s">
        <v>176</v>
      </c>
      <c r="AC147" s="145"/>
      <c r="AD147" s="145"/>
      <c r="AE147" s="145"/>
      <c r="AF147" s="145"/>
      <c r="AG147" s="145"/>
      <c r="AH147" s="146" t="n">
        <f aca="false">H12</f>
        <v>0</v>
      </c>
      <c r="AI147" s="37" t="n">
        <f aca="false">AH147</f>
        <v>0</v>
      </c>
    </row>
    <row r="148" customFormat="false" ht="18.75" hidden="false" customHeight="false" outlineLevel="0" collapsed="false">
      <c r="A148" s="145" t="s">
        <v>177</v>
      </c>
      <c r="B148" s="145"/>
      <c r="C148" s="145"/>
      <c r="D148" s="145"/>
      <c r="E148" s="145"/>
      <c r="F148" s="145"/>
      <c r="G148" s="146" t="n">
        <f aca="false">H13</f>
        <v>1040</v>
      </c>
      <c r="H148" s="37" t="n">
        <f aca="false">G148</f>
        <v>1040</v>
      </c>
      <c r="J148" s="145" t="s">
        <v>177</v>
      </c>
      <c r="K148" s="145"/>
      <c r="L148" s="145"/>
      <c r="M148" s="145"/>
      <c r="N148" s="145"/>
      <c r="O148" s="145"/>
      <c r="P148" s="146" t="n">
        <f aca="false">H13</f>
        <v>1040</v>
      </c>
      <c r="Q148" s="37" t="n">
        <f aca="false">P148</f>
        <v>1040</v>
      </c>
      <c r="S148" s="145" t="s">
        <v>177</v>
      </c>
      <c r="T148" s="145"/>
      <c r="U148" s="145"/>
      <c r="V148" s="145"/>
      <c r="W148" s="145"/>
      <c r="X148" s="145"/>
      <c r="Y148" s="146" t="n">
        <f aca="false">H13</f>
        <v>1040</v>
      </c>
      <c r="Z148" s="37" t="n">
        <f aca="false">Y148</f>
        <v>1040</v>
      </c>
      <c r="AB148" s="145" t="s">
        <v>177</v>
      </c>
      <c r="AC148" s="145"/>
      <c r="AD148" s="145"/>
      <c r="AE148" s="145"/>
      <c r="AF148" s="145"/>
      <c r="AG148" s="145"/>
      <c r="AH148" s="146" t="n">
        <f aca="false">H13</f>
        <v>1040</v>
      </c>
      <c r="AI148" s="37" t="n">
        <f aca="false">AH148</f>
        <v>1040</v>
      </c>
    </row>
    <row r="149" customFormat="false" ht="18.75" hidden="false" customHeight="false" outlineLevel="0" collapsed="false">
      <c r="A149" s="145" t="s">
        <v>178</v>
      </c>
      <c r="B149" s="145"/>
      <c r="C149" s="145"/>
      <c r="D149" s="145"/>
      <c r="E149" s="145"/>
      <c r="F149" s="145"/>
      <c r="G149" s="146" t="n">
        <f aca="false">H14</f>
        <v>55</v>
      </c>
      <c r="H149" s="37" t="n">
        <f aca="false">G149</f>
        <v>55</v>
      </c>
      <c r="J149" s="145" t="s">
        <v>178</v>
      </c>
      <c r="K149" s="145"/>
      <c r="L149" s="145"/>
      <c r="M149" s="145"/>
      <c r="N149" s="145"/>
      <c r="O149" s="145"/>
      <c r="P149" s="146" t="n">
        <f aca="false">H14</f>
        <v>55</v>
      </c>
      <c r="Q149" s="37" t="n">
        <v>55</v>
      </c>
      <c r="S149" s="145" t="s">
        <v>178</v>
      </c>
      <c r="T149" s="145"/>
      <c r="U149" s="145"/>
      <c r="V149" s="145"/>
      <c r="W149" s="145"/>
      <c r="X149" s="145"/>
      <c r="Y149" s="146" t="n">
        <f aca="false">H14</f>
        <v>55</v>
      </c>
      <c r="Z149" s="37" t="n">
        <v>55</v>
      </c>
      <c r="AB149" s="145" t="s">
        <v>178</v>
      </c>
      <c r="AC149" s="145"/>
      <c r="AD149" s="145"/>
      <c r="AE149" s="145"/>
      <c r="AF149" s="145"/>
      <c r="AG149" s="145"/>
      <c r="AH149" s="146" t="n">
        <f aca="false">H14</f>
        <v>55</v>
      </c>
      <c r="AI149" s="37" t="n">
        <v>55</v>
      </c>
    </row>
    <row r="150" customFormat="false" ht="19.7" hidden="false" customHeight="false" outlineLevel="0" collapsed="false">
      <c r="A150" s="145" t="s">
        <v>179</v>
      </c>
      <c r="B150" s="145"/>
      <c r="C150" s="145"/>
      <c r="D150" s="145"/>
      <c r="E150" s="145"/>
      <c r="F150" s="145"/>
      <c r="G150" s="148" t="n">
        <f aca="false">H15</f>
        <v>53028.79608</v>
      </c>
      <c r="H150" s="147" t="n">
        <f aca="false">(H144+H145+H148+H149+H146)-H147</f>
        <v>53028.79608</v>
      </c>
      <c r="J150" s="145" t="s">
        <v>179</v>
      </c>
      <c r="K150" s="145"/>
      <c r="L150" s="145"/>
      <c r="M150" s="145"/>
      <c r="N150" s="145"/>
      <c r="O150" s="145"/>
      <c r="P150" s="148" t="n">
        <f aca="false">H15</f>
        <v>53028.79608</v>
      </c>
      <c r="Q150" s="147" t="n">
        <f aca="false">(Q144+Q145+Q148+Q149+Q146)-Q147</f>
        <v>35630.004</v>
      </c>
      <c r="S150" s="145" t="s">
        <v>179</v>
      </c>
      <c r="T150" s="145"/>
      <c r="U150" s="145"/>
      <c r="V150" s="145"/>
      <c r="W150" s="145"/>
      <c r="X150" s="145"/>
      <c r="Y150" s="148" t="n">
        <f aca="false">H15</f>
        <v>53028.79608</v>
      </c>
      <c r="Z150" s="147" t="n">
        <f aca="false">(Z144+Z145+Z148+Z149+Z146)-Z147</f>
        <v>40882.497</v>
      </c>
      <c r="AB150" s="145" t="s">
        <v>179</v>
      </c>
      <c r="AC150" s="145"/>
      <c r="AD150" s="145"/>
      <c r="AE150" s="145"/>
      <c r="AF150" s="145"/>
      <c r="AG150" s="145"/>
      <c r="AH150" s="148" t="n">
        <f aca="false">H15</f>
        <v>53028.79608</v>
      </c>
      <c r="AI150" s="147" t="n">
        <f aca="false">(AI144+AI145+AI148+AI149+AI146)-AI147</f>
        <v>40882.497</v>
      </c>
    </row>
    <row r="151" customFormat="false" ht="18.75" hidden="false" customHeight="false" outlineLevel="0" collapsed="false">
      <c r="A151" s="145" t="s">
        <v>180</v>
      </c>
      <c r="B151" s="145"/>
      <c r="C151" s="145"/>
      <c r="D151" s="145"/>
      <c r="E151" s="145"/>
      <c r="F151" s="145"/>
      <c r="G151" s="146" t="n">
        <f aca="false">H16</f>
        <v>0</v>
      </c>
      <c r="H151" s="44" t="n">
        <f aca="false">G151</f>
        <v>0</v>
      </c>
      <c r="J151" s="145" t="s">
        <v>180</v>
      </c>
      <c r="K151" s="145"/>
      <c r="L151" s="145"/>
      <c r="M151" s="145"/>
      <c r="N151" s="145"/>
      <c r="O151" s="145"/>
      <c r="P151" s="146" t="n">
        <f aca="false">H16</f>
        <v>0</v>
      </c>
      <c r="Q151" s="44" t="n">
        <f aca="false">P151</f>
        <v>0</v>
      </c>
      <c r="S151" s="145" t="s">
        <v>180</v>
      </c>
      <c r="T151" s="145"/>
      <c r="U151" s="145"/>
      <c r="V151" s="145"/>
      <c r="W151" s="145"/>
      <c r="X151" s="145"/>
      <c r="Y151" s="146" t="n">
        <f aca="false">H16</f>
        <v>0</v>
      </c>
      <c r="Z151" s="44" t="n">
        <f aca="false">Y151</f>
        <v>0</v>
      </c>
      <c r="AB151" s="145" t="s">
        <v>180</v>
      </c>
      <c r="AC151" s="145"/>
      <c r="AD151" s="145"/>
      <c r="AE151" s="145"/>
      <c r="AF151" s="145"/>
      <c r="AG151" s="145"/>
      <c r="AH151" s="146" t="n">
        <f aca="false">H16</f>
        <v>0</v>
      </c>
      <c r="AI151" s="44" t="n">
        <f aca="false">AH151</f>
        <v>0</v>
      </c>
    </row>
    <row r="152" customFormat="false" ht="18.75" hidden="false" customHeight="false" outlineLevel="0" collapsed="false">
      <c r="A152" s="113" t="s">
        <v>181</v>
      </c>
      <c r="B152" s="113"/>
      <c r="C152" s="113"/>
      <c r="D152" s="113"/>
      <c r="E152" s="113" t="n">
        <v>0</v>
      </c>
      <c r="F152" s="113"/>
      <c r="G152" s="42" t="n">
        <v>0</v>
      </c>
      <c r="H152" s="37"/>
      <c r="J152" s="149" t="s">
        <v>181</v>
      </c>
      <c r="K152" s="149"/>
      <c r="L152" s="149"/>
      <c r="M152" s="149"/>
      <c r="N152" s="149"/>
      <c r="O152" s="149"/>
      <c r="P152" s="42"/>
      <c r="Q152" s="37"/>
      <c r="S152" s="113" t="s">
        <v>181</v>
      </c>
      <c r="T152" s="113"/>
      <c r="U152" s="113"/>
      <c r="V152" s="113"/>
      <c r="W152" s="113"/>
      <c r="X152" s="113"/>
      <c r="Y152" s="42"/>
      <c r="Z152" s="37"/>
      <c r="AB152" s="113" t="s">
        <v>181</v>
      </c>
      <c r="AC152" s="113"/>
      <c r="AD152" s="113"/>
      <c r="AE152" s="113"/>
      <c r="AF152" s="113"/>
      <c r="AG152" s="113"/>
      <c r="AH152" s="42"/>
      <c r="AI152" s="37"/>
    </row>
    <row r="153" customFormat="false" ht="18.75" hidden="false" customHeight="false" outlineLevel="0" collapsed="false">
      <c r="A153" s="150" t="s">
        <v>26</v>
      </c>
      <c r="B153" s="151" t="s">
        <v>182</v>
      </c>
      <c r="C153" s="151"/>
      <c r="D153" s="151"/>
      <c r="E153" s="151"/>
      <c r="F153" s="151"/>
      <c r="G153" s="146" t="n">
        <f aca="false">H18</f>
        <v>0</v>
      </c>
      <c r="H153" s="44" t="n">
        <f aca="false">G153</f>
        <v>0</v>
      </c>
      <c r="J153" s="150" t="s">
        <v>26</v>
      </c>
      <c r="K153" s="151" t="s">
        <v>182</v>
      </c>
      <c r="L153" s="151"/>
      <c r="M153" s="151"/>
      <c r="N153" s="151"/>
      <c r="O153" s="151"/>
      <c r="P153" s="146" t="n">
        <f aca="false">H18</f>
        <v>0</v>
      </c>
      <c r="Q153" s="44" t="n">
        <f aca="false">P153</f>
        <v>0</v>
      </c>
      <c r="S153" s="150" t="s">
        <v>26</v>
      </c>
      <c r="T153" s="151" t="s">
        <v>182</v>
      </c>
      <c r="U153" s="151"/>
      <c r="V153" s="151"/>
      <c r="W153" s="151"/>
      <c r="X153" s="151"/>
      <c r="Y153" s="146" t="n">
        <f aca="false">H18</f>
        <v>0</v>
      </c>
      <c r="Z153" s="44" t="n">
        <f aca="false">Y153</f>
        <v>0</v>
      </c>
      <c r="AB153" s="150" t="s">
        <v>26</v>
      </c>
      <c r="AC153" s="151" t="s">
        <v>182</v>
      </c>
      <c r="AD153" s="151"/>
      <c r="AE153" s="151"/>
      <c r="AF153" s="151"/>
      <c r="AG153" s="151"/>
      <c r="AH153" s="146" t="n">
        <f aca="false">H18</f>
        <v>0</v>
      </c>
      <c r="AI153" s="44" t="n">
        <f aca="false">AH153</f>
        <v>0</v>
      </c>
    </row>
    <row r="154" customFormat="false" ht="18.75" hidden="false" customHeight="false" outlineLevel="0" collapsed="false">
      <c r="A154" s="150" t="s">
        <v>28</v>
      </c>
      <c r="B154" s="151" t="s">
        <v>182</v>
      </c>
      <c r="C154" s="151"/>
      <c r="D154" s="151"/>
      <c r="E154" s="151"/>
      <c r="F154" s="151"/>
      <c r="G154" s="146" t="n">
        <f aca="false">H19</f>
        <v>0</v>
      </c>
      <c r="H154" s="44" t="n">
        <v>0</v>
      </c>
      <c r="I154" s="6" t="n">
        <f aca="false">(G151+G154+G155+G153)</f>
        <v>0</v>
      </c>
      <c r="J154" s="150" t="s">
        <v>28</v>
      </c>
      <c r="K154" s="151" t="s">
        <v>182</v>
      </c>
      <c r="L154" s="151"/>
      <c r="M154" s="151"/>
      <c r="N154" s="151"/>
      <c r="O154" s="151"/>
      <c r="P154" s="146" t="n">
        <f aca="false">H19</f>
        <v>0</v>
      </c>
      <c r="Q154" s="44" t="n">
        <f aca="false">P154</f>
        <v>0</v>
      </c>
      <c r="S154" s="150" t="s">
        <v>28</v>
      </c>
      <c r="T154" s="151" t="s">
        <v>182</v>
      </c>
      <c r="U154" s="151"/>
      <c r="V154" s="151"/>
      <c r="W154" s="151"/>
      <c r="X154" s="151"/>
      <c r="Y154" s="146" t="n">
        <f aca="false">H19</f>
        <v>0</v>
      </c>
      <c r="Z154" s="44" t="n">
        <f aca="false">Y154</f>
        <v>0</v>
      </c>
      <c r="AB154" s="150" t="s">
        <v>28</v>
      </c>
      <c r="AC154" s="151" t="s">
        <v>182</v>
      </c>
      <c r="AD154" s="151"/>
      <c r="AE154" s="151"/>
      <c r="AF154" s="151"/>
      <c r="AG154" s="151"/>
      <c r="AH154" s="146" t="n">
        <f aca="false">H19</f>
        <v>0</v>
      </c>
      <c r="AI154" s="44" t="n">
        <f aca="false">AH154</f>
        <v>0</v>
      </c>
    </row>
    <row r="155" customFormat="false" ht="18.75" hidden="false" customHeight="false" outlineLevel="0" collapsed="false">
      <c r="A155" s="152" t="s">
        <v>29</v>
      </c>
      <c r="B155" s="153" t="s">
        <v>182</v>
      </c>
      <c r="C155" s="153"/>
      <c r="D155" s="153"/>
      <c r="E155" s="153"/>
      <c r="F155" s="153"/>
      <c r="G155" s="146" t="n">
        <f aca="false">H20</f>
        <v>0</v>
      </c>
      <c r="H155" s="44" t="n">
        <v>0</v>
      </c>
      <c r="I155" s="6" t="n">
        <f aca="false">(H151+H153+H154+H155)</f>
        <v>0</v>
      </c>
      <c r="J155" s="152" t="s">
        <v>29</v>
      </c>
      <c r="K155" s="153" t="s">
        <v>182</v>
      </c>
      <c r="L155" s="153"/>
      <c r="M155" s="153"/>
      <c r="N155" s="153"/>
      <c r="O155" s="153"/>
      <c r="P155" s="146" t="n">
        <f aca="false">H20</f>
        <v>0</v>
      </c>
      <c r="Q155" s="44" t="n">
        <f aca="false">P155</f>
        <v>0</v>
      </c>
      <c r="S155" s="152" t="s">
        <v>29</v>
      </c>
      <c r="T155" s="153" t="s">
        <v>182</v>
      </c>
      <c r="U155" s="153"/>
      <c r="V155" s="153"/>
      <c r="W155" s="153"/>
      <c r="X155" s="153"/>
      <c r="Y155" s="146" t="n">
        <f aca="false">H20</f>
        <v>0</v>
      </c>
      <c r="Z155" s="44" t="n">
        <f aca="false">Y155</f>
        <v>0</v>
      </c>
      <c r="AB155" s="152" t="s">
        <v>29</v>
      </c>
      <c r="AC155" s="153" t="s">
        <v>182</v>
      </c>
      <c r="AD155" s="153"/>
      <c r="AE155" s="153"/>
      <c r="AF155" s="153"/>
      <c r="AG155" s="153"/>
      <c r="AH155" s="146" t="n">
        <f aca="false">H20</f>
        <v>0</v>
      </c>
      <c r="AI155" s="44" t="n">
        <f aca="false">AH155</f>
        <v>0</v>
      </c>
    </row>
    <row r="156" customFormat="false" ht="19.7" hidden="false" customHeight="false" outlineLevel="0" collapsed="false">
      <c r="A156" s="145" t="s">
        <v>183</v>
      </c>
      <c r="B156" s="145"/>
      <c r="C156" s="145"/>
      <c r="D156" s="145"/>
      <c r="E156" s="145"/>
      <c r="F156" s="145"/>
      <c r="G156" s="148" t="n">
        <f aca="false">G150-((G153*1.2)+(G154*1.2)+(G155*1.2)+(G151*1.2))</f>
        <v>53028.79608</v>
      </c>
      <c r="H156" s="154" t="n">
        <f aca="false">H150-((H153*1.2)+(H154*1.2)+(H155*1.2)+(H151*1.2))</f>
        <v>53028.79608</v>
      </c>
      <c r="J156" s="155" t="s">
        <v>183</v>
      </c>
      <c r="K156" s="155"/>
      <c r="L156" s="155"/>
      <c r="M156" s="155"/>
      <c r="N156" s="155"/>
      <c r="O156" s="155"/>
      <c r="P156" s="148" t="n">
        <f aca="false">P150-((P153*1.2)+(P154*1.2)+(P155*1.2)+(P151*1.2))</f>
        <v>53028.79608</v>
      </c>
      <c r="Q156" s="154" t="n">
        <f aca="false">Q150-((Q153*1.2)+(Q154*1.2)+(Q155*1.2)+(Q151*1.2))</f>
        <v>35630.004</v>
      </c>
      <c r="S156" s="145" t="s">
        <v>183</v>
      </c>
      <c r="T156" s="145"/>
      <c r="U156" s="145"/>
      <c r="V156" s="145"/>
      <c r="W156" s="145"/>
      <c r="X156" s="145"/>
      <c r="Y156" s="148" t="n">
        <f aca="false">Y150-((Y153*1.2)+(Y154*1.2)+(Y155*1.2)+(Y151*1.2))</f>
        <v>53028.79608</v>
      </c>
      <c r="Z156" s="154" t="n">
        <f aca="false">Z150-((Z153*1.2)+(Z154*1.2)+(Z155*1.2)+(Z151*1.2))</f>
        <v>40882.497</v>
      </c>
      <c r="AB156" s="145" t="s">
        <v>183</v>
      </c>
      <c r="AC156" s="145"/>
      <c r="AD156" s="145"/>
      <c r="AE156" s="145"/>
      <c r="AF156" s="145"/>
      <c r="AG156" s="145"/>
      <c r="AH156" s="148" t="n">
        <f aca="false">AH150-((AH153*1.2)+(AH154*1.2)+(AH155*1.2)+(AH151*1.2))</f>
        <v>53028.79608</v>
      </c>
      <c r="AI156" s="154" t="n">
        <f aca="false">AI150-((AI153*1.2)+(AI154*1.2)+(AI155*1.2)+(AI151*1.2))</f>
        <v>40882.497</v>
      </c>
    </row>
    <row r="157" customFormat="false" ht="18.75" hidden="false" customHeight="false" outlineLevel="0" collapsed="false">
      <c r="A157" s="145" t="s">
        <v>184</v>
      </c>
      <c r="B157" s="145"/>
      <c r="C157" s="145"/>
      <c r="D157" s="145"/>
      <c r="E157" s="145"/>
      <c r="F157" s="145"/>
      <c r="G157" s="146"/>
      <c r="H157" s="44" t="n">
        <f aca="false">((H156-G156)-(H146-G146))+((I155-I154)*0.2)</f>
        <v>0</v>
      </c>
      <c r="I157" s="6" t="n">
        <f aca="false">(H157-G90)/1.2</f>
        <v>-43357.3300666667</v>
      </c>
      <c r="J157" s="145" t="s">
        <v>184</v>
      </c>
      <c r="K157" s="145"/>
      <c r="L157" s="145"/>
      <c r="M157" s="145"/>
      <c r="N157" s="145"/>
      <c r="O157" s="145"/>
      <c r="P157" s="146"/>
      <c r="Q157" s="44" t="n">
        <f aca="false">Q156-P156</f>
        <v>-17398.79208</v>
      </c>
      <c r="S157" s="145" t="s">
        <v>184</v>
      </c>
      <c r="T157" s="145"/>
      <c r="U157" s="145"/>
      <c r="V157" s="145"/>
      <c r="W157" s="145"/>
      <c r="X157" s="145"/>
      <c r="Y157" s="146"/>
      <c r="Z157" s="44" t="n">
        <f aca="false">Z156-Y156</f>
        <v>-12146.29908</v>
      </c>
      <c r="AB157" s="145" t="s">
        <v>184</v>
      </c>
      <c r="AC157" s="145"/>
      <c r="AD157" s="145"/>
      <c r="AE157" s="145"/>
      <c r="AF157" s="145"/>
      <c r="AG157" s="145"/>
      <c r="AH157" s="146"/>
      <c r="AI157" s="44" t="n">
        <f aca="false">AI156-AH156</f>
        <v>-12146.29908</v>
      </c>
    </row>
    <row r="158" customFormat="false" ht="18.75" hidden="false" customHeight="false" outlineLevel="0" collapsed="false">
      <c r="A158" s="35"/>
      <c r="B158" s="36"/>
      <c r="C158" s="36"/>
      <c r="D158" s="36"/>
      <c r="E158" s="27"/>
      <c r="F158" s="27"/>
      <c r="G158" s="27"/>
      <c r="H158" s="37"/>
      <c r="J158" s="35"/>
      <c r="K158" s="36"/>
      <c r="L158" s="36"/>
      <c r="M158" s="36"/>
      <c r="N158" s="27"/>
      <c r="O158" s="27"/>
      <c r="P158" s="27"/>
      <c r="Q158" s="37"/>
      <c r="S158" s="35"/>
      <c r="T158" s="36"/>
      <c r="U158" s="36"/>
      <c r="V158" s="36"/>
      <c r="W158" s="27"/>
      <c r="X158" s="27"/>
      <c r="Y158" s="27"/>
      <c r="Z158" s="37"/>
      <c r="AB158" s="35"/>
      <c r="AC158" s="36"/>
      <c r="AD158" s="36"/>
      <c r="AE158" s="36"/>
      <c r="AF158" s="27"/>
      <c r="AG158" s="27"/>
      <c r="AH158" s="27"/>
      <c r="AI158" s="37"/>
    </row>
    <row r="159" customFormat="false" ht="22.05" hidden="false" customHeight="false" outlineLevel="0" collapsed="false">
      <c r="A159" s="32" t="s">
        <v>185</v>
      </c>
      <c r="B159" s="32"/>
      <c r="C159" s="32"/>
      <c r="D159" s="32"/>
      <c r="E159" s="32"/>
      <c r="F159" s="32"/>
      <c r="G159" s="32"/>
      <c r="H159" s="32"/>
      <c r="J159" s="32" t="s">
        <v>185</v>
      </c>
      <c r="K159" s="32"/>
      <c r="L159" s="32"/>
      <c r="M159" s="32"/>
      <c r="N159" s="32"/>
      <c r="O159" s="32"/>
      <c r="P159" s="32"/>
      <c r="Q159" s="32"/>
      <c r="S159" s="32" t="s">
        <v>185</v>
      </c>
      <c r="T159" s="32"/>
      <c r="U159" s="32"/>
      <c r="V159" s="32"/>
      <c r="W159" s="32"/>
      <c r="X159" s="32"/>
      <c r="Y159" s="32"/>
      <c r="Z159" s="32"/>
      <c r="AB159" s="32" t="s">
        <v>185</v>
      </c>
      <c r="AC159" s="32"/>
      <c r="AD159" s="32"/>
      <c r="AE159" s="32"/>
      <c r="AF159" s="32"/>
      <c r="AG159" s="32"/>
      <c r="AH159" s="32"/>
      <c r="AI159" s="32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 t="s">
        <v>186</v>
      </c>
      <c r="B161" s="36"/>
      <c r="C161" s="36"/>
      <c r="D161" s="27"/>
      <c r="E161" s="109" t="n">
        <v>0</v>
      </c>
      <c r="F161" s="109"/>
      <c r="G161" s="109" t="n">
        <v>0</v>
      </c>
      <c r="H161" s="109"/>
      <c r="J161" s="35" t="s">
        <v>186</v>
      </c>
      <c r="K161" s="36"/>
      <c r="L161" s="36"/>
      <c r="M161" s="27"/>
      <c r="N161" s="109" t="n">
        <v>10000</v>
      </c>
      <c r="O161" s="109"/>
      <c r="P161" s="109" t="n">
        <v>5000</v>
      </c>
      <c r="Q161" s="109"/>
      <c r="S161" s="35" t="s">
        <v>186</v>
      </c>
      <c r="T161" s="36"/>
      <c r="U161" s="36"/>
      <c r="V161" s="27"/>
      <c r="W161" s="109" t="n">
        <v>10000</v>
      </c>
      <c r="X161" s="109"/>
      <c r="Y161" s="109" t="n">
        <v>5000</v>
      </c>
      <c r="Z161" s="109"/>
      <c r="AB161" s="35" t="s">
        <v>186</v>
      </c>
      <c r="AC161" s="36"/>
      <c r="AD161" s="36"/>
      <c r="AE161" s="27"/>
      <c r="AF161" s="109" t="n">
        <v>10000</v>
      </c>
      <c r="AG161" s="109"/>
      <c r="AH161" s="109" t="n">
        <v>5000</v>
      </c>
      <c r="AI161" s="109"/>
    </row>
    <row r="162" customFormat="false" ht="18.75" hidden="false" customHeight="false" outlineLevel="0" collapsed="false">
      <c r="A162" s="35" t="s">
        <v>187</v>
      </c>
      <c r="B162" s="36"/>
      <c r="C162" s="36"/>
      <c r="D162" s="27"/>
      <c r="E162" s="156" t="n">
        <f aca="false">G162</f>
        <v>0</v>
      </c>
      <c r="F162" s="156"/>
      <c r="G162" s="109" t="n">
        <v>0</v>
      </c>
      <c r="H162" s="109"/>
      <c r="J162" s="35" t="s">
        <v>187</v>
      </c>
      <c r="K162" s="36"/>
      <c r="L162" s="36"/>
      <c r="M162" s="27"/>
      <c r="N162" s="156" t="n">
        <f aca="false">P162</f>
        <v>7000</v>
      </c>
      <c r="O162" s="156"/>
      <c r="P162" s="109" t="n">
        <v>7000</v>
      </c>
      <c r="Q162" s="109"/>
      <c r="S162" s="35" t="s">
        <v>187</v>
      </c>
      <c r="T162" s="36"/>
      <c r="U162" s="36"/>
      <c r="V162" s="27"/>
      <c r="W162" s="156" t="n">
        <f aca="false">Y162</f>
        <v>7000</v>
      </c>
      <c r="X162" s="156"/>
      <c r="Y162" s="109" t="n">
        <v>7000</v>
      </c>
      <c r="Z162" s="109"/>
      <c r="AB162" s="35" t="s">
        <v>187</v>
      </c>
      <c r="AC162" s="36"/>
      <c r="AD162" s="36"/>
      <c r="AE162" s="27"/>
      <c r="AF162" s="156" t="n">
        <f aca="false">AH162</f>
        <v>7000</v>
      </c>
      <c r="AG162" s="156"/>
      <c r="AH162" s="109" t="n">
        <v>7000</v>
      </c>
      <c r="AI162" s="109"/>
    </row>
    <row r="163" customFormat="false" ht="18.75" hidden="false" customHeight="false" outlineLevel="0" collapsed="false">
      <c r="A163" s="35" t="s">
        <v>188</v>
      </c>
      <c r="B163" s="36"/>
      <c r="C163" s="36"/>
      <c r="D163" s="27"/>
      <c r="E163" s="156" t="n">
        <f aca="false">E161-E162</f>
        <v>0</v>
      </c>
      <c r="F163" s="156"/>
      <c r="G163" s="157" t="n">
        <f aca="false">G161-G162</f>
        <v>0</v>
      </c>
      <c r="H163" s="157"/>
      <c r="J163" s="35" t="s">
        <v>188</v>
      </c>
      <c r="K163" s="36"/>
      <c r="L163" s="36"/>
      <c r="M163" s="27"/>
      <c r="N163" s="156" t="n">
        <f aca="false">N161-N162</f>
        <v>3000</v>
      </c>
      <c r="O163" s="156"/>
      <c r="P163" s="157" t="n">
        <f aca="false">P161-P162</f>
        <v>-2000</v>
      </c>
      <c r="Q163" s="157"/>
      <c r="S163" s="35" t="s">
        <v>188</v>
      </c>
      <c r="T163" s="36"/>
      <c r="U163" s="36"/>
      <c r="V163" s="27"/>
      <c r="W163" s="156" t="n">
        <f aca="false">W161-W162</f>
        <v>3000</v>
      </c>
      <c r="X163" s="156"/>
      <c r="Y163" s="157" t="n">
        <f aca="false">Y161-Y162</f>
        <v>-2000</v>
      </c>
      <c r="Z163" s="157"/>
      <c r="AB163" s="35" t="s">
        <v>188</v>
      </c>
      <c r="AC163" s="36"/>
      <c r="AD163" s="36"/>
      <c r="AE163" s="27"/>
      <c r="AF163" s="156" t="n">
        <f aca="false">AF161-AF162</f>
        <v>3000</v>
      </c>
      <c r="AG163" s="156"/>
      <c r="AH163" s="157" t="n">
        <f aca="false">AH161-AH162</f>
        <v>-2000</v>
      </c>
      <c r="AI163" s="157"/>
    </row>
    <row r="164" customFormat="false" ht="18.75" hidden="false" customHeight="false" outlineLevel="0" collapsed="false">
      <c r="A164" s="35" t="s">
        <v>189</v>
      </c>
      <c r="B164" s="36"/>
      <c r="C164" s="36"/>
      <c r="D164" s="27"/>
      <c r="E164" s="156" t="n">
        <f aca="false">E163-G163</f>
        <v>0</v>
      </c>
      <c r="F164" s="156"/>
      <c r="G164" s="27"/>
      <c r="H164" s="37"/>
      <c r="J164" s="35" t="s">
        <v>189</v>
      </c>
      <c r="K164" s="36"/>
      <c r="L164" s="36"/>
      <c r="M164" s="27"/>
      <c r="N164" s="156" t="n">
        <f aca="false">N163-P163</f>
        <v>5000</v>
      </c>
      <c r="O164" s="156"/>
      <c r="P164" s="27"/>
      <c r="Q164" s="37"/>
      <c r="S164" s="35" t="s">
        <v>189</v>
      </c>
      <c r="T164" s="36"/>
      <c r="U164" s="36"/>
      <c r="V164" s="27"/>
      <c r="W164" s="156" t="n">
        <f aca="false">W163-Y163</f>
        <v>5000</v>
      </c>
      <c r="X164" s="156"/>
      <c r="Y164" s="27"/>
      <c r="Z164" s="37"/>
      <c r="AB164" s="35" t="s">
        <v>189</v>
      </c>
      <c r="AC164" s="36"/>
      <c r="AD164" s="36"/>
      <c r="AE164" s="27"/>
      <c r="AF164" s="156" t="n">
        <f aca="false">AF163-AH163</f>
        <v>5000</v>
      </c>
      <c r="AG164" s="156"/>
      <c r="AH164" s="27"/>
      <c r="AI164" s="37"/>
    </row>
    <row r="165" customFormat="false" ht="18.75" hidden="false" customHeight="false" outlineLevel="0" collapsed="false">
      <c r="A165" s="29" t="s">
        <v>190</v>
      </c>
      <c r="B165" s="30"/>
      <c r="C165" s="30"/>
      <c r="D165" s="79"/>
      <c r="E165" s="30"/>
      <c r="F165" s="79"/>
      <c r="G165" s="158" t="s">
        <v>10</v>
      </c>
      <c r="H165" s="44" t="n">
        <v>1420</v>
      </c>
      <c r="J165" s="35"/>
      <c r="K165" s="36"/>
      <c r="L165" s="36"/>
      <c r="M165" s="27"/>
      <c r="N165" s="36"/>
      <c r="O165" s="27"/>
      <c r="P165" s="27"/>
      <c r="Q165" s="37"/>
      <c r="S165" s="35"/>
      <c r="T165" s="36"/>
      <c r="U165" s="36"/>
      <c r="V165" s="27"/>
      <c r="W165" s="36"/>
      <c r="X165" s="27"/>
      <c r="Y165" s="27"/>
      <c r="Z165" s="37"/>
      <c r="AB165" s="35"/>
      <c r="AC165" s="36"/>
      <c r="AD165" s="36"/>
      <c r="AE165" s="27"/>
      <c r="AF165" s="36"/>
      <c r="AG165" s="27"/>
      <c r="AH165" s="27"/>
      <c r="AI165" s="37"/>
    </row>
    <row r="166" customFormat="false" ht="18.75" hidden="false" customHeight="false" outlineLevel="0" collapsed="false">
      <c r="A166" s="29" t="s">
        <v>191</v>
      </c>
      <c r="B166" s="30"/>
      <c r="C166" s="30"/>
      <c r="D166" s="79"/>
      <c r="E166" s="30"/>
      <c r="F166" s="79"/>
      <c r="G166" s="158" t="n">
        <f aca="false">B120</f>
        <v>0</v>
      </c>
      <c r="H166" s="158"/>
      <c r="J166" s="29" t="s">
        <v>191</v>
      </c>
      <c r="K166" s="30"/>
      <c r="L166" s="30"/>
      <c r="M166" s="79"/>
      <c r="N166" s="30"/>
      <c r="O166" s="79"/>
      <c r="P166" s="158" t="n">
        <f aca="false">K120</f>
        <v>1000</v>
      </c>
      <c r="Q166" s="158"/>
      <c r="S166" s="29" t="s">
        <v>191</v>
      </c>
      <c r="T166" s="30"/>
      <c r="U166" s="30"/>
      <c r="V166" s="79"/>
      <c r="W166" s="30"/>
      <c r="X166" s="79"/>
      <c r="Y166" s="158" t="n">
        <f aca="false">T120</f>
        <v>1000</v>
      </c>
      <c r="Z166" s="158"/>
      <c r="AB166" s="29" t="s">
        <v>191</v>
      </c>
      <c r="AC166" s="30"/>
      <c r="AD166" s="30"/>
      <c r="AE166" s="79"/>
      <c r="AF166" s="30"/>
      <c r="AG166" s="79"/>
      <c r="AH166" s="158" t="n">
        <f aca="false">AC120</f>
        <v>1000</v>
      </c>
      <c r="AI166" s="158"/>
    </row>
    <row r="167" customFormat="false" ht="19.7" hidden="false" customHeight="false" outlineLevel="0" collapsed="false">
      <c r="A167" s="159" t="s">
        <v>192</v>
      </c>
      <c r="B167" s="36"/>
      <c r="C167" s="36"/>
      <c r="D167" s="27"/>
      <c r="E167" s="36"/>
      <c r="F167" s="27"/>
      <c r="G167" s="160" t="n">
        <f aca="false">H156-G163-G166+H165</f>
        <v>56128.79608</v>
      </c>
      <c r="H167" s="160"/>
      <c r="J167" s="159" t="s">
        <v>192</v>
      </c>
      <c r="K167" s="36"/>
      <c r="L167" s="36"/>
      <c r="M167" s="27"/>
      <c r="N167" s="36"/>
      <c r="O167" s="27"/>
      <c r="P167" s="160" t="n">
        <f aca="false">Q156-P163-P166</f>
        <v>36630.004</v>
      </c>
      <c r="Q167" s="160"/>
      <c r="S167" s="159" t="s">
        <v>192</v>
      </c>
      <c r="T167" s="36"/>
      <c r="U167" s="36"/>
      <c r="V167" s="27"/>
      <c r="W167" s="36"/>
      <c r="X167" s="27"/>
      <c r="Y167" s="160" t="n">
        <f aca="false">Z156-Y163-Y166</f>
        <v>41882.497</v>
      </c>
      <c r="Z167" s="160"/>
      <c r="AB167" s="159" t="s">
        <v>192</v>
      </c>
      <c r="AC167" s="36"/>
      <c r="AD167" s="36"/>
      <c r="AE167" s="27"/>
      <c r="AF167" s="36"/>
      <c r="AG167" s="27"/>
      <c r="AH167" s="160" t="n">
        <f aca="false">AI156-AH163-AH166</f>
        <v>41882.497</v>
      </c>
      <c r="AI167" s="160"/>
    </row>
    <row r="168" customFormat="false" ht="18.75" hidden="false" customHeight="false" outlineLevel="0" collapsed="false">
      <c r="A168" s="60" t="s">
        <v>66</v>
      </c>
      <c r="B168" s="61"/>
      <c r="C168" s="61"/>
      <c r="D168" s="101"/>
      <c r="E168" s="61"/>
      <c r="F168" s="101"/>
      <c r="G168" s="161" t="n">
        <f aca="false">B123</f>
        <v>199.991666666667</v>
      </c>
      <c r="H168" s="161"/>
      <c r="J168" s="60" t="s">
        <v>66</v>
      </c>
      <c r="K168" s="61"/>
      <c r="L168" s="61"/>
      <c r="M168" s="101"/>
      <c r="N168" s="61"/>
      <c r="O168" s="101"/>
      <c r="P168" s="161" t="n">
        <f aca="false">K123</f>
        <v>239.99</v>
      </c>
      <c r="Q168" s="161"/>
      <c r="S168" s="60" t="s">
        <v>66</v>
      </c>
      <c r="T168" s="61"/>
      <c r="U168" s="61"/>
      <c r="V168" s="101"/>
      <c r="W168" s="61"/>
      <c r="X168" s="101"/>
      <c r="Y168" s="161" t="n">
        <f aca="false">T123</f>
        <v>199.99</v>
      </c>
      <c r="Z168" s="161"/>
      <c r="AB168" s="60" t="s">
        <v>66</v>
      </c>
      <c r="AC168" s="61"/>
      <c r="AD168" s="61"/>
      <c r="AE168" s="101"/>
      <c r="AF168" s="61"/>
      <c r="AG168" s="101"/>
      <c r="AH168" s="161" t="n">
        <f aca="false">AC123</f>
        <v>239.99</v>
      </c>
      <c r="AI168" s="161"/>
    </row>
    <row r="169" customFormat="false" ht="18.75" hidden="false" customHeight="false" outlineLevel="0" collapsed="false">
      <c r="A169" s="35"/>
      <c r="B169" s="36"/>
      <c r="C169" s="36"/>
      <c r="D169" s="36"/>
      <c r="E169" s="27"/>
      <c r="F169" s="27"/>
      <c r="G169" s="27"/>
      <c r="H169" s="37"/>
      <c r="J169" s="35"/>
      <c r="K169" s="36"/>
      <c r="L169" s="36"/>
      <c r="M169" s="36"/>
      <c r="N169" s="27"/>
      <c r="O169" s="27"/>
      <c r="P169" s="27"/>
      <c r="Q169" s="37"/>
      <c r="S169" s="35"/>
      <c r="T169" s="36"/>
      <c r="U169" s="36"/>
      <c r="V169" s="36"/>
      <c r="W169" s="27"/>
      <c r="X169" s="27"/>
      <c r="Y169" s="27"/>
      <c r="Z169" s="37"/>
      <c r="AB169" s="35"/>
      <c r="AC169" s="36"/>
      <c r="AD169" s="36"/>
      <c r="AE169" s="36"/>
      <c r="AF169" s="27"/>
      <c r="AG169" s="27"/>
      <c r="AH169" s="27"/>
      <c r="AI169" s="37"/>
    </row>
    <row r="170" customFormat="false" ht="18.75" hidden="false" customHeight="false" outlineLevel="0" collapsed="false">
      <c r="A170" s="35"/>
      <c r="B170" s="36"/>
      <c r="C170" s="36"/>
      <c r="D170" s="36"/>
      <c r="E170" s="27" t="n">
        <v>7200</v>
      </c>
      <c r="F170" s="27"/>
      <c r="G170" s="27"/>
      <c r="H170" s="37"/>
      <c r="J170" s="35"/>
      <c r="K170" s="36"/>
      <c r="L170" s="36"/>
      <c r="M170" s="36"/>
      <c r="N170" s="27"/>
      <c r="O170" s="27"/>
      <c r="P170" s="27"/>
      <c r="Q170" s="37"/>
      <c r="S170" s="35"/>
      <c r="T170" s="36"/>
      <c r="U170" s="36"/>
      <c r="V170" s="36"/>
      <c r="W170" s="27"/>
      <c r="X170" s="27"/>
      <c r="Y170" s="27"/>
      <c r="Z170" s="37"/>
      <c r="AB170" s="35"/>
      <c r="AC170" s="36"/>
      <c r="AD170" s="36"/>
      <c r="AE170" s="36"/>
      <c r="AF170" s="27"/>
      <c r="AG170" s="27"/>
      <c r="AH170" s="27"/>
      <c r="AI170" s="37"/>
    </row>
    <row r="171" customFormat="false" ht="22.05" hidden="false" customHeight="false" outlineLevel="0" collapsed="false">
      <c r="A171" s="32" t="s">
        <v>193</v>
      </c>
      <c r="B171" s="32"/>
      <c r="C171" s="32"/>
      <c r="D171" s="32"/>
      <c r="E171" s="32"/>
      <c r="F171" s="32"/>
      <c r="G171" s="32"/>
      <c r="H171" s="32"/>
      <c r="J171" s="32" t="s">
        <v>193</v>
      </c>
      <c r="K171" s="32"/>
      <c r="L171" s="32"/>
      <c r="M171" s="32"/>
      <c r="N171" s="32"/>
      <c r="O171" s="32"/>
      <c r="P171" s="32"/>
      <c r="Q171" s="32"/>
      <c r="S171" s="32" t="s">
        <v>193</v>
      </c>
      <c r="T171" s="32"/>
      <c r="U171" s="32"/>
      <c r="V171" s="32"/>
      <c r="W171" s="32"/>
      <c r="X171" s="32"/>
      <c r="Y171" s="32"/>
      <c r="Z171" s="32"/>
      <c r="AB171" s="32" t="s">
        <v>193</v>
      </c>
      <c r="AC171" s="32"/>
      <c r="AD171" s="32"/>
      <c r="AE171" s="32"/>
      <c r="AF171" s="32"/>
      <c r="AG171" s="32"/>
      <c r="AH171" s="32"/>
      <c r="AI171" s="32"/>
    </row>
    <row r="172" customFormat="false" ht="18.75" hidden="false" customHeight="false" outlineLevel="0" collapsed="false">
      <c r="A172" s="35"/>
      <c r="B172" s="36"/>
      <c r="C172" s="36"/>
      <c r="D172" s="36"/>
      <c r="E172" s="27"/>
      <c r="F172" s="27"/>
      <c r="G172" s="27"/>
      <c r="H172" s="37"/>
      <c r="J172" s="35"/>
      <c r="K172" s="36"/>
      <c r="L172" s="36"/>
      <c r="M172" s="36"/>
      <c r="N172" s="27"/>
      <c r="O172" s="27"/>
      <c r="P172" s="27"/>
      <c r="Q172" s="37"/>
      <c r="S172" s="35"/>
      <c r="T172" s="36"/>
      <c r="U172" s="36"/>
      <c r="V172" s="36"/>
      <c r="W172" s="27"/>
      <c r="X172" s="27"/>
      <c r="Y172" s="27"/>
      <c r="Z172" s="37"/>
      <c r="AB172" s="35"/>
      <c r="AC172" s="36"/>
      <c r="AD172" s="36"/>
      <c r="AE172" s="36"/>
      <c r="AF172" s="27"/>
      <c r="AG172" s="27"/>
      <c r="AH172" s="27"/>
      <c r="AI172" s="37"/>
    </row>
    <row r="173" customFormat="false" ht="18.75" hidden="false" customHeight="false" outlineLevel="0" collapsed="false">
      <c r="A173" s="35" t="s">
        <v>194</v>
      </c>
      <c r="B173" s="162" t="n">
        <v>0</v>
      </c>
      <c r="C173" s="162"/>
      <c r="D173" s="36"/>
      <c r="E173" s="27"/>
      <c r="F173" s="27"/>
      <c r="G173" s="27"/>
      <c r="H173" s="37"/>
      <c r="J173" s="35" t="s">
        <v>194</v>
      </c>
      <c r="K173" s="162" t="n">
        <v>0</v>
      </c>
      <c r="L173" s="162"/>
      <c r="M173" s="36"/>
      <c r="N173" s="27"/>
      <c r="O173" s="27"/>
      <c r="P173" s="27"/>
      <c r="Q173" s="37"/>
      <c r="S173" s="35" t="s">
        <v>194</v>
      </c>
      <c r="T173" s="162" t="n">
        <v>0</v>
      </c>
      <c r="U173" s="162"/>
      <c r="V173" s="36"/>
      <c r="W173" s="27"/>
      <c r="X173" s="27"/>
      <c r="Y173" s="27"/>
      <c r="Z173" s="37"/>
      <c r="AB173" s="35" t="s">
        <v>194</v>
      </c>
      <c r="AC173" s="162" t="n">
        <v>0</v>
      </c>
      <c r="AD173" s="162"/>
      <c r="AE173" s="36"/>
      <c r="AF173" s="27"/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36"/>
      <c r="E174" s="27"/>
      <c r="F174" s="27"/>
      <c r="G174" s="27"/>
      <c r="H174" s="37"/>
      <c r="J174" s="35"/>
      <c r="K174" s="36"/>
      <c r="L174" s="36"/>
      <c r="M174" s="36"/>
      <c r="N174" s="27"/>
      <c r="O174" s="27"/>
      <c r="P174" s="27"/>
      <c r="Q174" s="37"/>
      <c r="S174" s="35"/>
      <c r="T174" s="36"/>
      <c r="U174" s="36"/>
      <c r="V174" s="36"/>
      <c r="W174" s="27"/>
      <c r="X174" s="27"/>
      <c r="Y174" s="27"/>
      <c r="Z174" s="37"/>
      <c r="AB174" s="35"/>
      <c r="AC174" s="36"/>
      <c r="AD174" s="36"/>
      <c r="AE174" s="36"/>
      <c r="AF174" s="27"/>
      <c r="AG174" s="27"/>
      <c r="AH174" s="27"/>
      <c r="AI174" s="37"/>
    </row>
    <row r="175" customFormat="false" ht="18.75" hidden="false" customHeight="false" outlineLevel="0" collapsed="false">
      <c r="A175" s="163" t="s">
        <v>195</v>
      </c>
      <c r="B175" s="164" t="s">
        <v>196</v>
      </c>
      <c r="C175" s="164"/>
      <c r="D175" s="164"/>
      <c r="E175" s="164" t="s">
        <v>197</v>
      </c>
      <c r="F175" s="27"/>
      <c r="G175" s="27" t="s">
        <v>198</v>
      </c>
      <c r="H175" s="37"/>
      <c r="J175" s="163" t="s">
        <v>195</v>
      </c>
      <c r="K175" s="164" t="s">
        <v>196</v>
      </c>
      <c r="L175" s="164"/>
      <c r="M175" s="164"/>
      <c r="N175" s="164" t="s">
        <v>197</v>
      </c>
      <c r="O175" s="27"/>
      <c r="P175" s="27"/>
      <c r="Q175" s="37"/>
      <c r="S175" s="163" t="s">
        <v>195</v>
      </c>
      <c r="T175" s="164" t="s">
        <v>196</v>
      </c>
      <c r="U175" s="164"/>
      <c r="V175" s="164"/>
      <c r="W175" s="164" t="s">
        <v>197</v>
      </c>
      <c r="X175" s="27"/>
      <c r="Y175" s="27"/>
      <c r="Z175" s="37"/>
      <c r="AB175" s="163" t="s">
        <v>195</v>
      </c>
      <c r="AC175" s="164" t="s">
        <v>196</v>
      </c>
      <c r="AD175" s="164"/>
      <c r="AE175" s="164"/>
      <c r="AF175" s="164" t="s">
        <v>197</v>
      </c>
      <c r="AG175" s="27"/>
      <c r="AH175" s="27"/>
      <c r="AI175" s="37"/>
    </row>
    <row r="176" customFormat="false" ht="18.75" hidden="false" customHeight="false" outlineLevel="0" collapsed="false">
      <c r="A176" s="165" t="n">
        <f aca="false">B104</f>
        <v>1736.06693116527</v>
      </c>
      <c r="B176" s="166" t="n">
        <f aca="false">B103</f>
        <v>0</v>
      </c>
      <c r="C176" s="164"/>
      <c r="D176" s="164"/>
      <c r="E176" s="166" t="n">
        <f aca="false">B105</f>
        <v>1736.06693116527</v>
      </c>
      <c r="F176" s="27"/>
      <c r="G176" s="27" t="n">
        <f aca="false">ROUND(G104,2)</f>
        <v>1603.97</v>
      </c>
      <c r="H176" s="37"/>
      <c r="J176" s="165" t="n">
        <f aca="false">K104</f>
        <v>1526.9778000252</v>
      </c>
      <c r="K176" s="166" t="n">
        <f aca="false">K103</f>
        <v>0</v>
      </c>
      <c r="L176" s="164"/>
      <c r="M176" s="164"/>
      <c r="N176" s="166" t="n">
        <f aca="false">K105</f>
        <v>1526.9778000252</v>
      </c>
      <c r="O176" s="27"/>
      <c r="P176" s="27"/>
      <c r="Q176" s="37"/>
      <c r="S176" s="165" t="n">
        <f aca="false">T104</f>
        <v>1542.50480957248</v>
      </c>
      <c r="T176" s="166" t="n">
        <f aca="false">T103</f>
        <v>0</v>
      </c>
      <c r="U176" s="164"/>
      <c r="V176" s="164"/>
      <c r="W176" s="166" t="n">
        <f aca="false">T105</f>
        <v>1542.50480957248</v>
      </c>
      <c r="X176" s="27"/>
      <c r="Y176" s="27"/>
      <c r="Z176" s="37"/>
      <c r="AB176" s="165" t="n">
        <f aca="false">AC104</f>
        <v>1542.50480957248</v>
      </c>
      <c r="AC176" s="166" t="n">
        <f aca="false">AC103</f>
        <v>0</v>
      </c>
      <c r="AD176" s="164"/>
      <c r="AE176" s="164"/>
      <c r="AF176" s="166" t="n">
        <f aca="false">AC105</f>
        <v>1542.50480957248</v>
      </c>
      <c r="AG176" s="27"/>
      <c r="AH176" s="27"/>
      <c r="AI176" s="37"/>
    </row>
    <row r="177" customFormat="false" ht="18.75" hidden="false" customHeight="false" outlineLevel="0" collapsed="false">
      <c r="A177" s="35"/>
      <c r="B177" s="36"/>
      <c r="C177" s="36"/>
      <c r="D177" s="36"/>
      <c r="E177" s="27"/>
      <c r="F177" s="27"/>
      <c r="G177" s="27"/>
      <c r="H177" s="37"/>
      <c r="J177" s="35"/>
      <c r="K177" s="36"/>
      <c r="L177" s="36"/>
      <c r="M177" s="36"/>
      <c r="N177" s="27"/>
      <c r="O177" s="27"/>
      <c r="P177" s="27"/>
      <c r="Q177" s="37"/>
      <c r="S177" s="35"/>
      <c r="T177" s="36"/>
      <c r="U177" s="36"/>
      <c r="V177" s="36"/>
      <c r="W177" s="27"/>
      <c r="X177" s="27"/>
      <c r="Y177" s="27"/>
      <c r="Z177" s="37"/>
      <c r="AB177" s="35"/>
      <c r="AC177" s="36"/>
      <c r="AD177" s="36"/>
      <c r="AE177" s="36"/>
      <c r="AF177" s="27"/>
      <c r="AG177" s="27"/>
      <c r="AH177" s="27"/>
      <c r="AI177" s="37"/>
    </row>
    <row r="178" customFormat="false" ht="18.75" hidden="false" customHeight="false" outlineLevel="0" collapsed="false">
      <c r="A178" s="35" t="s">
        <v>95</v>
      </c>
      <c r="B178" s="36" t="s">
        <v>96</v>
      </c>
      <c r="C178" s="36"/>
      <c r="D178" s="27"/>
      <c r="E178" s="36" t="s">
        <v>199</v>
      </c>
      <c r="F178" s="27"/>
      <c r="G178" s="27"/>
      <c r="H178" s="37"/>
      <c r="J178" s="35" t="s">
        <v>95</v>
      </c>
      <c r="K178" s="36" t="s">
        <v>96</v>
      </c>
      <c r="L178" s="36"/>
      <c r="M178" s="27"/>
      <c r="N178" s="36" t="s">
        <v>199</v>
      </c>
      <c r="O178" s="27"/>
      <c r="P178" s="27"/>
      <c r="Q178" s="37"/>
      <c r="S178" s="35" t="s">
        <v>95</v>
      </c>
      <c r="T178" s="36" t="s">
        <v>96</v>
      </c>
      <c r="U178" s="36"/>
      <c r="V178" s="27"/>
      <c r="W178" s="36" t="s">
        <v>199</v>
      </c>
      <c r="X178" s="27"/>
      <c r="Y178" s="27"/>
      <c r="Z178" s="37"/>
      <c r="AB178" s="35" t="s">
        <v>95</v>
      </c>
      <c r="AC178" s="36" t="s">
        <v>96</v>
      </c>
      <c r="AD178" s="36"/>
      <c r="AE178" s="27"/>
      <c r="AF178" s="36" t="s">
        <v>199</v>
      </c>
      <c r="AG178" s="27"/>
      <c r="AH178" s="27"/>
      <c r="AI178" s="37"/>
    </row>
    <row r="179" customFormat="false" ht="18.75" hidden="false" customHeight="false" outlineLevel="0" collapsed="false">
      <c r="A179" s="167" t="str">
        <f aca="false">K29</f>
        <v>33</v>
      </c>
      <c r="B179" s="168" t="str">
        <f aca="false">K30</f>
        <v>5000</v>
      </c>
      <c r="C179" s="169"/>
      <c r="D179" s="27"/>
      <c r="E179" s="170" t="n">
        <f aca="false">B91</f>
        <v>6000</v>
      </c>
      <c r="F179" s="27"/>
      <c r="G179" s="27"/>
      <c r="H179" s="37"/>
      <c r="J179" s="167" t="str">
        <f aca="false">K29</f>
        <v>33</v>
      </c>
      <c r="K179" s="168" t="str">
        <f aca="false">K30</f>
        <v>5000</v>
      </c>
      <c r="L179" s="169"/>
      <c r="M179" s="27"/>
      <c r="N179" s="170" t="str">
        <f aca="false">IF(A120="YES",A40,0)</f>
        <v>12</v>
      </c>
      <c r="O179" s="27"/>
      <c r="P179" s="27"/>
      <c r="Q179" s="37"/>
      <c r="S179" s="167" t="str">
        <f aca="false">K29</f>
        <v>33</v>
      </c>
      <c r="T179" s="168" t="str">
        <f aca="false">K30</f>
        <v>5000</v>
      </c>
      <c r="U179" s="169"/>
      <c r="V179" s="27"/>
      <c r="W179" s="170" t="str">
        <f aca="false">IF(A120="YES",A40,0)</f>
        <v>12</v>
      </c>
      <c r="X179" s="27"/>
      <c r="Y179" s="27"/>
      <c r="Z179" s="37"/>
      <c r="AB179" s="167" t="str">
        <f aca="false">K29</f>
        <v>33</v>
      </c>
      <c r="AC179" s="168" t="str">
        <f aca="false">K30</f>
        <v>5000</v>
      </c>
      <c r="AD179" s="169"/>
      <c r="AE179" s="27"/>
      <c r="AF179" s="170" t="str">
        <f aca="false">IF(A120="YES",A40,0)</f>
        <v>12</v>
      </c>
      <c r="AG179" s="27"/>
      <c r="AH179" s="27"/>
      <c r="AI179" s="3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200</v>
      </c>
      <c r="B181" s="36" t="s">
        <v>201</v>
      </c>
      <c r="C181" s="36"/>
      <c r="D181" s="27"/>
      <c r="E181" s="36" t="s">
        <v>202</v>
      </c>
      <c r="F181" s="27"/>
      <c r="G181" s="27"/>
      <c r="H181" s="37"/>
      <c r="J181" s="35" t="s">
        <v>200</v>
      </c>
      <c r="K181" s="36" t="s">
        <v>201</v>
      </c>
      <c r="L181" s="36"/>
      <c r="M181" s="27"/>
      <c r="N181" s="36" t="s">
        <v>202</v>
      </c>
      <c r="O181" s="27"/>
      <c r="P181" s="27"/>
      <c r="Q181" s="37"/>
      <c r="S181" s="35" t="s">
        <v>200</v>
      </c>
      <c r="T181" s="36" t="s">
        <v>201</v>
      </c>
      <c r="U181" s="36"/>
      <c r="V181" s="27"/>
      <c r="W181" s="36" t="s">
        <v>202</v>
      </c>
      <c r="X181" s="27"/>
      <c r="Y181" s="27"/>
      <c r="Z181" s="37"/>
      <c r="AB181" s="35" t="s">
        <v>200</v>
      </c>
      <c r="AC181" s="36" t="s">
        <v>201</v>
      </c>
      <c r="AD181" s="36"/>
      <c r="AE181" s="27"/>
      <c r="AF181" s="36" t="s">
        <v>202</v>
      </c>
      <c r="AG181" s="27"/>
      <c r="AH181" s="27"/>
      <c r="AI181" s="37"/>
    </row>
    <row r="182" customFormat="false" ht="18.75" hidden="false" customHeight="false" outlineLevel="0" collapsed="false">
      <c r="A182" s="171" t="n">
        <f aca="false">H150-H146-H148-H149</f>
        <v>43278.1634</v>
      </c>
      <c r="B182" s="42" t="n">
        <f aca="false">H146</f>
        <v>8655.63268</v>
      </c>
      <c r="C182" s="47"/>
      <c r="D182" s="27"/>
      <c r="E182" s="170" t="n">
        <f aca="false">H148+H149</f>
        <v>1095</v>
      </c>
      <c r="F182" s="27"/>
      <c r="G182" s="27"/>
      <c r="H182" s="37"/>
      <c r="J182" s="171" t="n">
        <f aca="false">Q150-Q146-Q148-Q149</f>
        <v>28779.17</v>
      </c>
      <c r="K182" s="42" t="n">
        <f aca="false">Q146</f>
        <v>5755.834</v>
      </c>
      <c r="L182" s="47"/>
      <c r="M182" s="27"/>
      <c r="N182" s="170" t="n">
        <f aca="false">Q148+Q149</f>
        <v>1095</v>
      </c>
      <c r="O182" s="27"/>
      <c r="P182" s="27"/>
      <c r="Q182" s="37"/>
      <c r="S182" s="171" t="n">
        <f aca="false">Z150-Z146-Z148-Z149</f>
        <v>33156.2475</v>
      </c>
      <c r="T182" s="42" t="n">
        <f aca="false">Z146</f>
        <v>6631.2495</v>
      </c>
      <c r="U182" s="47"/>
      <c r="V182" s="27"/>
      <c r="W182" s="170" t="n">
        <f aca="false">Z148+Z149</f>
        <v>1095</v>
      </c>
      <c r="X182" s="27"/>
      <c r="Y182" s="27"/>
      <c r="Z182" s="37"/>
      <c r="AB182" s="171" t="n">
        <f aca="false">AI150-AI146-AI148-AI149</f>
        <v>33156.2475</v>
      </c>
      <c r="AC182" s="42" t="n">
        <f aca="false">AI146</f>
        <v>6631.2495</v>
      </c>
      <c r="AD182" s="47"/>
      <c r="AE182" s="27"/>
      <c r="AF182" s="170" t="n">
        <f aca="false">AI148+AI149</f>
        <v>1095</v>
      </c>
      <c r="AG182" s="27"/>
      <c r="AH182" s="27"/>
      <c r="AI182" s="3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203</v>
      </c>
      <c r="B184" s="36" t="s">
        <v>149</v>
      </c>
      <c r="C184" s="36"/>
      <c r="D184" s="27"/>
      <c r="E184" s="36" t="s">
        <v>150</v>
      </c>
      <c r="F184" s="27"/>
      <c r="G184" s="27"/>
      <c r="H184" s="37"/>
      <c r="J184" s="35" t="s">
        <v>203</v>
      </c>
      <c r="K184" s="36" t="s">
        <v>149</v>
      </c>
      <c r="L184" s="36"/>
      <c r="M184" s="27"/>
      <c r="N184" s="36" t="s">
        <v>150</v>
      </c>
      <c r="O184" s="27"/>
      <c r="P184" s="27"/>
      <c r="Q184" s="37"/>
      <c r="S184" s="35" t="s">
        <v>203</v>
      </c>
      <c r="T184" s="36" t="s">
        <v>149</v>
      </c>
      <c r="U184" s="36"/>
      <c r="V184" s="27"/>
      <c r="W184" s="36" t="s">
        <v>150</v>
      </c>
      <c r="X184" s="27"/>
      <c r="Y184" s="27"/>
      <c r="Z184" s="37"/>
      <c r="AB184" s="35" t="s">
        <v>203</v>
      </c>
      <c r="AC184" s="36" t="s">
        <v>149</v>
      </c>
      <c r="AD184" s="36"/>
      <c r="AE184" s="27"/>
      <c r="AF184" s="36" t="s">
        <v>150</v>
      </c>
      <c r="AG184" s="27"/>
      <c r="AH184" s="27"/>
      <c r="AI184" s="37"/>
    </row>
    <row r="185" customFormat="false" ht="18.75" hidden="false" customHeight="false" outlineLevel="0" collapsed="false">
      <c r="A185" s="171" t="n">
        <f aca="false">H150</f>
        <v>53028.79608</v>
      </c>
      <c r="B185" s="42" t="n">
        <f aca="false">B120</f>
        <v>0</v>
      </c>
      <c r="C185" s="42"/>
      <c r="D185" s="27"/>
      <c r="E185" s="42" t="n">
        <f aca="false">E120</f>
        <v>0</v>
      </c>
      <c r="F185" s="27"/>
      <c r="G185" s="27"/>
      <c r="H185" s="107"/>
      <c r="J185" s="171" t="n">
        <f aca="false">Q150</f>
        <v>35630.004</v>
      </c>
      <c r="K185" s="42" t="n">
        <f aca="false">K120</f>
        <v>1000</v>
      </c>
      <c r="L185" s="42"/>
      <c r="M185" s="27"/>
      <c r="N185" s="42" t="n">
        <f aca="false">N120</f>
        <v>0</v>
      </c>
      <c r="O185" s="27"/>
      <c r="P185" s="27"/>
      <c r="Q185" s="107"/>
      <c r="S185" s="171" t="n">
        <f aca="false">Z150</f>
        <v>40882.497</v>
      </c>
      <c r="T185" s="42" t="n">
        <f aca="false">T120</f>
        <v>1000</v>
      </c>
      <c r="U185" s="42"/>
      <c r="V185" s="27"/>
      <c r="W185" s="42" t="n">
        <f aca="false">W120</f>
        <v>0</v>
      </c>
      <c r="X185" s="27"/>
      <c r="Y185" s="27"/>
      <c r="Z185" s="107"/>
      <c r="AB185" s="171" t="n">
        <f aca="false">AI150</f>
        <v>40882.497</v>
      </c>
      <c r="AC185" s="42" t="n">
        <f aca="false">AC120</f>
        <v>1000</v>
      </c>
      <c r="AD185" s="42"/>
      <c r="AE185" s="27"/>
      <c r="AF185" s="42" t="n">
        <f aca="false">AF120</f>
        <v>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27"/>
      <c r="E186" s="36"/>
      <c r="F186" s="27"/>
      <c r="G186" s="27"/>
      <c r="H186" s="37"/>
      <c r="J186" s="35"/>
      <c r="K186" s="36"/>
      <c r="L186" s="36"/>
      <c r="M186" s="27"/>
      <c r="N186" s="36"/>
      <c r="O186" s="27"/>
      <c r="P186" s="27"/>
      <c r="Q186" s="37"/>
      <c r="S186" s="35"/>
      <c r="T186" s="36"/>
      <c r="U186" s="36"/>
      <c r="V186" s="27"/>
      <c r="W186" s="36"/>
      <c r="X186" s="27"/>
      <c r="Y186" s="27"/>
      <c r="Z186" s="37"/>
      <c r="AB186" s="35"/>
      <c r="AC186" s="36"/>
      <c r="AD186" s="36"/>
      <c r="AE186" s="27"/>
      <c r="AF186" s="36"/>
      <c r="AG186" s="27"/>
      <c r="AH186" s="27"/>
      <c r="AI186" s="37"/>
    </row>
    <row r="187" customFormat="false" ht="18.75" hidden="false" customHeight="false" outlineLevel="0" collapsed="false">
      <c r="A187" s="35" t="s">
        <v>151</v>
      </c>
      <c r="B187" s="36" t="s">
        <v>186</v>
      </c>
      <c r="C187" s="36"/>
      <c r="D187" s="27"/>
      <c r="E187" s="36" t="s">
        <v>192</v>
      </c>
      <c r="F187" s="27"/>
      <c r="G187" s="27"/>
      <c r="H187" s="37"/>
      <c r="J187" s="35" t="s">
        <v>151</v>
      </c>
      <c r="K187" s="36" t="s">
        <v>186</v>
      </c>
      <c r="L187" s="36"/>
      <c r="M187" s="27"/>
      <c r="N187" s="36" t="s">
        <v>192</v>
      </c>
      <c r="O187" s="27"/>
      <c r="P187" s="27"/>
      <c r="Q187" s="37"/>
      <c r="S187" s="35" t="s">
        <v>151</v>
      </c>
      <c r="T187" s="36" t="s">
        <v>186</v>
      </c>
      <c r="U187" s="36"/>
      <c r="V187" s="27"/>
      <c r="W187" s="36" t="s">
        <v>192</v>
      </c>
      <c r="X187" s="27"/>
      <c r="Y187" s="27"/>
      <c r="Z187" s="37"/>
      <c r="AB187" s="35" t="s">
        <v>151</v>
      </c>
      <c r="AC187" s="36" t="s">
        <v>186</v>
      </c>
      <c r="AD187" s="36"/>
      <c r="AE187" s="27"/>
      <c r="AF187" s="36" t="s">
        <v>192</v>
      </c>
      <c r="AG187" s="27"/>
      <c r="AH187" s="27"/>
      <c r="AI187" s="37"/>
    </row>
    <row r="188" customFormat="false" ht="18.75" hidden="false" customHeight="false" outlineLevel="0" collapsed="false">
      <c r="A188" s="113" t="n">
        <f aca="false">B185+E185</f>
        <v>0</v>
      </c>
      <c r="B188" s="42" t="n">
        <f aca="false">G163</f>
        <v>0</v>
      </c>
      <c r="C188" s="42"/>
      <c r="D188" s="27"/>
      <c r="E188" s="42" t="n">
        <f aca="false">G167</f>
        <v>56128.79608</v>
      </c>
      <c r="F188" s="27"/>
      <c r="G188" s="27"/>
      <c r="H188" s="107"/>
      <c r="J188" s="113" t="n">
        <f aca="false">K185+N185</f>
        <v>1000</v>
      </c>
      <c r="K188" s="42" t="n">
        <f aca="false">P163</f>
        <v>-2000</v>
      </c>
      <c r="L188" s="42"/>
      <c r="M188" s="27"/>
      <c r="N188" s="42" t="n">
        <f aca="false">J185-J188-K188</f>
        <v>36630.004</v>
      </c>
      <c r="O188" s="27"/>
      <c r="P188" s="27"/>
      <c r="Q188" s="107"/>
      <c r="S188" s="113" t="n">
        <f aca="false">T185+W185</f>
        <v>1000</v>
      </c>
      <c r="T188" s="42" t="n">
        <f aca="false">Y163</f>
        <v>-2000</v>
      </c>
      <c r="U188" s="42"/>
      <c r="V188" s="27"/>
      <c r="W188" s="42" t="n">
        <f aca="false">S185-S188-T188</f>
        <v>41882.497</v>
      </c>
      <c r="X188" s="27"/>
      <c r="Y188" s="27"/>
      <c r="Z188" s="107"/>
      <c r="AB188" s="113" t="n">
        <f aca="false">AC185+AF185</f>
        <v>1000</v>
      </c>
      <c r="AC188" s="42" t="n">
        <f aca="false">AH163</f>
        <v>-2000</v>
      </c>
      <c r="AD188" s="42"/>
      <c r="AE188" s="27"/>
      <c r="AF188" s="42" t="n">
        <f aca="false">AB185-AB188-AC188</f>
        <v>41882.497</v>
      </c>
      <c r="AG188" s="27"/>
      <c r="AH188" s="27"/>
      <c r="AI188" s="107"/>
    </row>
    <row r="189" customFormat="false" ht="18.75" hidden="false" customHeight="false" outlineLevel="0" collapsed="false">
      <c r="A189" s="35"/>
      <c r="B189" s="36"/>
      <c r="C189" s="36"/>
      <c r="D189" s="27"/>
      <c r="E189" s="36"/>
      <c r="F189" s="27"/>
      <c r="G189" s="27"/>
      <c r="H189" s="37"/>
      <c r="J189" s="35"/>
      <c r="K189" s="36"/>
      <c r="L189" s="36"/>
      <c r="M189" s="27"/>
      <c r="N189" s="36"/>
      <c r="O189" s="27"/>
      <c r="P189" s="27"/>
      <c r="Q189" s="37"/>
      <c r="S189" s="35"/>
      <c r="T189" s="36"/>
      <c r="U189" s="36"/>
      <c r="V189" s="27"/>
      <c r="W189" s="36"/>
      <c r="X189" s="27"/>
      <c r="Y189" s="27"/>
      <c r="Z189" s="37"/>
      <c r="AB189" s="35"/>
      <c r="AC189" s="36"/>
      <c r="AD189" s="36"/>
      <c r="AE189" s="27"/>
      <c r="AF189" s="36"/>
      <c r="AG189" s="27"/>
      <c r="AH189" s="27"/>
      <c r="AI189" s="37"/>
    </row>
    <row r="190" customFormat="false" ht="18.75" hidden="false" customHeight="false" outlineLevel="0" collapsed="false">
      <c r="A190" s="35" t="s">
        <v>204</v>
      </c>
      <c r="B190" s="36" t="s">
        <v>66</v>
      </c>
      <c r="C190" s="36"/>
      <c r="D190" s="27"/>
      <c r="E190" s="36" t="s">
        <v>205</v>
      </c>
      <c r="F190" s="27"/>
      <c r="G190" s="27"/>
      <c r="H190" s="37"/>
      <c r="J190" s="35" t="s">
        <v>204</v>
      </c>
      <c r="K190" s="36" t="s">
        <v>66</v>
      </c>
      <c r="L190" s="36"/>
      <c r="M190" s="27"/>
      <c r="N190" s="36" t="s">
        <v>205</v>
      </c>
      <c r="O190" s="27"/>
      <c r="P190" s="27"/>
      <c r="Q190" s="37"/>
      <c r="S190" s="35" t="s">
        <v>204</v>
      </c>
      <c r="T190" s="36" t="s">
        <v>66</v>
      </c>
      <c r="U190" s="36"/>
      <c r="V190" s="27"/>
      <c r="W190" s="36" t="s">
        <v>205</v>
      </c>
      <c r="X190" s="27"/>
      <c r="Y190" s="27"/>
      <c r="Z190" s="37"/>
      <c r="AB190" s="35" t="s">
        <v>204</v>
      </c>
      <c r="AC190" s="36" t="s">
        <v>66</v>
      </c>
      <c r="AD190" s="36"/>
      <c r="AE190" s="27"/>
      <c r="AF190" s="36" t="s">
        <v>205</v>
      </c>
      <c r="AG190" s="27"/>
      <c r="AH190" s="27"/>
      <c r="AI190" s="37"/>
    </row>
    <row r="191" customFormat="false" ht="18.75" hidden="false" customHeight="false" outlineLevel="0" collapsed="false">
      <c r="A191" s="113" t="n">
        <f aca="false">(A176*B68)+E194-E188-A194</f>
        <v>5425.34571728869</v>
      </c>
      <c r="B191" s="42" t="n">
        <f aca="false">B123</f>
        <v>199.991666666667</v>
      </c>
      <c r="C191" s="42"/>
      <c r="D191" s="27"/>
      <c r="E191" s="42" t="n">
        <f aca="false">E188+A191+(B191*1.2)+A194</f>
        <v>61819.1317972887</v>
      </c>
      <c r="F191" s="27"/>
      <c r="G191" s="27"/>
      <c r="H191" s="107"/>
      <c r="J191" s="113" t="n">
        <f aca="false">(J176*K68)+N194-N188-J194</f>
        <v>12245.2856008064</v>
      </c>
      <c r="K191" s="42" t="n">
        <f aca="false">K123</f>
        <v>239.99</v>
      </c>
      <c r="L191" s="42"/>
      <c r="M191" s="27"/>
      <c r="N191" s="42" t="n">
        <f aca="false">N188+J191+K191+J194</f>
        <v>49135.2796008064</v>
      </c>
      <c r="O191" s="27"/>
      <c r="P191" s="27"/>
      <c r="Q191" s="107"/>
      <c r="S191" s="113" t="n">
        <f aca="false">(S176*T68)+W194-W188-S194</f>
        <v>7489.65690631922</v>
      </c>
      <c r="T191" s="42" t="n">
        <f aca="false">T123</f>
        <v>199.99</v>
      </c>
      <c r="U191" s="42"/>
      <c r="V191" s="27"/>
      <c r="W191" s="42" t="n">
        <f aca="false">W188+S191+T191+S194</f>
        <v>49582.1439063192</v>
      </c>
      <c r="X191" s="27"/>
      <c r="Y191" s="27"/>
      <c r="Z191" s="107"/>
      <c r="AB191" s="113" t="n">
        <f aca="false">(AB176*AC68)+AF194-AF188-AB194</f>
        <v>7489.65690631922</v>
      </c>
      <c r="AC191" s="42" t="n">
        <f aca="false">AC123</f>
        <v>239.99</v>
      </c>
      <c r="AD191" s="42"/>
      <c r="AE191" s="27"/>
      <c r="AF191" s="42" t="n">
        <f aca="false">AF188+AB191+AC191+AB194</f>
        <v>49622.1439063192</v>
      </c>
      <c r="AG191" s="27"/>
      <c r="AH191" s="27"/>
      <c r="AI191" s="107"/>
    </row>
    <row r="192" customFormat="false" ht="18.75" hidden="false" customHeight="false" outlineLevel="0" collapsed="false">
      <c r="A192" s="35"/>
      <c r="B192" s="36"/>
      <c r="C192" s="36"/>
      <c r="D192" s="27"/>
      <c r="E192" s="36"/>
      <c r="F192" s="27"/>
      <c r="G192" s="27"/>
      <c r="H192" s="37"/>
      <c r="J192" s="35"/>
      <c r="K192" s="36"/>
      <c r="L192" s="36"/>
      <c r="M192" s="27"/>
      <c r="N192" s="36"/>
      <c r="O192" s="27"/>
      <c r="P192" s="27"/>
      <c r="Q192" s="37"/>
      <c r="S192" s="35"/>
      <c r="T192" s="36"/>
      <c r="U192" s="36"/>
      <c r="V192" s="27"/>
      <c r="W192" s="36"/>
      <c r="X192" s="27"/>
      <c r="Y192" s="27"/>
      <c r="Z192" s="37"/>
      <c r="AB192" s="35"/>
      <c r="AC192" s="36"/>
      <c r="AD192" s="36"/>
      <c r="AE192" s="27"/>
      <c r="AF192" s="36"/>
      <c r="AG192" s="27"/>
      <c r="AH192" s="27"/>
      <c r="AI192" s="37"/>
    </row>
    <row r="193" customFormat="false" ht="18.75" hidden="false" customHeight="false" outlineLevel="0" collapsed="false">
      <c r="A193" s="35" t="s">
        <v>206</v>
      </c>
      <c r="B193" s="36" t="s">
        <v>207</v>
      </c>
      <c r="C193" s="36"/>
      <c r="D193" s="27"/>
      <c r="E193" s="36" t="s">
        <v>208</v>
      </c>
      <c r="F193" s="27"/>
      <c r="G193" s="27"/>
      <c r="H193" s="37"/>
      <c r="J193" s="35" t="s">
        <v>206</v>
      </c>
      <c r="K193" s="36" t="s">
        <v>207</v>
      </c>
      <c r="L193" s="36"/>
      <c r="M193" s="27"/>
      <c r="N193" s="36" t="s">
        <v>208</v>
      </c>
      <c r="O193" s="27"/>
      <c r="P193" s="27"/>
      <c r="Q193" s="37"/>
      <c r="S193" s="35" t="s">
        <v>206</v>
      </c>
      <c r="T193" s="36" t="s">
        <v>207</v>
      </c>
      <c r="U193" s="36"/>
      <c r="V193" s="27"/>
      <c r="W193" s="36" t="s">
        <v>208</v>
      </c>
      <c r="X193" s="27"/>
      <c r="Y193" s="27"/>
      <c r="Z193" s="37"/>
      <c r="AB193" s="35" t="s">
        <v>206</v>
      </c>
      <c r="AC193" s="36" t="s">
        <v>207</v>
      </c>
      <c r="AD193" s="36"/>
      <c r="AE193" s="27"/>
      <c r="AF193" s="36" t="s">
        <v>208</v>
      </c>
      <c r="AG193" s="27"/>
      <c r="AH193" s="27"/>
      <c r="AI193" s="37"/>
    </row>
    <row r="194" customFormat="false" ht="18.75" hidden="false" customHeight="false" outlineLevel="0" collapsed="false">
      <c r="A194" s="113" t="n">
        <f aca="false">B69</f>
        <v>25</v>
      </c>
      <c r="B194" s="42" t="n">
        <f aca="false">A188+B191*1.2</f>
        <v>239.99</v>
      </c>
      <c r="C194" s="42"/>
      <c r="D194" s="27"/>
      <c r="E194" s="42" t="n">
        <f aca="false">IF( E179=0, A194+E176, E179+A194)</f>
        <v>6025</v>
      </c>
      <c r="F194" s="27"/>
      <c r="G194" s="27"/>
      <c r="H194" s="107"/>
      <c r="J194" s="113" t="n">
        <f aca="false">K69</f>
        <v>20</v>
      </c>
      <c r="K194" s="42" t="n">
        <f aca="false">J188+K191</f>
        <v>1239.99</v>
      </c>
      <c r="L194" s="42"/>
      <c r="M194" s="27"/>
      <c r="N194" s="42" t="n">
        <f aca="false">N179+J194</f>
        <v>32</v>
      </c>
      <c r="O194" s="27"/>
      <c r="P194" s="27"/>
      <c r="Q194" s="107"/>
      <c r="S194" s="113" t="n">
        <f aca="false">T69</f>
        <v>10</v>
      </c>
      <c r="T194" s="42" t="n">
        <f aca="false">S188+T191</f>
        <v>1199.99</v>
      </c>
      <c r="U194" s="42"/>
      <c r="V194" s="27"/>
      <c r="W194" s="42" t="n">
        <f aca="false">W179+S194</f>
        <v>22</v>
      </c>
      <c r="X194" s="27"/>
      <c r="Y194" s="27"/>
      <c r="Z194" s="107"/>
      <c r="AB194" s="113" t="n">
        <f aca="false">AC69</f>
        <v>10</v>
      </c>
      <c r="AC194" s="42" t="n">
        <f aca="false">AB188+AC191</f>
        <v>1239.99</v>
      </c>
      <c r="AD194" s="42"/>
      <c r="AE194" s="27"/>
      <c r="AF194" s="42" t="n">
        <f aca="false">AF179+AB194</f>
        <v>22</v>
      </c>
      <c r="AG194" s="27"/>
      <c r="AH194" s="27"/>
      <c r="AI194" s="107"/>
    </row>
    <row r="195" customFormat="false" ht="18.75" hidden="false" customHeight="false" outlineLevel="0" collapsed="false">
      <c r="A195" s="35"/>
      <c r="B195" s="36"/>
      <c r="C195" s="36"/>
      <c r="D195" s="36"/>
      <c r="E195" s="27"/>
      <c r="F195" s="27"/>
      <c r="G195" s="27"/>
      <c r="H195" s="37"/>
      <c r="J195" s="35"/>
      <c r="K195" s="36"/>
      <c r="L195" s="36"/>
      <c r="M195" s="36"/>
      <c r="N195" s="27"/>
      <c r="O195" s="27"/>
      <c r="P195" s="27"/>
      <c r="Q195" s="37"/>
      <c r="S195" s="35"/>
      <c r="T195" s="36"/>
      <c r="U195" s="36"/>
      <c r="V195" s="36"/>
      <c r="W195" s="27"/>
      <c r="X195" s="36"/>
      <c r="Y195" s="36"/>
      <c r="Z195" s="37"/>
      <c r="AB195" s="35"/>
      <c r="AC195" s="36"/>
      <c r="AD195" s="36"/>
      <c r="AE195" s="36"/>
      <c r="AF195" s="27"/>
      <c r="AG195" s="27"/>
      <c r="AH195" s="27"/>
      <c r="AI195" s="37"/>
    </row>
    <row r="196" customFormat="false" ht="18.75" hidden="false" customHeight="false" outlineLevel="0" collapsed="false">
      <c r="A196" s="35" t="s">
        <v>209</v>
      </c>
      <c r="B196" s="36" t="s">
        <v>210</v>
      </c>
      <c r="C196" s="36"/>
      <c r="D196" s="36"/>
      <c r="E196" s="43" t="s">
        <v>211</v>
      </c>
      <c r="F196" s="27"/>
      <c r="G196" s="27"/>
      <c r="H196" s="37"/>
      <c r="J196" s="35" t="s">
        <v>209</v>
      </c>
      <c r="K196" s="36" t="s">
        <v>210</v>
      </c>
      <c r="L196" s="36"/>
      <c r="M196" s="36"/>
      <c r="N196" s="43" t="s">
        <v>211</v>
      </c>
      <c r="O196" s="27"/>
      <c r="P196" s="27"/>
      <c r="Q196" s="37"/>
      <c r="S196" s="35" t="s">
        <v>209</v>
      </c>
      <c r="T196" s="36" t="s">
        <v>210</v>
      </c>
      <c r="U196" s="36"/>
      <c r="V196" s="36"/>
      <c r="W196" s="43" t="s">
        <v>211</v>
      </c>
      <c r="X196" s="36"/>
      <c r="Y196" s="36"/>
      <c r="Z196" s="37"/>
      <c r="AB196" s="35" t="s">
        <v>209</v>
      </c>
      <c r="AC196" s="36" t="s">
        <v>210</v>
      </c>
      <c r="AD196" s="36"/>
      <c r="AE196" s="36"/>
      <c r="AF196" s="43" t="s">
        <v>211</v>
      </c>
      <c r="AG196" s="36"/>
      <c r="AH196" s="36"/>
      <c r="AI196" s="37"/>
    </row>
    <row r="197" customFormat="false" ht="18.75" hidden="false" customHeight="false" outlineLevel="0" collapsed="false">
      <c r="A197" s="113" t="n">
        <f aca="false">J18*0.000002*100</f>
        <v>10.5979992</v>
      </c>
      <c r="B197" s="42" t="n">
        <f aca="false">(G167*B76)</f>
        <v>841.9319412</v>
      </c>
      <c r="C197" s="36"/>
      <c r="D197" s="36"/>
      <c r="E197" s="42" t="n">
        <f aca="false">IF(E114="YES",(K55*A117*0.1),0)</f>
        <v>0</v>
      </c>
      <c r="F197" s="27"/>
      <c r="G197" s="27"/>
      <c r="H197" s="37"/>
      <c r="J197" s="113" t="n">
        <f aca="false">IF(N114="YES",H15*0.000002,0)</f>
        <v>0.10605759216</v>
      </c>
      <c r="K197" s="42" t="n">
        <f aca="false">(P167*K76)/1.2</f>
        <v>2193.98461458333</v>
      </c>
      <c r="L197" s="36"/>
      <c r="M197" s="36"/>
      <c r="N197" s="42" t="n">
        <f aca="false">(E40*J117)*0.1</f>
        <v>0</v>
      </c>
      <c r="O197" s="27"/>
      <c r="P197" s="27"/>
      <c r="Q197" s="37"/>
      <c r="S197" s="113" t="n">
        <f aca="false">IF(W114="YES",Z15*0.000002,0)</f>
        <v>0</v>
      </c>
      <c r="T197" s="42" t="n">
        <f aca="false">(Y167*T76)/1.2</f>
        <v>327.2070078125</v>
      </c>
      <c r="U197" s="36"/>
      <c r="V197" s="36"/>
      <c r="W197" s="42" t="n">
        <f aca="false">(E40*S117)*0.1</f>
        <v>0</v>
      </c>
      <c r="X197" s="36"/>
      <c r="Y197" s="36"/>
      <c r="Z197" s="37"/>
      <c r="AB197" s="113" t="n">
        <f aca="false">IF(AF114="YES",AI15*0.000002,0)</f>
        <v>0</v>
      </c>
      <c r="AC197" s="42" t="n">
        <f aca="false">(AH167*AC76)/1.2</f>
        <v>327.2070078125</v>
      </c>
      <c r="AD197" s="36"/>
      <c r="AE197" s="36"/>
      <c r="AF197" s="42" t="n">
        <f aca="false">(E40*AB117)*0.1</f>
        <v>0</v>
      </c>
      <c r="AG197" s="36"/>
      <c r="AH197" s="36"/>
      <c r="AI197" s="37"/>
    </row>
    <row r="198" customFormat="false" ht="18.75" hidden="false" customHeight="false" outlineLevel="0" collapsed="false">
      <c r="A198" s="113"/>
      <c r="B198" s="42"/>
      <c r="C198" s="36"/>
      <c r="D198" s="36"/>
      <c r="E198" s="27"/>
      <c r="F198" s="27"/>
      <c r="G198" s="27"/>
      <c r="H198" s="37"/>
      <c r="J198" s="113"/>
      <c r="K198" s="42"/>
      <c r="L198" s="36"/>
      <c r="M198" s="36"/>
      <c r="N198" s="27"/>
      <c r="O198" s="27"/>
      <c r="P198" s="27"/>
      <c r="Q198" s="37"/>
      <c r="S198" s="113"/>
      <c r="T198" s="42"/>
      <c r="U198" s="36"/>
      <c r="V198" s="36"/>
      <c r="W198" s="27"/>
      <c r="X198" s="36"/>
      <c r="Y198" s="36"/>
      <c r="Z198" s="37"/>
      <c r="AB198" s="113"/>
      <c r="AC198" s="42"/>
      <c r="AD198" s="36"/>
      <c r="AE198" s="36"/>
      <c r="AF198" s="27"/>
      <c r="AG198" s="36"/>
      <c r="AH198" s="36"/>
      <c r="AI198" s="37"/>
    </row>
    <row r="199" customFormat="false" ht="18.75" hidden="false" customHeight="false" outlineLevel="0" collapsed="false">
      <c r="A199" s="64" t="s">
        <v>212</v>
      </c>
      <c r="B199" s="43" t="s">
        <v>213</v>
      </c>
      <c r="C199" s="36"/>
      <c r="D199" s="36"/>
      <c r="E199" s="43" t="s">
        <v>214</v>
      </c>
      <c r="F199" s="27"/>
      <c r="G199" s="27"/>
      <c r="H199" s="37"/>
      <c r="J199" s="64" t="s">
        <v>212</v>
      </c>
      <c r="K199" s="43" t="s">
        <v>213</v>
      </c>
      <c r="L199" s="36"/>
      <c r="M199" s="36"/>
      <c r="N199" s="43" t="s">
        <v>214</v>
      </c>
      <c r="O199" s="27"/>
      <c r="P199" s="27"/>
      <c r="Q199" s="37"/>
      <c r="S199" s="64" t="s">
        <v>212</v>
      </c>
      <c r="T199" s="43" t="s">
        <v>213</v>
      </c>
      <c r="U199" s="36"/>
      <c r="V199" s="36"/>
      <c r="W199" s="43" t="s">
        <v>214</v>
      </c>
      <c r="X199" s="36"/>
      <c r="Y199" s="36"/>
      <c r="Z199" s="37"/>
      <c r="AB199" s="64" t="s">
        <v>212</v>
      </c>
      <c r="AC199" s="43" t="s">
        <v>213</v>
      </c>
      <c r="AD199" s="36"/>
      <c r="AE199" s="36"/>
      <c r="AF199" s="43" t="s">
        <v>214</v>
      </c>
      <c r="AG199" s="36"/>
      <c r="AH199" s="36"/>
      <c r="AI199" s="37"/>
    </row>
    <row r="200" customFormat="false" ht="18.75" hidden="false" customHeight="false" outlineLevel="0" collapsed="false">
      <c r="A200" s="113" t="n">
        <v>20</v>
      </c>
      <c r="B200" s="42" t="n">
        <f aca="false">B197+E197+A200</f>
        <v>861.9319412</v>
      </c>
      <c r="C200" s="36"/>
      <c r="D200" s="36"/>
      <c r="E200" s="42" t="n">
        <f aca="false">H157</f>
        <v>0</v>
      </c>
      <c r="F200" s="27"/>
      <c r="G200" s="27"/>
      <c r="H200" s="37"/>
      <c r="J200" s="113" t="n">
        <f aca="false">K194-100</f>
        <v>1139.99</v>
      </c>
      <c r="K200" s="42" t="n">
        <f aca="false">K197+N197+J200</f>
        <v>3333.97461458333</v>
      </c>
      <c r="L200" s="36"/>
      <c r="M200" s="36"/>
      <c r="N200" s="42" t="n">
        <f aca="false">Q157</f>
        <v>-17398.79208</v>
      </c>
      <c r="O200" s="27"/>
      <c r="P200" s="27"/>
      <c r="Q200" s="37"/>
      <c r="S200" s="113" t="n">
        <f aca="false">T194-100</f>
        <v>1099.99</v>
      </c>
      <c r="T200" s="42" t="n">
        <f aca="false">T197+W197+S200</f>
        <v>1427.1970078125</v>
      </c>
      <c r="U200" s="36"/>
      <c r="V200" s="36"/>
      <c r="W200" s="42" t="n">
        <f aca="false">Z157</f>
        <v>-12146.29908</v>
      </c>
      <c r="X200" s="36"/>
      <c r="Y200" s="36"/>
      <c r="Z200" s="37"/>
      <c r="AB200" s="113" t="n">
        <f aca="false">AC194-100</f>
        <v>1139.99</v>
      </c>
      <c r="AC200" s="42" t="n">
        <f aca="false">AC197+AF197+AB200</f>
        <v>1467.1970078125</v>
      </c>
      <c r="AD200" s="36"/>
      <c r="AE200" s="36"/>
      <c r="AF200" s="42" t="n">
        <f aca="false">AI157</f>
        <v>-12146.29908</v>
      </c>
      <c r="AG200" s="36"/>
      <c r="AH200" s="36"/>
      <c r="AI200" s="37"/>
    </row>
    <row r="201" customFormat="false" ht="18.75" hidden="false" customHeight="false" outlineLevel="0" collapsed="false">
      <c r="A201" s="35"/>
      <c r="B201" s="36"/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70" t="s">
        <v>215</v>
      </c>
      <c r="B202" s="36"/>
      <c r="C202" s="36"/>
      <c r="D202" s="71"/>
      <c r="E202" s="71"/>
      <c r="F202" s="71"/>
      <c r="G202" s="71"/>
      <c r="H202" s="72"/>
      <c r="J202" s="70" t="s">
        <v>215</v>
      </c>
      <c r="K202" s="36"/>
      <c r="L202" s="36"/>
      <c r="M202" s="71"/>
      <c r="N202" s="71"/>
      <c r="O202" s="71"/>
      <c r="P202" s="71"/>
      <c r="Q202" s="72"/>
      <c r="S202" s="70" t="s">
        <v>215</v>
      </c>
      <c r="T202" s="36"/>
      <c r="U202" s="36"/>
      <c r="V202" s="71"/>
      <c r="W202" s="71"/>
      <c r="X202" s="71"/>
      <c r="Y202" s="71"/>
      <c r="Z202" s="72"/>
      <c r="AB202" s="70" t="s">
        <v>215</v>
      </c>
      <c r="AC202" s="36"/>
      <c r="AD202" s="36"/>
      <c r="AE202" s="71"/>
      <c r="AF202" s="71"/>
      <c r="AG202" s="71"/>
      <c r="AH202" s="71"/>
      <c r="AI202" s="72"/>
    </row>
    <row r="203" customFormat="false" ht="18.75" hidden="false" customHeight="false" outlineLevel="0" collapsed="false">
      <c r="A203" s="35"/>
      <c r="B203" s="73"/>
      <c r="C203" s="73"/>
      <c r="D203" s="36"/>
      <c r="E203" s="27"/>
      <c r="F203" s="27"/>
      <c r="G203" s="27"/>
      <c r="H203" s="37"/>
      <c r="J203" s="35"/>
      <c r="K203" s="73"/>
      <c r="L203" s="73"/>
      <c r="M203" s="36"/>
      <c r="N203" s="27"/>
      <c r="O203" s="27"/>
      <c r="P203" s="27"/>
      <c r="Q203" s="37"/>
      <c r="S203" s="35"/>
      <c r="T203" s="73"/>
      <c r="U203" s="73"/>
      <c r="V203" s="36"/>
      <c r="W203" s="27"/>
      <c r="X203" s="27"/>
      <c r="Y203" s="27"/>
      <c r="Z203" s="37"/>
      <c r="AB203" s="35"/>
      <c r="AC203" s="73"/>
      <c r="AD203" s="73"/>
      <c r="AE203" s="36"/>
      <c r="AF203" s="27"/>
      <c r="AG203" s="27"/>
      <c r="AH203" s="27"/>
      <c r="AI203" s="37"/>
    </row>
    <row r="204" customFormat="false" ht="19.7" hidden="false" customHeight="false" outlineLevel="0" collapsed="false">
      <c r="A204" s="172" t="s">
        <v>95</v>
      </c>
      <c r="B204" s="75" t="s">
        <v>96</v>
      </c>
      <c r="C204" s="75"/>
      <c r="D204" s="75"/>
      <c r="E204" s="27"/>
      <c r="F204" s="27"/>
      <c r="G204" s="27"/>
      <c r="H204" s="37"/>
      <c r="J204" s="172" t="s">
        <v>95</v>
      </c>
      <c r="K204" s="173" t="s">
        <v>96</v>
      </c>
      <c r="L204" s="173"/>
      <c r="M204" s="173"/>
      <c r="N204" s="27"/>
      <c r="O204" s="27"/>
      <c r="P204" s="27"/>
      <c r="Q204" s="37"/>
      <c r="S204" s="172" t="s">
        <v>95</v>
      </c>
      <c r="T204" s="75" t="s">
        <v>96</v>
      </c>
      <c r="U204" s="75"/>
      <c r="V204" s="75"/>
      <c r="W204" s="27"/>
      <c r="X204" s="27"/>
      <c r="Y204" s="27"/>
      <c r="Z204" s="37"/>
      <c r="AB204" s="172" t="s">
        <v>95</v>
      </c>
      <c r="AC204" s="75" t="s">
        <v>96</v>
      </c>
      <c r="AD204" s="75"/>
      <c r="AE204" s="75"/>
      <c r="AF204" s="27"/>
      <c r="AG204" s="27"/>
      <c r="AH204" s="27"/>
      <c r="AI204" s="37"/>
    </row>
    <row r="205" customFormat="false" ht="19.5" hidden="false" customHeight="true" outlineLevel="0" collapsed="false">
      <c r="A205" s="172"/>
      <c r="B205" s="76" t="str">
        <f aca="false">K30</f>
        <v>5000</v>
      </c>
      <c r="C205" s="76"/>
      <c r="D205" s="76"/>
      <c r="E205" s="27"/>
      <c r="F205" s="27"/>
      <c r="G205" s="27"/>
      <c r="H205" s="37"/>
      <c r="J205" s="172"/>
      <c r="K205" s="174" t="str">
        <f aca="false">K30</f>
        <v>5000</v>
      </c>
      <c r="L205" s="174"/>
      <c r="M205" s="174"/>
      <c r="N205" s="27"/>
      <c r="O205" s="27"/>
      <c r="P205" s="27"/>
      <c r="Q205" s="37"/>
      <c r="S205" s="172"/>
      <c r="T205" s="76" t="str">
        <f aca="false">K30</f>
        <v>5000</v>
      </c>
      <c r="U205" s="76"/>
      <c r="V205" s="76"/>
      <c r="W205" s="27"/>
      <c r="X205" s="27"/>
      <c r="Y205" s="27"/>
      <c r="Z205" s="37"/>
      <c r="AB205" s="172"/>
      <c r="AC205" s="76" t="str">
        <f aca="false">K30</f>
        <v>5000</v>
      </c>
      <c r="AD205" s="76"/>
      <c r="AE205" s="76"/>
      <c r="AF205" s="27"/>
      <c r="AG205" s="27"/>
      <c r="AH205" s="27"/>
      <c r="AI205" s="37"/>
    </row>
    <row r="206" customFormat="false" ht="18.75" hidden="false" customHeight="false" outlineLevel="0" collapsed="false">
      <c r="A206" s="77" t="str">
        <f aca="false">K29</f>
        <v>33</v>
      </c>
      <c r="B206" s="78" t="n">
        <f aca="false">B105</f>
        <v>1736.06693116527</v>
      </c>
      <c r="C206" s="78"/>
      <c r="D206" s="78"/>
      <c r="E206" s="27"/>
      <c r="F206" s="27"/>
      <c r="G206" s="27"/>
      <c r="H206" s="37"/>
      <c r="J206" s="77" t="str">
        <f aca="false">K29</f>
        <v>33</v>
      </c>
      <c r="K206" s="78" t="n">
        <f aca="false">K105</f>
        <v>1526.9778000252</v>
      </c>
      <c r="L206" s="78"/>
      <c r="M206" s="78"/>
      <c r="N206" s="27"/>
      <c r="O206" s="27"/>
      <c r="P206" s="27"/>
      <c r="Q206" s="37"/>
      <c r="S206" s="77" t="str">
        <f aca="false">K29</f>
        <v>33</v>
      </c>
      <c r="T206" s="78" t="n">
        <f aca="false">T105</f>
        <v>1542.50480957248</v>
      </c>
      <c r="U206" s="78"/>
      <c r="V206" s="78"/>
      <c r="W206" s="27"/>
      <c r="X206" s="27"/>
      <c r="Y206" s="27"/>
      <c r="Z206" s="37"/>
      <c r="AB206" s="77" t="str">
        <f aca="false">K29</f>
        <v>33</v>
      </c>
      <c r="AC206" s="78" t="n">
        <f aca="false">AC105</f>
        <v>1542.50480957248</v>
      </c>
      <c r="AD206" s="78"/>
      <c r="AE206" s="78"/>
      <c r="AF206" s="27"/>
      <c r="AG206" s="27"/>
      <c r="AH206" s="27"/>
      <c r="AI206" s="37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  <c r="J207" s="35"/>
      <c r="K207" s="36"/>
      <c r="L207" s="36"/>
      <c r="M207" s="36"/>
      <c r="N207" s="27"/>
      <c r="O207" s="27"/>
      <c r="P207" s="27"/>
      <c r="Q207" s="37"/>
      <c r="S207" s="35"/>
      <c r="T207" s="36"/>
      <c r="U207" s="36"/>
      <c r="V207" s="36"/>
      <c r="W207" s="27"/>
      <c r="X207" s="27"/>
      <c r="Y207" s="27"/>
      <c r="Z207" s="37"/>
      <c r="AB207" s="35"/>
      <c r="AC207" s="36"/>
      <c r="AD207" s="36"/>
      <c r="AE207" s="36"/>
      <c r="AF207" s="27"/>
      <c r="AG207" s="27"/>
      <c r="AH207" s="27"/>
      <c r="AI207" s="37"/>
    </row>
    <row r="208" customFormat="false" ht="18.75" hidden="false" customHeight="false" outlineLevel="0" collapsed="false">
      <c r="A208" s="35"/>
      <c r="B208" s="36"/>
      <c r="C208" s="36"/>
      <c r="D208" s="36"/>
      <c r="E208" s="27"/>
      <c r="F208" s="27"/>
      <c r="G208" s="27"/>
      <c r="H208" s="37"/>
      <c r="J208" s="35"/>
      <c r="K208" s="36"/>
      <c r="L208" s="36"/>
      <c r="M208" s="36"/>
      <c r="N208" s="27"/>
      <c r="O208" s="27"/>
      <c r="P208" s="27"/>
      <c r="Q208" s="37"/>
      <c r="S208" s="35"/>
      <c r="T208" s="36"/>
      <c r="U208" s="36"/>
      <c r="V208" s="36"/>
      <c r="W208" s="27"/>
      <c r="X208" s="27"/>
      <c r="Y208" s="27"/>
      <c r="Z208" s="37"/>
      <c r="AB208" s="35"/>
      <c r="AC208" s="36"/>
      <c r="AD208" s="36"/>
      <c r="AE208" s="36"/>
      <c r="AF208" s="27"/>
      <c r="AG208" s="27"/>
      <c r="AH208" s="27"/>
      <c r="AI208" s="37"/>
    </row>
    <row r="209" customFormat="false" ht="18.75" hidden="false" customHeight="false" outlineLevel="0" collapsed="false">
      <c r="A209" s="35" t="s">
        <v>216</v>
      </c>
      <c r="B209" s="36" t="s">
        <v>217</v>
      </c>
      <c r="C209" s="36"/>
      <c r="D209" s="36"/>
      <c r="E209" s="27"/>
      <c r="F209" s="27"/>
      <c r="G209" s="27"/>
      <c r="H209" s="37"/>
      <c r="J209" s="35"/>
      <c r="K209" s="36"/>
      <c r="L209" s="36"/>
      <c r="M209" s="36"/>
      <c r="N209" s="27"/>
      <c r="O209" s="27"/>
      <c r="P209" s="27"/>
      <c r="Q209" s="37"/>
      <c r="S209" s="35"/>
      <c r="T209" s="36"/>
      <c r="U209" s="36"/>
      <c r="V209" s="36"/>
      <c r="W209" s="27"/>
      <c r="X209" s="27"/>
      <c r="Y209" s="27"/>
      <c r="Z209" s="37"/>
      <c r="AB209" s="35"/>
      <c r="AC209" s="36"/>
      <c r="AD209" s="36"/>
      <c r="AE209" s="36"/>
      <c r="AF209" s="27"/>
      <c r="AG209" s="27"/>
      <c r="AH209" s="27"/>
      <c r="AI209" s="37"/>
    </row>
    <row r="210" customFormat="false" ht="18.75" hidden="false" customHeight="false" outlineLevel="0" collapsed="false">
      <c r="A210" s="40" t="n">
        <f aca="false">IF(A49=0,((G176*(B68+1))-E188),((G176*B68)+E194-E188-A194))</f>
        <v>1198.24391999999</v>
      </c>
      <c r="B210" s="47" t="n">
        <f aca="false">ROUND((E188+A210+(B191*1.2)+A194),2)</f>
        <v>57592.03</v>
      </c>
      <c r="C210" s="36"/>
      <c r="D210" s="36"/>
      <c r="E210" s="27"/>
      <c r="F210" s="27"/>
      <c r="G210" s="27"/>
      <c r="H210" s="37"/>
      <c r="J210" s="35"/>
      <c r="K210" s="36"/>
      <c r="L210" s="36"/>
      <c r="M210" s="36"/>
      <c r="N210" s="27"/>
      <c r="O210" s="27"/>
      <c r="P210" s="27"/>
      <c r="Q210" s="37"/>
      <c r="S210" s="35"/>
      <c r="T210" s="36"/>
      <c r="U210" s="36"/>
      <c r="V210" s="36"/>
      <c r="W210" s="27"/>
      <c r="X210" s="27"/>
      <c r="Y210" s="27"/>
      <c r="Z210" s="37"/>
      <c r="AB210" s="35"/>
      <c r="AC210" s="36"/>
      <c r="AD210" s="36"/>
      <c r="AE210" s="36"/>
      <c r="AF210" s="27"/>
      <c r="AG210" s="27"/>
      <c r="AH210" s="27"/>
      <c r="AI210" s="37"/>
    </row>
    <row r="211" customFormat="false" ht="18.75" hidden="false" customHeight="false" outlineLevel="0" collapsed="false">
      <c r="A211" s="60"/>
      <c r="B211" s="61"/>
      <c r="C211" s="61"/>
      <c r="D211" s="61"/>
      <c r="E211" s="61"/>
      <c r="F211" s="61"/>
      <c r="G211" s="61"/>
      <c r="H211" s="69"/>
      <c r="J211" s="60"/>
      <c r="K211" s="61"/>
      <c r="L211" s="61"/>
      <c r="M211" s="61"/>
      <c r="N211" s="61"/>
      <c r="O211" s="61"/>
      <c r="P211" s="61"/>
      <c r="Q211" s="69"/>
      <c r="S211" s="60"/>
      <c r="T211" s="61"/>
      <c r="U211" s="61"/>
      <c r="V211" s="61"/>
      <c r="W211" s="61"/>
      <c r="X211" s="61"/>
      <c r="Y211" s="61"/>
      <c r="Z211" s="69"/>
      <c r="AB211" s="60"/>
      <c r="AC211" s="61"/>
      <c r="AD211" s="61"/>
      <c r="AE211" s="61"/>
      <c r="AF211" s="61"/>
      <c r="AG211" s="61"/>
      <c r="AH211" s="61"/>
      <c r="AI211" s="69"/>
    </row>
    <row r="215" customFormat="false" ht="22.05" hidden="false" customHeight="false" outlineLevel="0" collapsed="false">
      <c r="A215" s="175" t="s">
        <v>193</v>
      </c>
      <c r="B215" s="175"/>
      <c r="C215" s="175"/>
      <c r="D215" s="175"/>
      <c r="E215" s="175"/>
      <c r="F215" s="175"/>
      <c r="G215" s="175"/>
      <c r="H215" s="175"/>
    </row>
    <row r="216" customFormat="false" ht="18.75" hidden="false" customHeight="false" outlineLevel="0" collapsed="false">
      <c r="A216" s="35"/>
      <c r="B216" s="36"/>
      <c r="C216" s="36"/>
      <c r="D216" s="36"/>
      <c r="E216" s="27"/>
      <c r="F216" s="27"/>
      <c r="G216" s="27"/>
      <c r="H216" s="37"/>
    </row>
    <row r="217" customFormat="false" ht="18.75" hidden="false" customHeight="false" outlineLevel="0" collapsed="false">
      <c r="A217" s="176" t="s">
        <v>138</v>
      </c>
      <c r="B217" s="177" t="s">
        <v>52</v>
      </c>
      <c r="C217" s="177"/>
      <c r="D217" s="177"/>
      <c r="E217" s="177" t="s">
        <v>53</v>
      </c>
      <c r="F217" s="178"/>
      <c r="G217" s="27"/>
      <c r="H217" s="37"/>
    </row>
    <row r="218" customFormat="false" ht="18.75" hidden="false" customHeight="false" outlineLevel="0" collapsed="false">
      <c r="A218" s="179" t="s">
        <v>218</v>
      </c>
      <c r="B218" s="164" t="str">
        <f aca="false">A206</f>
        <v>33</v>
      </c>
      <c r="C218" s="164"/>
      <c r="D218" s="164"/>
      <c r="E218" s="164" t="str">
        <f aca="false">B205</f>
        <v>5000</v>
      </c>
      <c r="F218" s="178"/>
      <c r="G218" s="27"/>
      <c r="H218" s="37"/>
    </row>
    <row r="219" customFormat="false" ht="18.75" hidden="false" customHeight="false" outlineLevel="0" collapsed="false">
      <c r="A219" s="35"/>
      <c r="B219" s="36"/>
      <c r="C219" s="36"/>
      <c r="D219" s="36"/>
      <c r="E219" s="27"/>
      <c r="F219" s="27"/>
      <c r="G219" s="27"/>
      <c r="H219" s="37"/>
    </row>
    <row r="220" customFormat="false" ht="18.75" hidden="false" customHeight="false" outlineLevel="0" collapsed="false">
      <c r="A220" s="176" t="s">
        <v>195</v>
      </c>
      <c r="B220" s="177" t="s">
        <v>196</v>
      </c>
      <c r="C220" s="177"/>
      <c r="D220" s="177"/>
      <c r="E220" s="177" t="s">
        <v>197</v>
      </c>
      <c r="F220" s="27"/>
      <c r="G220" s="27"/>
      <c r="H220" s="37"/>
    </row>
    <row r="221" customFormat="false" ht="18.75" hidden="false" customHeight="false" outlineLevel="0" collapsed="false">
      <c r="A221" s="165" t="n">
        <f aca="false">A176</f>
        <v>1736.06693116527</v>
      </c>
      <c r="B221" s="166" t="n">
        <f aca="false">B176</f>
        <v>0</v>
      </c>
      <c r="C221" s="164"/>
      <c r="D221" s="164"/>
      <c r="E221" s="166" t="n">
        <f aca="false">E176</f>
        <v>1736.06693116527</v>
      </c>
      <c r="F221" s="27"/>
      <c r="G221" s="27"/>
      <c r="H221" s="37"/>
    </row>
    <row r="222" customFormat="false" ht="18.75" hidden="false" customHeight="false" outlineLevel="0" collapsed="false">
      <c r="A222" s="35"/>
      <c r="B222" s="36"/>
      <c r="C222" s="36"/>
      <c r="D222" s="36"/>
      <c r="E222" s="27"/>
      <c r="F222" s="27"/>
      <c r="G222" s="27"/>
      <c r="H222" s="37"/>
    </row>
    <row r="223" customFormat="false" ht="18.75" hidden="false" customHeight="false" outlineLevel="0" collapsed="false">
      <c r="A223" s="35" t="s">
        <v>200</v>
      </c>
      <c r="B223" s="36" t="s">
        <v>201</v>
      </c>
      <c r="C223" s="36"/>
      <c r="D223" s="27"/>
      <c r="E223" s="36" t="s">
        <v>202</v>
      </c>
      <c r="F223" s="27"/>
      <c r="G223" s="27"/>
      <c r="H223" s="37"/>
    </row>
    <row r="224" customFormat="false" ht="18.75" hidden="false" customHeight="false" outlineLevel="0" collapsed="false">
      <c r="A224" s="171" t="n">
        <f aca="false">A182</f>
        <v>43278.1634</v>
      </c>
      <c r="B224" s="42" t="n">
        <f aca="false">B182</f>
        <v>8655.63268</v>
      </c>
      <c r="C224" s="47"/>
      <c r="D224" s="27"/>
      <c r="E224" s="170" t="n">
        <f aca="false">E182</f>
        <v>1095</v>
      </c>
      <c r="F224" s="27"/>
      <c r="G224" s="27"/>
      <c r="H224" s="3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203</v>
      </c>
      <c r="B226" s="36" t="s">
        <v>149</v>
      </c>
      <c r="C226" s="36"/>
      <c r="D226" s="27"/>
      <c r="E226" s="36" t="s">
        <v>150</v>
      </c>
      <c r="F226" s="27"/>
      <c r="G226" s="27"/>
      <c r="H226" s="37"/>
    </row>
    <row r="227" customFormat="false" ht="18.75" hidden="false" customHeight="false" outlineLevel="0" collapsed="false">
      <c r="A227" s="171" t="n">
        <f aca="false">A185</f>
        <v>53028.79608</v>
      </c>
      <c r="B227" s="42" t="n">
        <f aca="false">B185</f>
        <v>0</v>
      </c>
      <c r="C227" s="42"/>
      <c r="D227" s="27"/>
      <c r="E227" s="42" t="n">
        <f aca="false">E185</f>
        <v>0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27"/>
      <c r="E228" s="36"/>
      <c r="F228" s="27"/>
      <c r="G228" s="27"/>
      <c r="H228" s="37"/>
    </row>
    <row r="229" customFormat="false" ht="18.75" hidden="false" customHeight="false" outlineLevel="0" collapsed="false">
      <c r="A229" s="35" t="s">
        <v>151</v>
      </c>
      <c r="B229" s="36" t="s">
        <v>186</v>
      </c>
      <c r="C229" s="36"/>
      <c r="D229" s="27"/>
      <c r="E229" s="36" t="s">
        <v>192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A188</f>
        <v>0</v>
      </c>
      <c r="B230" s="42" t="n">
        <f aca="false">B188</f>
        <v>0</v>
      </c>
      <c r="C230" s="42"/>
      <c r="D230" s="27"/>
      <c r="E230" s="42" t="n">
        <f aca="false">E188</f>
        <v>56128.79608</v>
      </c>
      <c r="F230" s="27"/>
      <c r="G230" s="27"/>
      <c r="H230" s="107"/>
    </row>
    <row r="231" customFormat="false" ht="18.75" hidden="false" customHeight="false" outlineLevel="0" collapsed="false">
      <c r="A231" s="35"/>
      <c r="B231" s="36"/>
      <c r="C231" s="36"/>
      <c r="D231" s="27"/>
      <c r="E231" s="36"/>
      <c r="F231" s="27"/>
      <c r="G231" s="27"/>
      <c r="H231" s="37"/>
    </row>
    <row r="232" customFormat="false" ht="18.75" hidden="false" customHeight="false" outlineLevel="0" collapsed="false">
      <c r="A232" s="35" t="s">
        <v>204</v>
      </c>
      <c r="B232" s="36" t="s">
        <v>66</v>
      </c>
      <c r="C232" s="36"/>
      <c r="D232" s="27"/>
      <c r="E232" s="36" t="s">
        <v>205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A191</f>
        <v>5425.34571728869</v>
      </c>
      <c r="B233" s="42" t="n">
        <f aca="false">B191</f>
        <v>199.991666666667</v>
      </c>
      <c r="C233" s="42"/>
      <c r="D233" s="27"/>
      <c r="E233" s="42" t="n">
        <f aca="false">E191</f>
        <v>61819.1317972887</v>
      </c>
      <c r="F233" s="27"/>
      <c r="G233" s="27"/>
      <c r="H233" s="107"/>
    </row>
    <row r="234" customFormat="false" ht="18.75" hidden="false" customHeight="false" outlineLevel="0" collapsed="false">
      <c r="A234" s="35"/>
      <c r="B234" s="36"/>
      <c r="C234" s="36"/>
      <c r="D234" s="27"/>
      <c r="E234" s="36"/>
      <c r="F234" s="27"/>
      <c r="G234" s="27"/>
      <c r="H234" s="37"/>
    </row>
    <row r="235" customFormat="false" ht="18.75" hidden="false" customHeight="false" outlineLevel="0" collapsed="false">
      <c r="A235" s="35" t="s">
        <v>206</v>
      </c>
      <c r="B235" s="36" t="s">
        <v>207</v>
      </c>
      <c r="C235" s="36"/>
      <c r="D235" s="27"/>
      <c r="E235" s="36" t="s">
        <v>219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A194</f>
        <v>25</v>
      </c>
      <c r="B236" s="42" t="n">
        <f aca="false">B194</f>
        <v>239.99</v>
      </c>
      <c r="C236" s="42"/>
      <c r="D236" s="27"/>
      <c r="E236" s="42" t="n">
        <f aca="false">B68</f>
        <v>32</v>
      </c>
      <c r="F236" s="27"/>
      <c r="G236" s="27"/>
      <c r="H236" s="107"/>
    </row>
    <row r="237" customFormat="false" ht="18.75" hidden="false" customHeight="false" outlineLevel="0" collapsed="false">
      <c r="A237" s="35"/>
      <c r="B237" s="36"/>
      <c r="C237" s="36"/>
      <c r="D237" s="36"/>
      <c r="E237" s="27"/>
      <c r="F237" s="27"/>
      <c r="G237" s="27"/>
      <c r="H237" s="37"/>
    </row>
    <row r="238" customFormat="false" ht="18.75" hidden="false" customHeight="false" outlineLevel="0" collapsed="false">
      <c r="A238" s="35" t="s">
        <v>195</v>
      </c>
      <c r="B238" s="36" t="s">
        <v>196</v>
      </c>
      <c r="C238" s="36"/>
      <c r="D238" s="36"/>
      <c r="E238" s="36" t="s">
        <v>197</v>
      </c>
      <c r="F238" s="27"/>
      <c r="G238" s="27"/>
      <c r="H238" s="37"/>
    </row>
    <row r="239" customFormat="false" ht="18.75" hidden="false" customHeight="false" outlineLevel="0" collapsed="false">
      <c r="A239" s="113" t="n">
        <f aca="false">A176</f>
        <v>1736.06693116527</v>
      </c>
      <c r="B239" s="42" t="n">
        <f aca="false">B176</f>
        <v>0</v>
      </c>
      <c r="C239" s="47"/>
      <c r="D239" s="47"/>
      <c r="E239" s="42" t="n">
        <f aca="false">E176</f>
        <v>1736.06693116527</v>
      </c>
      <c r="F239" s="27"/>
      <c r="G239" s="27"/>
      <c r="H239" s="37"/>
    </row>
    <row r="240" customFormat="false" ht="18.75" hidden="false" customHeight="false" outlineLevel="0" collapsed="false">
      <c r="A240" s="35"/>
      <c r="B240" s="36"/>
      <c r="C240" s="36"/>
      <c r="D240" s="36"/>
      <c r="E240" s="27"/>
      <c r="F240" s="27"/>
      <c r="G240" s="27"/>
      <c r="H240" s="37"/>
    </row>
    <row r="241" customFormat="false" ht="18.75" hidden="false" customHeight="false" outlineLevel="0" collapsed="false">
      <c r="A241" s="35" t="s">
        <v>220</v>
      </c>
      <c r="B241" s="36" t="s">
        <v>221</v>
      </c>
      <c r="C241" s="36"/>
      <c r="D241" s="36"/>
      <c r="E241" s="36" t="s">
        <v>80</v>
      </c>
      <c r="F241" s="27"/>
      <c r="G241" s="27"/>
      <c r="H241" s="37"/>
    </row>
    <row r="242" customFormat="false" ht="18.75" hidden="false" customHeight="false" outlineLevel="0" collapsed="false">
      <c r="A242" s="113" t="n">
        <f aca="false">E179</f>
        <v>6000</v>
      </c>
      <c r="B242" s="42" t="n">
        <f aca="false">E194</f>
        <v>6025</v>
      </c>
      <c r="C242" s="36"/>
      <c r="D242" s="36"/>
      <c r="E242" s="42" t="n">
        <f aca="false">J18*0.000006*100</f>
        <v>31.7939976</v>
      </c>
      <c r="F242" s="27"/>
      <c r="G242" s="27"/>
      <c r="H242" s="37"/>
    </row>
    <row r="243" customFormat="false" ht="18.75" hidden="false" customHeight="false" outlineLevel="0" collapsed="false">
      <c r="A243" s="113"/>
      <c r="B243" s="42"/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64" t="s">
        <v>222</v>
      </c>
      <c r="B244" s="43" t="s">
        <v>85</v>
      </c>
      <c r="C244" s="36"/>
      <c r="D244" s="36"/>
      <c r="E244" s="43" t="s">
        <v>143</v>
      </c>
      <c r="F244" s="27"/>
      <c r="G244" s="27"/>
      <c r="H244" s="37"/>
    </row>
    <row r="245" customFormat="false" ht="18.75" hidden="false" customHeight="false" outlineLevel="0" collapsed="false">
      <c r="A245" s="113" t="n">
        <f aca="false">A197</f>
        <v>10.5979992</v>
      </c>
      <c r="B245" s="42" t="n">
        <f aca="false">E242+A245</f>
        <v>42.3919968</v>
      </c>
      <c r="C245" s="36"/>
      <c r="D245" s="36"/>
      <c r="E245" s="42"/>
      <c r="F245" s="27"/>
      <c r="G245" s="27"/>
      <c r="H245" s="37"/>
    </row>
    <row r="246" customFormat="false" ht="18.75" hidden="false" customHeight="false" outlineLevel="0" collapsed="false">
      <c r="A246" s="113"/>
      <c r="B246" s="42"/>
      <c r="C246" s="36"/>
      <c r="D246" s="36"/>
      <c r="E246" s="42"/>
      <c r="F246" s="27"/>
      <c r="G246" s="27"/>
      <c r="H246" s="37"/>
    </row>
    <row r="247" customFormat="false" ht="22.05" hidden="false" customHeight="false" outlineLevel="0" collapsed="false">
      <c r="A247" s="180" t="s">
        <v>223</v>
      </c>
      <c r="B247" s="180"/>
      <c r="C247" s="180"/>
      <c r="D247" s="180"/>
      <c r="E247" s="180"/>
      <c r="F247" s="180"/>
      <c r="G247" s="180"/>
      <c r="H247" s="180"/>
    </row>
    <row r="248" customFormat="false" ht="18.75" hidden="false" customHeight="false" outlineLevel="0" collapsed="false">
      <c r="A248" s="35" t="s">
        <v>224</v>
      </c>
      <c r="B248" s="36" t="s">
        <v>210</v>
      </c>
      <c r="C248" s="36"/>
      <c r="D248" s="36"/>
      <c r="E248" s="43" t="s">
        <v>211</v>
      </c>
      <c r="F248" s="27"/>
      <c r="G248" s="27"/>
      <c r="H248" s="37"/>
    </row>
    <row r="249" customFormat="false" ht="18.75" hidden="false" customHeight="false" outlineLevel="0" collapsed="false">
      <c r="A249" s="113" t="n">
        <f aca="false">H157</f>
        <v>0</v>
      </c>
      <c r="B249" s="42" t="n">
        <f aca="false">B197</f>
        <v>841.9319412</v>
      </c>
      <c r="C249" s="36"/>
      <c r="D249" s="36"/>
      <c r="E249" s="42" t="n">
        <f aca="false">E197</f>
        <v>0</v>
      </c>
      <c r="F249" s="27"/>
      <c r="G249" s="27"/>
      <c r="H249" s="37"/>
    </row>
    <row r="250" customFormat="false" ht="18.75" hidden="false" customHeight="false" outlineLevel="0" collapsed="false">
      <c r="A250" s="113"/>
      <c r="B250" s="42"/>
      <c r="C250" s="36"/>
      <c r="D250" s="36"/>
      <c r="E250" s="27"/>
      <c r="F250" s="27"/>
      <c r="G250" s="27"/>
      <c r="H250" s="37"/>
    </row>
    <row r="251" customFormat="false" ht="18.75" hidden="false" customHeight="false" outlineLevel="0" collapsed="false">
      <c r="A251" s="64" t="s">
        <v>212</v>
      </c>
      <c r="B251" s="43" t="s">
        <v>213</v>
      </c>
      <c r="C251" s="36"/>
      <c r="D251" s="36"/>
      <c r="E251" s="43"/>
      <c r="F251" s="27"/>
      <c r="G251" s="27"/>
      <c r="H251" s="37"/>
    </row>
    <row r="252" customFormat="false" ht="18.75" hidden="false" customHeight="false" outlineLevel="0" collapsed="false">
      <c r="A252" s="113" t="n">
        <f aca="false">A200</f>
        <v>20</v>
      </c>
      <c r="B252" s="42" t="n">
        <f aca="false">B249+E249+A252+A249-H165</f>
        <v>-2238.0680588</v>
      </c>
      <c r="C252" s="36"/>
      <c r="D252" s="36"/>
      <c r="E252" s="42"/>
      <c r="F252" s="27"/>
      <c r="G252" s="27"/>
      <c r="H252" s="37"/>
    </row>
    <row r="253" customFormat="false" ht="18.75" hidden="false" customHeight="false" outlineLevel="0" collapsed="false">
      <c r="A253" s="35"/>
      <c r="B253" s="36"/>
      <c r="C253" s="36"/>
      <c r="D253" s="36"/>
      <c r="E253" s="27"/>
      <c r="F253" s="27"/>
      <c r="G253" s="27"/>
      <c r="H253" s="37"/>
    </row>
    <row r="254" customFormat="false" ht="18.75" hidden="false" customHeight="false" outlineLevel="0" collapsed="false">
      <c r="A254" s="60"/>
      <c r="B254" s="61"/>
      <c r="C254" s="61"/>
      <c r="D254" s="61"/>
      <c r="E254" s="61"/>
      <c r="F254" s="61"/>
      <c r="G254" s="61"/>
      <c r="H254" s="69"/>
    </row>
    <row r="260" customFormat="false" ht="22.05" hidden="false" customHeight="false" outlineLevel="0" collapsed="false">
      <c r="A260" s="175" t="s">
        <v>225</v>
      </c>
      <c r="B260" s="175"/>
      <c r="C260" s="175"/>
      <c r="D260" s="175"/>
      <c r="E260" s="175"/>
      <c r="F260" s="175"/>
      <c r="G260" s="175"/>
      <c r="H260" s="175"/>
    </row>
    <row r="261" customFormat="false" ht="18.75" hidden="false" customHeight="false" outlineLevel="0" collapsed="false">
      <c r="A261" s="35"/>
      <c r="B261" s="36"/>
      <c r="C261" s="36"/>
      <c r="D261" s="36"/>
      <c r="E261" s="27"/>
      <c r="F261" s="27"/>
      <c r="G261" s="27"/>
      <c r="H261" s="37"/>
    </row>
    <row r="262" customFormat="false" ht="18.75" hidden="false" customHeight="false" outlineLevel="0" collapsed="false">
      <c r="A262" s="176" t="s">
        <v>226</v>
      </c>
      <c r="B262" s="181" t="n">
        <f aca="false">B72</f>
        <v>0.065</v>
      </c>
      <c r="C262" s="182"/>
      <c r="D262" s="183" t="s">
        <v>227</v>
      </c>
      <c r="E262" s="183"/>
      <c r="F262" s="181" t="n">
        <f aca="false">B92</f>
        <v>0.115</v>
      </c>
      <c r="G262" s="27"/>
      <c r="H262" s="37"/>
    </row>
    <row r="263" customFormat="false" ht="18.75" hidden="false" customHeight="false" outlineLevel="0" collapsed="false">
      <c r="A263" s="176" t="s">
        <v>228</v>
      </c>
      <c r="B263" s="185" t="n">
        <f aca="false">(E191-B191)-(B210-B191-A194)</f>
        <v>4252.1017972887</v>
      </c>
      <c r="C263" s="182"/>
      <c r="D263" s="183" t="s">
        <v>229</v>
      </c>
      <c r="E263" s="183"/>
      <c r="F263" s="185" t="n">
        <f aca="false">F270+F276+F278+B279+B280</f>
        <v>841.9319412</v>
      </c>
      <c r="G263" s="27"/>
      <c r="H263" s="37"/>
    </row>
    <row r="264" customFormat="false" ht="18.75" hidden="false" customHeight="false" outlineLevel="0" collapsed="false">
      <c r="A264" s="176" t="s">
        <v>230</v>
      </c>
      <c r="B264" s="185" t="n">
        <f aca="false">F271+B272</f>
        <v>20</v>
      </c>
      <c r="C264" s="182"/>
      <c r="D264" s="183" t="s">
        <v>231</v>
      </c>
      <c r="E264" s="183"/>
      <c r="F264" s="185" t="n">
        <f aca="false">(B263-F263)+B264</f>
        <v>3430.1698560887</v>
      </c>
      <c r="G264" s="27"/>
      <c r="H264" s="37"/>
    </row>
    <row r="265" customFormat="false" ht="18.75" hidden="false" customHeight="false" outlineLevel="0" collapsed="false">
      <c r="A265" s="186"/>
      <c r="B265" s="182"/>
      <c r="C265" s="187"/>
      <c r="D265" s="187"/>
      <c r="E265" s="187"/>
      <c r="F265" s="187"/>
      <c r="G265" s="188"/>
      <c r="H265" s="189"/>
    </row>
    <row r="266" customFormat="false" ht="18.75" hidden="false" customHeight="false" outlineLevel="0" collapsed="false">
      <c r="A266" s="35" t="s">
        <v>226</v>
      </c>
      <c r="B266" s="190" t="n">
        <f aca="false">B262</f>
        <v>0.065</v>
      </c>
      <c r="C266" s="182"/>
      <c r="D266" s="182"/>
      <c r="E266" s="182"/>
      <c r="F266" s="182"/>
      <c r="G266" s="27"/>
      <c r="H266" s="37"/>
    </row>
    <row r="267" customFormat="false" ht="18.75" hidden="false" customHeight="false" outlineLevel="0" collapsed="false">
      <c r="A267" s="191"/>
      <c r="B267" s="192"/>
      <c r="C267" s="193"/>
      <c r="D267" s="193"/>
      <c r="E267" s="188"/>
      <c r="F267" s="188"/>
      <c r="G267" s="188"/>
      <c r="H267" s="189"/>
    </row>
    <row r="268" customFormat="false" ht="18.75" hidden="false" customHeight="false" outlineLevel="0" collapsed="false">
      <c r="A268" s="35" t="s">
        <v>232</v>
      </c>
      <c r="B268" s="190" t="n">
        <f aca="false">B73</f>
        <v>0.05</v>
      </c>
      <c r="C268" s="36"/>
      <c r="D268" s="156" t="s">
        <v>233</v>
      </c>
      <c r="E268" s="156"/>
      <c r="F268" s="190" t="n">
        <v>0</v>
      </c>
      <c r="G268" s="27"/>
      <c r="H268" s="37"/>
    </row>
    <row r="269" customFormat="false" ht="18.75" hidden="false" customHeight="false" outlineLevel="0" collapsed="false">
      <c r="A269" s="112" t="s">
        <v>227</v>
      </c>
      <c r="B269" s="194" t="n">
        <f aca="false">B92</f>
        <v>0.115</v>
      </c>
      <c r="C269" s="47"/>
      <c r="D269" s="156" t="s">
        <v>228</v>
      </c>
      <c r="E269" s="156"/>
      <c r="F269" s="135" t="n">
        <f aca="false">B263</f>
        <v>4252.1017972887</v>
      </c>
      <c r="G269" s="27"/>
      <c r="H269" s="37"/>
    </row>
    <row r="270" customFormat="false" ht="18.75" hidden="false" customHeight="false" outlineLevel="0" collapsed="false">
      <c r="A270" s="35" t="s">
        <v>234</v>
      </c>
      <c r="B270" s="194" t="n">
        <f aca="false">B76</f>
        <v>0.015</v>
      </c>
      <c r="C270" s="36"/>
      <c r="D270" s="156" t="s">
        <v>234</v>
      </c>
      <c r="E270" s="156"/>
      <c r="F270" s="142" t="n">
        <f aca="false">B77</f>
        <v>841.9319412</v>
      </c>
      <c r="G270" s="27"/>
      <c r="H270" s="37"/>
    </row>
    <row r="271" customFormat="false" ht="18.75" hidden="false" customHeight="false" outlineLevel="0" collapsed="false">
      <c r="A271" s="35" t="s">
        <v>235</v>
      </c>
      <c r="B271" s="190" t="n">
        <f aca="false">A117</f>
        <v>0.2</v>
      </c>
      <c r="C271" s="36"/>
      <c r="D271" s="156" t="s">
        <v>235</v>
      </c>
      <c r="E271" s="156"/>
      <c r="F271" s="135" t="n">
        <f aca="false">E249*10</f>
        <v>0</v>
      </c>
      <c r="G271" s="27"/>
      <c r="H271" s="37"/>
    </row>
    <row r="272" customFormat="false" ht="18.75" hidden="false" customHeight="false" outlineLevel="0" collapsed="false">
      <c r="A272" s="35" t="s">
        <v>236</v>
      </c>
      <c r="B272" s="135" t="n">
        <f aca="false">A252</f>
        <v>20</v>
      </c>
      <c r="C272" s="36"/>
      <c r="D272" s="43" t="s">
        <v>231</v>
      </c>
      <c r="E272" s="43"/>
      <c r="F272" s="135" t="n">
        <f aca="false">(B263-F263)+B264</f>
        <v>3430.1698560887</v>
      </c>
      <c r="G272" s="27"/>
      <c r="H272" s="37"/>
    </row>
    <row r="273" customFormat="false" ht="18.75" hidden="false" customHeight="false" outlineLevel="0" collapsed="false">
      <c r="A273" s="113"/>
      <c r="B273" s="42"/>
      <c r="C273" s="36"/>
      <c r="D273" s="36"/>
      <c r="E273" s="42"/>
      <c r="F273" s="27"/>
      <c r="G273" s="27"/>
      <c r="H273" s="37"/>
    </row>
    <row r="274" customFormat="false" ht="22.05" hidden="false" customHeight="false" outlineLevel="0" collapsed="false">
      <c r="A274" s="180" t="s">
        <v>237</v>
      </c>
      <c r="B274" s="180"/>
      <c r="C274" s="180"/>
      <c r="D274" s="180"/>
      <c r="E274" s="180"/>
      <c r="F274" s="180"/>
      <c r="G274" s="180"/>
      <c r="H274" s="180"/>
    </row>
    <row r="275" customFormat="false" ht="18.75" hidden="false" customHeight="false" outlineLevel="0" collapsed="false">
      <c r="A275" s="35" t="s">
        <v>238</v>
      </c>
      <c r="B275" s="142" t="n">
        <v>0</v>
      </c>
      <c r="C275" s="36"/>
      <c r="D275" s="195" t="s">
        <v>239</v>
      </c>
      <c r="E275" s="195"/>
      <c r="F275" s="142" t="n">
        <v>0</v>
      </c>
      <c r="G275" s="27"/>
      <c r="H275" s="37"/>
    </row>
    <row r="276" customFormat="false" ht="18.75" hidden="false" customHeight="false" outlineLevel="0" collapsed="false">
      <c r="A276" s="113"/>
      <c r="B276" s="135"/>
      <c r="C276" s="36"/>
      <c r="D276" s="156" t="s">
        <v>240</v>
      </c>
      <c r="E276" s="156"/>
      <c r="F276" s="135" t="n">
        <f aca="false">B275+F275*B218</f>
        <v>0</v>
      </c>
      <c r="G276" s="27"/>
      <c r="H276" s="37"/>
    </row>
    <row r="277" customFormat="false" ht="18.75" hidden="false" customHeight="false" outlineLevel="0" collapsed="false">
      <c r="A277" s="64" t="s">
        <v>241</v>
      </c>
      <c r="B277" s="196" t="s">
        <v>10</v>
      </c>
      <c r="C277" s="36"/>
      <c r="D277" s="156" t="s">
        <v>242</v>
      </c>
      <c r="E277" s="156"/>
      <c r="F277" s="196" t="n">
        <f aca="false">B79</f>
        <v>0</v>
      </c>
      <c r="G277" s="27"/>
      <c r="H277" s="37"/>
    </row>
    <row r="278" customFormat="false" ht="18.75" hidden="false" customHeight="false" outlineLevel="0" collapsed="false">
      <c r="A278" s="64"/>
      <c r="B278" s="146"/>
      <c r="C278" s="36"/>
      <c r="D278" s="156" t="s">
        <v>243</v>
      </c>
      <c r="E278" s="156"/>
      <c r="F278" s="135" t="n">
        <f aca="false">B100</f>
        <v>0</v>
      </c>
      <c r="G278" s="27"/>
      <c r="H278" s="37"/>
    </row>
    <row r="279" customFormat="false" ht="18.75" hidden="false" customHeight="false" outlineLevel="0" collapsed="false">
      <c r="A279" s="64" t="s">
        <v>244</v>
      </c>
      <c r="B279" s="142" t="n">
        <v>0</v>
      </c>
      <c r="C279" s="36"/>
      <c r="D279" s="36"/>
      <c r="E279" s="42"/>
      <c r="F279" s="27"/>
      <c r="G279" s="27"/>
      <c r="H279" s="37"/>
    </row>
    <row r="280" customFormat="false" ht="18.75" hidden="false" customHeight="false" outlineLevel="0" collapsed="false">
      <c r="A280" s="35" t="s">
        <v>245</v>
      </c>
      <c r="B280" s="142" t="n">
        <v>0</v>
      </c>
      <c r="C280" s="36"/>
      <c r="D280" s="36"/>
      <c r="E280" s="27"/>
      <c r="F280" s="27"/>
      <c r="G280" s="27"/>
      <c r="H280" s="37"/>
    </row>
    <row r="281" customFormat="false" ht="18.75" hidden="false" customHeight="false" outlineLevel="0" collapsed="false">
      <c r="A281" s="60"/>
      <c r="B281" s="61"/>
      <c r="C281" s="61"/>
      <c r="D281" s="61"/>
      <c r="E281" s="61"/>
      <c r="F281" s="61"/>
      <c r="G281" s="61"/>
      <c r="H281" s="69"/>
    </row>
  </sheetData>
  <mergeCells count="294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H24"/>
    <mergeCell ref="A26:H26"/>
    <mergeCell ref="C31:D31"/>
    <mergeCell ref="F31:G31"/>
    <mergeCell ref="C34:D34"/>
    <mergeCell ref="F34:G34"/>
    <mergeCell ref="C37:D37"/>
    <mergeCell ref="J38:K38"/>
    <mergeCell ref="C40:D40"/>
    <mergeCell ref="F40:G40"/>
    <mergeCell ref="C43:D43"/>
    <mergeCell ref="F43:G43"/>
    <mergeCell ref="C46:D46"/>
    <mergeCell ref="F46:G46"/>
    <mergeCell ref="C53:E53"/>
    <mergeCell ref="A58:A59"/>
    <mergeCell ref="B58:D58"/>
    <mergeCell ref="B59:D59"/>
    <mergeCell ref="B60:D60"/>
    <mergeCell ref="A109:H109"/>
    <mergeCell ref="J109:Q109"/>
    <mergeCell ref="S109:Z109"/>
    <mergeCell ref="AB109:AI109"/>
    <mergeCell ref="A111:H111"/>
    <mergeCell ref="J111:Q111"/>
    <mergeCell ref="S111:Z111"/>
    <mergeCell ref="AB111:AI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B117:D117"/>
    <mergeCell ref="E117:G117"/>
    <mergeCell ref="K117:M117"/>
    <mergeCell ref="N117:P117"/>
    <mergeCell ref="T117:V117"/>
    <mergeCell ref="W117:Y117"/>
    <mergeCell ref="AC117:AE117"/>
    <mergeCell ref="AF117:AH117"/>
    <mergeCell ref="B120:D120"/>
    <mergeCell ref="E120:G120"/>
    <mergeCell ref="K120:M120"/>
    <mergeCell ref="N120:P120"/>
    <mergeCell ref="T120:V120"/>
    <mergeCell ref="W120:Y120"/>
    <mergeCell ref="AC120:AE120"/>
    <mergeCell ref="AF120:AH120"/>
    <mergeCell ref="B123:D123"/>
    <mergeCell ref="E123:G123"/>
    <mergeCell ref="K123:M123"/>
    <mergeCell ref="N123:P123"/>
    <mergeCell ref="T123:V123"/>
    <mergeCell ref="W123:Y123"/>
    <mergeCell ref="AC123:AE123"/>
    <mergeCell ref="AF123:AH123"/>
    <mergeCell ref="A126:H126"/>
    <mergeCell ref="J126:Q126"/>
    <mergeCell ref="S126:Z126"/>
    <mergeCell ref="AB126:AI126"/>
    <mergeCell ref="B128:C128"/>
    <mergeCell ref="D128:E128"/>
    <mergeCell ref="F128:G128"/>
    <mergeCell ref="K128:L128"/>
    <mergeCell ref="M128:N128"/>
    <mergeCell ref="O128:P128"/>
    <mergeCell ref="T128:U128"/>
    <mergeCell ref="V128:W128"/>
    <mergeCell ref="X128:Y128"/>
    <mergeCell ref="AC128:AD128"/>
    <mergeCell ref="AE128:AF128"/>
    <mergeCell ref="AG128:AH128"/>
    <mergeCell ref="B139:C139"/>
    <mergeCell ref="D139:E139"/>
    <mergeCell ref="F139:G139"/>
    <mergeCell ref="K139:L139"/>
    <mergeCell ref="M139:N139"/>
    <mergeCell ref="O139:P139"/>
    <mergeCell ref="T139:U139"/>
    <mergeCell ref="V139:W139"/>
    <mergeCell ref="X139:Y139"/>
    <mergeCell ref="AC139:AD139"/>
    <mergeCell ref="AE139:AF139"/>
    <mergeCell ref="AG139:AH139"/>
    <mergeCell ref="B140:C140"/>
    <mergeCell ref="D140:E140"/>
    <mergeCell ref="F140:G140"/>
    <mergeCell ref="K140:L140"/>
    <mergeCell ref="M140:N140"/>
    <mergeCell ref="O140:P140"/>
    <mergeCell ref="T140:U140"/>
    <mergeCell ref="V140:W140"/>
    <mergeCell ref="X140:Y140"/>
    <mergeCell ref="AC140:AD140"/>
    <mergeCell ref="AE140:AF140"/>
    <mergeCell ref="AG140:AH140"/>
    <mergeCell ref="B141:C141"/>
    <mergeCell ref="D141:E141"/>
    <mergeCell ref="F141:G141"/>
    <mergeCell ref="K141:L141"/>
    <mergeCell ref="M141:N141"/>
    <mergeCell ref="O141:P141"/>
    <mergeCell ref="T141:U141"/>
    <mergeCell ref="V141:W141"/>
    <mergeCell ref="X141:Y141"/>
    <mergeCell ref="AC141:AD141"/>
    <mergeCell ref="AE141:AF141"/>
    <mergeCell ref="AG141:AH141"/>
    <mergeCell ref="B142:C142"/>
    <mergeCell ref="D142:E142"/>
    <mergeCell ref="F142:G142"/>
    <mergeCell ref="K142:L142"/>
    <mergeCell ref="M142:N142"/>
    <mergeCell ref="O142:P142"/>
    <mergeCell ref="T142:U142"/>
    <mergeCell ref="V142:W142"/>
    <mergeCell ref="X142:Y142"/>
    <mergeCell ref="AC142:AD142"/>
    <mergeCell ref="AE142:AF142"/>
    <mergeCell ref="AG142:AH142"/>
    <mergeCell ref="A144:F144"/>
    <mergeCell ref="J144:O144"/>
    <mergeCell ref="S144:X144"/>
    <mergeCell ref="AB144:AG144"/>
    <mergeCell ref="A145:F145"/>
    <mergeCell ref="J145:O145"/>
    <mergeCell ref="S145:X145"/>
    <mergeCell ref="AB145:AG145"/>
    <mergeCell ref="A146:F146"/>
    <mergeCell ref="J146:O146"/>
    <mergeCell ref="S146:X146"/>
    <mergeCell ref="AB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49:F149"/>
    <mergeCell ref="J149:O149"/>
    <mergeCell ref="S149:X149"/>
    <mergeCell ref="AB149:AG149"/>
    <mergeCell ref="A150:F150"/>
    <mergeCell ref="J150:O150"/>
    <mergeCell ref="S150:X150"/>
    <mergeCell ref="AB150:AG150"/>
    <mergeCell ref="A151:F151"/>
    <mergeCell ref="J151:O151"/>
    <mergeCell ref="S151:X151"/>
    <mergeCell ref="AB151:AG151"/>
    <mergeCell ref="A152:F152"/>
    <mergeCell ref="J152:O152"/>
    <mergeCell ref="S152:X152"/>
    <mergeCell ref="AB152:AG152"/>
    <mergeCell ref="B153:F153"/>
    <mergeCell ref="K153:O153"/>
    <mergeCell ref="T153:X153"/>
    <mergeCell ref="AC153:AG153"/>
    <mergeCell ref="B154:F154"/>
    <mergeCell ref="K154:O154"/>
    <mergeCell ref="T154:X154"/>
    <mergeCell ref="AC154:AG154"/>
    <mergeCell ref="B155:F155"/>
    <mergeCell ref="K155:O155"/>
    <mergeCell ref="T155:X155"/>
    <mergeCell ref="AC155:AG155"/>
    <mergeCell ref="A156:F156"/>
    <mergeCell ref="J156:O156"/>
    <mergeCell ref="S156:X156"/>
    <mergeCell ref="AB156:AG156"/>
    <mergeCell ref="A157:F157"/>
    <mergeCell ref="J157:O157"/>
    <mergeCell ref="S157:X157"/>
    <mergeCell ref="AB157:AG157"/>
    <mergeCell ref="A159:H159"/>
    <mergeCell ref="J159:Q159"/>
    <mergeCell ref="S159:Z159"/>
    <mergeCell ref="AB159:AI159"/>
    <mergeCell ref="E161:F161"/>
    <mergeCell ref="G161:H161"/>
    <mergeCell ref="N161:O161"/>
    <mergeCell ref="P161:Q161"/>
    <mergeCell ref="W161:X161"/>
    <mergeCell ref="Y161:Z161"/>
    <mergeCell ref="AF161:AG161"/>
    <mergeCell ref="AH161:AI161"/>
    <mergeCell ref="E162:F162"/>
    <mergeCell ref="G162:H162"/>
    <mergeCell ref="N162:O162"/>
    <mergeCell ref="P162:Q162"/>
    <mergeCell ref="W162:X162"/>
    <mergeCell ref="Y162:Z162"/>
    <mergeCell ref="AF162:AG162"/>
    <mergeCell ref="AH162:AI162"/>
    <mergeCell ref="E163:F163"/>
    <mergeCell ref="G163:H163"/>
    <mergeCell ref="N163:O163"/>
    <mergeCell ref="P163:Q163"/>
    <mergeCell ref="W163:X163"/>
    <mergeCell ref="Y163:Z163"/>
    <mergeCell ref="AF163:AG163"/>
    <mergeCell ref="AH163:AI163"/>
    <mergeCell ref="E164:F164"/>
    <mergeCell ref="N164:O164"/>
    <mergeCell ref="W164:X164"/>
    <mergeCell ref="AF164:AG164"/>
    <mergeCell ref="G166:H166"/>
    <mergeCell ref="P166:Q166"/>
    <mergeCell ref="Y166:Z166"/>
    <mergeCell ref="AH166:AI166"/>
    <mergeCell ref="G167:H167"/>
    <mergeCell ref="P167:Q167"/>
    <mergeCell ref="Y167:Z167"/>
    <mergeCell ref="AH167:AI167"/>
    <mergeCell ref="G168:H168"/>
    <mergeCell ref="P168:Q168"/>
    <mergeCell ref="Y168:Z168"/>
    <mergeCell ref="AH168:AI168"/>
    <mergeCell ref="A171:H171"/>
    <mergeCell ref="J171:Q171"/>
    <mergeCell ref="S171:Z171"/>
    <mergeCell ref="AB171:AI171"/>
    <mergeCell ref="B173:C173"/>
    <mergeCell ref="K173:L173"/>
    <mergeCell ref="T173:U173"/>
    <mergeCell ref="AC173:AD173"/>
    <mergeCell ref="A204:A205"/>
    <mergeCell ref="B204:D204"/>
    <mergeCell ref="J204:J205"/>
    <mergeCell ref="K204:M204"/>
    <mergeCell ref="S204:S205"/>
    <mergeCell ref="T204:V204"/>
    <mergeCell ref="AB204:AB205"/>
    <mergeCell ref="AC204:AE204"/>
    <mergeCell ref="B205:D205"/>
    <mergeCell ref="K205:M205"/>
    <mergeCell ref="T205:V205"/>
    <mergeCell ref="AC205:AE205"/>
    <mergeCell ref="B206:D206"/>
    <mergeCell ref="K206:M206"/>
    <mergeCell ref="T206:V206"/>
    <mergeCell ref="AC206:AE206"/>
    <mergeCell ref="A215:H215"/>
    <mergeCell ref="A247:H247"/>
    <mergeCell ref="A260:H260"/>
    <mergeCell ref="D262:E262"/>
    <mergeCell ref="D263:E263"/>
    <mergeCell ref="D264:E264"/>
    <mergeCell ref="D268:E268"/>
    <mergeCell ref="D269:E269"/>
    <mergeCell ref="D270:E270"/>
    <mergeCell ref="D271:E271"/>
    <mergeCell ref="A274:H274"/>
    <mergeCell ref="D275:E275"/>
    <mergeCell ref="D276:E276"/>
    <mergeCell ref="D277:E277"/>
    <mergeCell ref="D278:E278"/>
  </mergeCells>
  <dataValidations count="4">
    <dataValidation allowBlank="true" errorStyle="stop" operator="between" showDropDown="false" showErrorMessage="true" showInputMessage="true" sqref="B114 K114 T114 AC114" type="list">
      <formula1>$Y$136:$Y$145</formula1>
      <formula2>0</formula2>
    </dataValidation>
    <dataValidation allowBlank="true" errorStyle="stop" operator="between" showDropDown="false" showErrorMessage="true" showInputMessage="true" sqref="E114 N114 W114 AF114 A120 J120 S120 AB120" type="list">
      <formula1>$Z$19:$Z$20</formula1>
      <formula2>0</formula2>
    </dataValidation>
    <dataValidation allowBlank="true" errorStyle="stop" operator="between" showDropDown="false" showErrorMessage="true" showInputMessage="true" sqref="B117:D117 K117:M117 T117:V117 AC117:AE117" type="list">
      <formula1>$AP$117:$AP$118</formula1>
      <formula2>0</formula2>
    </dataValidation>
    <dataValidation allowBlank="true" errorStyle="stop" operator="between" showDropDown="false" showErrorMessage="true" showInputMessage="true" sqref="A18:A20 A153:A155 J153:J155 S153:S155 AB153:AB155" type="list">
      <formula1>$AB$16:$AB$18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81"/>
  <sheetViews>
    <sheetView showFormulas="false" showGridLines="true" showRowColHeaders="true" showZeros="true" rightToLeft="false" tabSelected="false" showOutlineSymbols="true" defaultGridColor="true" view="normal" topLeftCell="A246" colorId="64" zoomScale="100" zoomScaleNormal="100" zoomScalePageLayoutView="100" workbookViewId="0">
      <selection pane="topLeft" activeCell="F270" activeCellId="0" sqref="F270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20945</v>
      </c>
      <c r="C3" s="398"/>
      <c r="D3" s="398" t="n">
        <v>0</v>
      </c>
      <c r="E3" s="398"/>
      <c r="F3" s="398" t="n">
        <v>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399" t="n">
        <v>0</v>
      </c>
      <c r="C4" s="399"/>
      <c r="D4" s="400" t="n">
        <v>0</v>
      </c>
      <c r="E4" s="400"/>
      <c r="F4" s="400" t="n">
        <v>0</v>
      </c>
      <c r="G4" s="400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0</v>
      </c>
      <c r="C5" s="398"/>
      <c r="D5" s="398" t="n">
        <v>0</v>
      </c>
      <c r="E5" s="398"/>
      <c r="F5" s="398" t="n">
        <v>0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880.1666</v>
      </c>
      <c r="C6" s="209"/>
      <c r="D6" s="209" t="n">
        <f aca="false">(D3*D4/100)+D5</f>
        <v>0</v>
      </c>
      <c r="E6" s="209"/>
      <c r="F6" s="209" t="n">
        <f aca="false">(F3*F4/100)+F5</f>
        <v>0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43128.1634</v>
      </c>
      <c r="C7" s="209"/>
      <c r="D7" s="209" t="n">
        <f aca="false">D3-D6</f>
        <v>0</v>
      </c>
      <c r="E7" s="209"/>
      <c r="F7" s="209" t="n">
        <f aca="false">F3-F6</f>
        <v>0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1095</v>
      </c>
    </row>
    <row r="9" customFormat="false" ht="19.7" hidden="false" customHeight="false" outlineLevel="0" collapsed="false">
      <c r="A9" s="143" t="s">
        <v>173</v>
      </c>
      <c r="B9" s="143" t="n">
        <v>23125</v>
      </c>
      <c r="C9" s="143"/>
      <c r="D9" s="143"/>
      <c r="E9" s="143"/>
      <c r="F9" s="143"/>
      <c r="G9" s="129"/>
      <c r="H9" s="355" t="n">
        <f aca="false">B7+D7+F7+H3</f>
        <v>43128.1634</v>
      </c>
      <c r="I9" s="7"/>
      <c r="J9" s="7"/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/>
      <c r="F10" s="145"/>
      <c r="G10" s="146"/>
      <c r="H10" s="354" t="n">
        <v>995</v>
      </c>
      <c r="I10" s="7"/>
      <c r="J10" s="7"/>
      <c r="L10" s="20" t="s">
        <v>15</v>
      </c>
      <c r="M10" s="14" t="n">
        <f aca="false">H15-H11-M8</f>
        <v>43278.1634</v>
      </c>
    </row>
    <row r="11" customFormat="false" ht="18.75" hidden="false" customHeight="false" outlineLevel="0" collapsed="false">
      <c r="A11" s="145" t="s">
        <v>175</v>
      </c>
      <c r="B11" s="145" t="n">
        <v>0</v>
      </c>
      <c r="C11" s="145"/>
      <c r="D11" s="145"/>
      <c r="E11" s="145"/>
      <c r="F11" s="145"/>
      <c r="G11" s="146"/>
      <c r="H11" s="37" t="n">
        <f aca="false">(H9+H10)*20%</f>
        <v>8655.63268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 t="n">
        <v>0</v>
      </c>
      <c r="C13" s="145"/>
      <c r="D13" s="145"/>
      <c r="E13" s="145"/>
      <c r="F13" s="145"/>
      <c r="G13" s="146"/>
      <c r="H13" s="354" t="n">
        <v>290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/>
      <c r="F14" s="145"/>
      <c r="G14" s="146"/>
      <c r="H14" s="354" t="n">
        <v>55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53028.79608</v>
      </c>
      <c r="I15" s="7"/>
      <c r="J15" s="21" t="n">
        <f aca="false">H15</f>
        <v>53028.79608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/>
      <c r="F16" s="145"/>
      <c r="G16" s="146"/>
      <c r="H16" s="354" t="n">
        <v>0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52989.996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/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53028.79608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22.05" hidden="false" customHeight="false" outlineLevel="0" collapsed="false">
      <c r="A26" s="32" t="s">
        <v>35</v>
      </c>
      <c r="B26" s="32"/>
      <c r="C26" s="32"/>
      <c r="D26" s="32"/>
      <c r="E26" s="32"/>
      <c r="F26" s="32"/>
      <c r="G26" s="32"/>
      <c r="H26" s="32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18.75" hidden="false" customHeight="false" outlineLevel="0" collapsed="false">
      <c r="A28" s="40" t="s">
        <v>36</v>
      </c>
      <c r="B28" s="36" t="s">
        <v>39</v>
      </c>
      <c r="C28" s="36"/>
      <c r="D28" s="36"/>
      <c r="E28" s="36"/>
      <c r="F28" s="36"/>
      <c r="G28" s="36"/>
      <c r="H28" s="37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/>
      <c r="I29" s="36"/>
      <c r="J29" s="33" t="s">
        <v>41</v>
      </c>
      <c r="K29" s="41" t="str">
        <f aca="false">A34</f>
        <v>33</v>
      </c>
    </row>
    <row r="30" customFormat="false" ht="18.75" hidden="false" customHeight="false" outlineLevel="0" collapsed="false">
      <c r="A30" s="40" t="s">
        <v>42</v>
      </c>
      <c r="B30" s="36"/>
      <c r="C30" s="42" t="s">
        <v>43</v>
      </c>
      <c r="D30" s="43"/>
      <c r="E30" s="36"/>
      <c r="F30" s="42" t="s">
        <v>44</v>
      </c>
      <c r="G30" s="43"/>
      <c r="H30" s="37"/>
      <c r="I30" s="36"/>
      <c r="J30" s="33" t="s">
        <v>45</v>
      </c>
      <c r="K30" s="41" t="str">
        <f aca="false">C34</f>
        <v>5000</v>
      </c>
    </row>
    <row r="31" customFormat="false" ht="18.75" hidden="false" customHeight="false" outlineLevel="0" collapsed="false">
      <c r="A31" s="44" t="s">
        <v>46</v>
      </c>
      <c r="B31" s="36"/>
      <c r="C31" s="45" t="s">
        <v>47</v>
      </c>
      <c r="D31" s="45"/>
      <c r="E31" s="36"/>
      <c r="F31" s="45"/>
      <c r="G31" s="45"/>
      <c r="H31" s="37"/>
      <c r="I31" s="36"/>
      <c r="J31" s="33" t="s">
        <v>48</v>
      </c>
      <c r="K31" s="46" t="n">
        <f aca="false">A43</f>
        <v>6000</v>
      </c>
    </row>
    <row r="32" customFormat="false" ht="34.3" hidden="false" customHeight="false" outlineLevel="0" collapsed="false">
      <c r="A32" s="40"/>
      <c r="B32" s="47"/>
      <c r="C32" s="47"/>
      <c r="D32" s="47"/>
      <c r="E32" s="47"/>
      <c r="F32" s="47"/>
      <c r="G32" s="47"/>
      <c r="H32" s="37"/>
      <c r="I32" s="7"/>
      <c r="J32" s="33" t="s">
        <v>49</v>
      </c>
      <c r="K32" s="46" t="n">
        <f aca="false">A46</f>
        <v>0</v>
      </c>
    </row>
    <row r="33" customFormat="false" ht="18.75" hidden="false" customHeight="false" outlineLevel="0" collapsed="false">
      <c r="A33" s="40" t="s">
        <v>52</v>
      </c>
      <c r="B33" s="36"/>
      <c r="C33" s="50" t="s">
        <v>53</v>
      </c>
      <c r="D33" s="43"/>
      <c r="E33" s="36"/>
      <c r="F33" s="42" t="s">
        <v>54</v>
      </c>
      <c r="G33" s="43"/>
      <c r="H33" s="51"/>
      <c r="I33" s="7"/>
      <c r="J33" s="38"/>
      <c r="K33" s="52"/>
    </row>
    <row r="34" customFormat="false" ht="18.75" hidden="false" customHeight="false" outlineLevel="0" collapsed="false">
      <c r="A34" s="44" t="s">
        <v>259</v>
      </c>
      <c r="B34" s="36"/>
      <c r="C34" s="45" t="s">
        <v>56</v>
      </c>
      <c r="D34" s="45"/>
      <c r="E34" s="36"/>
      <c r="F34" s="45" t="n">
        <f aca="false">(A34/12)*C34</f>
        <v>13750</v>
      </c>
      <c r="G34" s="45"/>
      <c r="H34" s="51"/>
      <c r="I34" s="7"/>
      <c r="J34" s="7"/>
      <c r="K34" s="7"/>
    </row>
    <row r="35" customFormat="false" ht="21.6" hidden="false" customHeight="false" outlineLevel="0" collapsed="false">
      <c r="A35" s="35"/>
      <c r="B35" s="36"/>
      <c r="C35" s="36"/>
      <c r="E35" s="36"/>
      <c r="F35" s="47"/>
      <c r="G35" s="47"/>
      <c r="H35" s="51"/>
      <c r="I35" s="7"/>
      <c r="J35" s="54" t="s">
        <v>59</v>
      </c>
      <c r="K35" s="402" t="n">
        <v>0.065</v>
      </c>
    </row>
    <row r="36" customFormat="false" ht="18.75" hidden="false" customHeight="false" outlineLevel="0" collapsed="false">
      <c r="A36" s="40" t="s">
        <v>60</v>
      </c>
      <c r="B36" s="36"/>
      <c r="C36" s="42" t="s">
        <v>61</v>
      </c>
      <c r="D36" s="43"/>
      <c r="E36" s="36"/>
      <c r="F36" s="42" t="s">
        <v>62</v>
      </c>
      <c r="G36" s="43"/>
      <c r="H36" s="51"/>
      <c r="I36" s="7"/>
      <c r="J36" s="7" t="s">
        <v>63</v>
      </c>
      <c r="K36" s="7" t="n">
        <f aca="false">C40</f>
        <v>32</v>
      </c>
    </row>
    <row r="37" customFormat="false" ht="18.75" hidden="false" customHeight="false" outlineLevel="0" collapsed="false">
      <c r="A37" s="40" t="n">
        <f aca="false">H15</f>
        <v>53028.79608</v>
      </c>
      <c r="B37" s="36"/>
      <c r="C37" s="45" t="s">
        <v>58</v>
      </c>
      <c r="D37" s="45"/>
      <c r="E37" s="36"/>
      <c r="F37" s="47" t="n">
        <f aca="false">A37-C37</f>
        <v>52028.79608</v>
      </c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40"/>
      <c r="B38" s="47"/>
      <c r="C38" s="47"/>
      <c r="D38" s="47"/>
      <c r="E38" s="47"/>
      <c r="F38" s="47"/>
      <c r="G38" s="47"/>
      <c r="H38" s="51"/>
      <c r="J38" s="57" t="s">
        <v>65</v>
      </c>
      <c r="K38" s="57"/>
      <c r="L38" s="7"/>
    </row>
    <row r="39" customFormat="false" ht="18.75" hidden="false" customHeight="false" outlineLevel="0" collapsed="false">
      <c r="A39" s="40" t="s">
        <v>66</v>
      </c>
      <c r="B39" s="36"/>
      <c r="C39" s="43" t="s">
        <v>67</v>
      </c>
      <c r="D39" s="42"/>
      <c r="E39" s="36"/>
      <c r="F39" s="42" t="s">
        <v>68</v>
      </c>
      <c r="G39" s="43"/>
      <c r="H39" s="51"/>
      <c r="J39" s="7" t="s">
        <v>69</v>
      </c>
      <c r="K39" s="7" t="str">
        <f aca="false">F40</f>
        <v>500</v>
      </c>
      <c r="L39" s="7"/>
    </row>
    <row r="40" customFormat="false" ht="18.75" hidden="false" customHeight="false" outlineLevel="0" collapsed="false">
      <c r="A40" s="44" t="s">
        <v>55</v>
      </c>
      <c r="B40" s="36"/>
      <c r="C40" s="58" t="n">
        <f aca="false">A34-1</f>
        <v>32</v>
      </c>
      <c r="D40" s="58"/>
      <c r="E40" s="36"/>
      <c r="F40" s="45" t="s">
        <v>70</v>
      </c>
      <c r="G40" s="45"/>
      <c r="H40" s="51"/>
      <c r="J40" s="7" t="s">
        <v>71</v>
      </c>
      <c r="K40" s="7" t="n">
        <f aca="false">H11</f>
        <v>8655.63268</v>
      </c>
      <c r="L40" s="7"/>
    </row>
    <row r="41" customFormat="false" ht="18.75" hidden="false" customHeight="false" outlineLevel="0" collapsed="false">
      <c r="A41" s="40"/>
      <c r="B41" s="47"/>
      <c r="C41" s="47"/>
      <c r="D41" s="47"/>
      <c r="E41" s="47"/>
      <c r="F41" s="47"/>
      <c r="G41" s="47"/>
      <c r="H41" s="51"/>
      <c r="J41" s="7" t="s">
        <v>72</v>
      </c>
      <c r="K41" s="7" t="n">
        <f aca="false">IF(F43="Yes",A46,0)</f>
        <v>0</v>
      </c>
      <c r="L41" s="7"/>
    </row>
    <row r="42" customFormat="false" ht="18.75" hidden="false" customHeight="false" outlineLevel="0" collapsed="false">
      <c r="A42" s="40" t="s">
        <v>73</v>
      </c>
      <c r="B42" s="36"/>
      <c r="C42" s="42" t="s">
        <v>74</v>
      </c>
      <c r="D42" s="43"/>
      <c r="E42" s="36"/>
      <c r="F42" s="42" t="s">
        <v>75</v>
      </c>
      <c r="G42" s="43"/>
      <c r="H42" s="51"/>
      <c r="J42" s="7" t="s">
        <v>76</v>
      </c>
      <c r="K42" s="7" t="n">
        <f aca="false">A43</f>
        <v>6000</v>
      </c>
      <c r="L42" s="7"/>
    </row>
    <row r="43" customFormat="false" ht="18.75" hidden="false" customHeight="false" outlineLevel="0" collapsed="false">
      <c r="A43" s="44" t="n">
        <v>6000</v>
      </c>
      <c r="B43" s="36"/>
      <c r="C43" s="45" t="n">
        <v>20</v>
      </c>
      <c r="D43" s="45"/>
      <c r="E43" s="36"/>
      <c r="F43" s="45" t="s">
        <v>31</v>
      </c>
      <c r="G43" s="45"/>
      <c r="H43" s="51"/>
      <c r="J43" s="7" t="s">
        <v>77</v>
      </c>
      <c r="K43" s="7" t="str">
        <f aca="false">A34</f>
        <v>33</v>
      </c>
      <c r="L43" s="7"/>
    </row>
    <row r="44" customFormat="false" ht="18.75" hidden="false" customHeight="false" outlineLevel="0" collapsed="false">
      <c r="A44" s="40"/>
      <c r="B44" s="47"/>
      <c r="C44" s="47"/>
      <c r="D44" s="47"/>
      <c r="E44" s="47"/>
      <c r="F44" s="47"/>
      <c r="G44" s="47"/>
      <c r="H44" s="51"/>
      <c r="J44" s="7" t="s">
        <v>78</v>
      </c>
      <c r="K44" s="7" t="n">
        <f aca="false">((K40-(((K42/(1.2))*0.2)))/(K43))</f>
        <v>231.988869090909</v>
      </c>
      <c r="L44" s="7"/>
    </row>
    <row r="45" customFormat="false" ht="18.75" hidden="false" customHeight="false" outlineLevel="0" collapsed="false">
      <c r="A45" s="40" t="s">
        <v>79</v>
      </c>
      <c r="B45" s="36"/>
      <c r="C45" s="42" t="s">
        <v>80</v>
      </c>
      <c r="D45" s="43"/>
      <c r="E45" s="36"/>
      <c r="F45" s="42" t="s">
        <v>81</v>
      </c>
      <c r="G45" s="43"/>
      <c r="H45" s="51"/>
      <c r="J45" s="7" t="s">
        <v>82</v>
      </c>
      <c r="K45" s="7" t="n">
        <f aca="false">(K39-K44)+K41</f>
        <v>268.011130909091</v>
      </c>
      <c r="L45" s="7"/>
    </row>
    <row r="46" customFormat="false" ht="18.75" hidden="false" customHeight="false" outlineLevel="0" collapsed="false">
      <c r="A46" s="44" t="s">
        <v>346</v>
      </c>
      <c r="B46" s="36"/>
      <c r="C46" s="45" t="n">
        <v>1</v>
      </c>
      <c r="D46" s="45"/>
      <c r="E46" s="36"/>
      <c r="F46" s="45" t="n">
        <v>0</v>
      </c>
      <c r="G46" s="45"/>
      <c r="H46" s="51"/>
      <c r="J46" s="7" t="s">
        <v>83</v>
      </c>
      <c r="K46" s="7" t="n">
        <v>0</v>
      </c>
      <c r="L46" s="7"/>
    </row>
    <row r="47" customFormat="false" ht="18.75" hidden="false" customHeight="false" outlineLevel="0" collapsed="false">
      <c r="A47" s="40"/>
      <c r="B47" s="47"/>
      <c r="C47" s="47"/>
      <c r="D47" s="47"/>
      <c r="E47" s="47"/>
      <c r="F47" s="47"/>
      <c r="G47" s="47"/>
      <c r="H47" s="51"/>
      <c r="J47" s="7" t="s">
        <v>84</v>
      </c>
      <c r="K47" s="7" t="n">
        <f aca="false">A40/K29</f>
        <v>0.363636363636364</v>
      </c>
      <c r="L47" s="7"/>
    </row>
    <row r="48" customFormat="false" ht="18.75" hidden="false" customHeight="false" outlineLevel="0" collapsed="false">
      <c r="A48" s="40" t="s">
        <v>85</v>
      </c>
      <c r="B48" s="47"/>
      <c r="C48" s="47"/>
      <c r="D48" s="47"/>
      <c r="E48" s="47"/>
      <c r="F48" s="47"/>
      <c r="G48" s="47"/>
      <c r="H48" s="51"/>
      <c r="J48" s="59" t="s">
        <v>86</v>
      </c>
      <c r="K48" s="7" t="n">
        <f aca="false">C43/A34</f>
        <v>0.606060606060606</v>
      </c>
      <c r="L48" s="7"/>
    </row>
    <row r="49" customFormat="false" ht="18.75" hidden="false" customHeight="false" outlineLevel="0" collapsed="false">
      <c r="A49" s="40" t="n">
        <f aca="false">C46+F46</f>
        <v>1</v>
      </c>
      <c r="B49" s="47"/>
      <c r="C49" s="47"/>
      <c r="D49" s="47"/>
      <c r="E49" s="36"/>
      <c r="F49" s="47"/>
      <c r="G49" s="47"/>
      <c r="H49" s="51"/>
      <c r="J49" s="59" t="s">
        <v>87</v>
      </c>
      <c r="K49" s="7" t="n">
        <f aca="false">K45+K48+K47</f>
        <v>268.980827878788</v>
      </c>
      <c r="L49" s="7"/>
    </row>
    <row r="50" customFormat="false" ht="18.75" hidden="false" customHeight="false" outlineLevel="0" collapsed="false">
      <c r="A50" s="60"/>
      <c r="B50" s="61"/>
      <c r="C50" s="61"/>
      <c r="D50" s="61"/>
      <c r="E50" s="61"/>
      <c r="F50" s="61"/>
      <c r="G50" s="62"/>
      <c r="H50" s="63"/>
      <c r="I50" s="7"/>
      <c r="J50" s="59" t="s">
        <v>88</v>
      </c>
      <c r="K50" s="7" t="n">
        <f aca="false">K49-A46</f>
        <v>268.980827878788</v>
      </c>
    </row>
    <row r="51" customFormat="false" ht="19.5" hidden="false" customHeight="true" outlineLevel="0" collapsed="false">
      <c r="A51" s="29"/>
      <c r="B51" s="30"/>
      <c r="C51" s="30"/>
      <c r="D51" s="30"/>
      <c r="E51" s="30"/>
      <c r="F51" s="30"/>
      <c r="G51" s="30"/>
      <c r="H51" s="31"/>
      <c r="I51" s="7"/>
      <c r="J51" s="7"/>
      <c r="K51" s="7"/>
    </row>
    <row r="52" customFormat="false" ht="18.75" hidden="false" customHeight="false" outlineLevel="0" collapsed="false">
      <c r="A52" s="64" t="s">
        <v>89</v>
      </c>
      <c r="B52" s="36"/>
      <c r="C52" s="36" t="s">
        <v>90</v>
      </c>
      <c r="D52" s="36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65" t="n">
        <v>1</v>
      </c>
      <c r="B53" s="36"/>
      <c r="C53" s="66" t="n">
        <v>1</v>
      </c>
      <c r="D53" s="66"/>
      <c r="E53" s="66"/>
      <c r="F53" s="36"/>
      <c r="G53" s="36"/>
      <c r="H53" s="37"/>
      <c r="I53" s="7"/>
      <c r="J53" s="67" t="s">
        <v>91</v>
      </c>
      <c r="K53" s="68" t="s">
        <v>394</v>
      </c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9"/>
      <c r="B55" s="30"/>
      <c r="C55" s="30"/>
      <c r="D55" s="30"/>
      <c r="E55" s="30"/>
      <c r="F55" s="30"/>
      <c r="G55" s="30"/>
      <c r="H55" s="31"/>
      <c r="I55" s="7"/>
      <c r="J55" s="7" t="s">
        <v>93</v>
      </c>
      <c r="K55" s="7" t="n">
        <f aca="false">A46*A34</f>
        <v>0</v>
      </c>
    </row>
    <row r="56" customFormat="false" ht="18.75" hidden="false" customHeight="false" outlineLevel="0" collapsed="false">
      <c r="A56" s="70" t="s">
        <v>94</v>
      </c>
      <c r="B56" s="36"/>
      <c r="C56" s="36"/>
      <c r="D56" s="71"/>
      <c r="E56" s="71"/>
      <c r="F56" s="71"/>
      <c r="G56" s="71"/>
      <c r="H56" s="72"/>
      <c r="I56" s="7"/>
      <c r="J56" s="7"/>
      <c r="K56" s="7"/>
    </row>
    <row r="57" customFormat="false" ht="19.5" hidden="false" customHeight="true" outlineLevel="0" collapsed="false">
      <c r="A57" s="35"/>
      <c r="B57" s="73"/>
      <c r="C57" s="73"/>
      <c r="D57" s="36"/>
      <c r="E57" s="36"/>
      <c r="F57" s="36"/>
      <c r="G57" s="36"/>
      <c r="H57" s="37"/>
      <c r="I57" s="7"/>
      <c r="J57" s="7"/>
      <c r="K57" s="7"/>
    </row>
    <row r="58" customFormat="false" ht="19.7" hidden="false" customHeight="false" outlineLevel="0" collapsed="false">
      <c r="A58" s="74" t="s">
        <v>95</v>
      </c>
      <c r="B58" s="75" t="s">
        <v>96</v>
      </c>
      <c r="C58" s="75"/>
      <c r="D58" s="75"/>
      <c r="E58" s="36"/>
      <c r="F58" s="36"/>
      <c r="G58" s="36"/>
      <c r="H58" s="37"/>
      <c r="I58" s="7"/>
      <c r="J58" s="7"/>
      <c r="K58" s="7"/>
    </row>
    <row r="59" customFormat="false" ht="18.75" hidden="false" customHeight="false" outlineLevel="0" collapsed="false">
      <c r="A59" s="74"/>
      <c r="B59" s="76" t="str">
        <f aca="false">K30</f>
        <v>5000</v>
      </c>
      <c r="C59" s="76"/>
      <c r="D59" s="76"/>
      <c r="E59" s="36"/>
      <c r="F59" s="36"/>
      <c r="G59" s="36"/>
      <c r="H59" s="37"/>
      <c r="I59" s="7"/>
      <c r="J59" s="7"/>
      <c r="K59" s="7"/>
    </row>
    <row r="60" customFormat="false" ht="18.75" hidden="false" customHeight="false" outlineLevel="0" collapsed="false">
      <c r="A60" s="77" t="str">
        <f aca="false">K29</f>
        <v>33</v>
      </c>
      <c r="B60" s="78" t="n">
        <f aca="false">K49</f>
        <v>268.980827878788</v>
      </c>
      <c r="C60" s="78"/>
      <c r="D60" s="78"/>
      <c r="E60" s="36"/>
      <c r="F60" s="36"/>
      <c r="G60" s="36"/>
      <c r="H60" s="37"/>
      <c r="I60" s="7"/>
      <c r="J60" s="7"/>
      <c r="K60" s="7"/>
    </row>
    <row r="61" customFormat="false" ht="18.75" hidden="false" customHeight="false" outlineLevel="0" collapsed="false">
      <c r="A61" s="35"/>
      <c r="B61" s="36"/>
      <c r="C61" s="36"/>
      <c r="D61" s="36"/>
      <c r="E61" s="36"/>
      <c r="F61" s="36"/>
      <c r="G61" s="36"/>
      <c r="H61" s="37"/>
      <c r="I61" s="7"/>
      <c r="J61" s="7"/>
      <c r="K61" s="7"/>
    </row>
    <row r="62" customFormat="false" ht="18.75" hidden="false" customHeight="false" outlineLevel="0" collapsed="false">
      <c r="A62" s="60"/>
      <c r="B62" s="61"/>
      <c r="C62" s="61"/>
      <c r="D62" s="61"/>
      <c r="E62" s="61"/>
      <c r="F62" s="61"/>
      <c r="G62" s="61"/>
      <c r="H62" s="69"/>
      <c r="I62" s="7"/>
      <c r="J62" s="7"/>
      <c r="K62" s="7"/>
    </row>
    <row r="63" customFormat="false" ht="18.75" hidden="false" customHeight="false" outlineLevel="0" collapsed="false">
      <c r="A63" s="36"/>
      <c r="B63" s="36"/>
      <c r="C63" s="36"/>
      <c r="D63" s="36"/>
      <c r="E63" s="36"/>
      <c r="F63" s="36"/>
      <c r="G63" s="36"/>
      <c r="H63" s="36"/>
      <c r="I63" s="7"/>
      <c r="J63" s="7"/>
      <c r="K63" s="7"/>
    </row>
    <row r="64" customFormat="false" ht="18.75" hidden="false" customHeight="false" outlineLevel="0" collapsed="false">
      <c r="A64" s="36"/>
      <c r="B64" s="36"/>
      <c r="C64" s="36"/>
      <c r="D64" s="36"/>
      <c r="E64" s="36"/>
      <c r="F64" s="36"/>
      <c r="G64" s="36"/>
      <c r="H64" s="36"/>
      <c r="I64" s="7"/>
      <c r="J64" s="7"/>
      <c r="K64" s="7"/>
    </row>
    <row r="65" customFormat="false" ht="18.7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J65" s="7"/>
      <c r="K65" s="7"/>
    </row>
    <row r="66" customFormat="false" ht="18.75" hidden="false" customHeight="false" outlineLevel="0" collapsed="false">
      <c r="A66" s="29"/>
      <c r="B66" s="30"/>
      <c r="C66" s="30"/>
      <c r="D66" s="30"/>
      <c r="E66" s="79"/>
      <c r="F66" s="79"/>
      <c r="G66" s="79"/>
      <c r="H66" s="31"/>
      <c r="J66" s="29"/>
      <c r="K66" s="30"/>
      <c r="L66" s="30"/>
      <c r="M66" s="30"/>
      <c r="N66" s="79"/>
      <c r="O66" s="79"/>
      <c r="P66" s="79"/>
      <c r="Q66" s="31"/>
      <c r="S66" s="29"/>
      <c r="T66" s="30"/>
      <c r="U66" s="30"/>
      <c r="V66" s="30"/>
      <c r="W66" s="79"/>
      <c r="X66" s="79"/>
      <c r="Y66" s="79"/>
      <c r="Z66" s="31"/>
      <c r="AB66" s="29"/>
      <c r="AC66" s="30"/>
      <c r="AD66" s="30"/>
      <c r="AE66" s="30"/>
      <c r="AF66" s="79"/>
      <c r="AG66" s="79"/>
      <c r="AH66" s="79"/>
      <c r="AI66" s="31"/>
    </row>
    <row r="67" customFormat="false" ht="18.75" hidden="false" customHeight="false" outlineLevel="0" collapsed="false">
      <c r="A67" s="35" t="s">
        <v>97</v>
      </c>
      <c r="B67" s="36" t="n">
        <v>1</v>
      </c>
      <c r="C67" s="36"/>
      <c r="D67" s="36"/>
      <c r="E67" s="27"/>
      <c r="F67" s="27"/>
      <c r="G67" s="27"/>
      <c r="H67" s="37"/>
      <c r="J67" s="35" t="s">
        <v>97</v>
      </c>
      <c r="K67" s="36" t="n">
        <v>1</v>
      </c>
      <c r="L67" s="36"/>
      <c r="M67" s="36"/>
      <c r="N67" s="27"/>
      <c r="O67" s="27"/>
      <c r="P67" s="27"/>
      <c r="Q67" s="37"/>
      <c r="S67" s="35" t="s">
        <v>97</v>
      </c>
      <c r="T67" s="36" t="n">
        <v>1</v>
      </c>
      <c r="U67" s="36"/>
      <c r="V67" s="36"/>
      <c r="W67" s="27"/>
      <c r="X67" s="27"/>
      <c r="Y67" s="27"/>
      <c r="Z67" s="37"/>
      <c r="AB67" s="35" t="s">
        <v>97</v>
      </c>
      <c r="AC67" s="36" t="n">
        <v>1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35" t="s">
        <v>98</v>
      </c>
      <c r="B68" s="36" t="n">
        <f aca="false">K29-B67</f>
        <v>32</v>
      </c>
      <c r="C68" s="36"/>
      <c r="D68" s="36"/>
      <c r="E68" s="27"/>
      <c r="F68" s="27"/>
      <c r="G68" s="27"/>
      <c r="H68" s="37"/>
      <c r="J68" s="35" t="s">
        <v>98</v>
      </c>
      <c r="K68" s="36" t="n">
        <f aca="false">K29-K67</f>
        <v>32</v>
      </c>
      <c r="L68" s="36"/>
      <c r="M68" s="36"/>
      <c r="N68" s="27"/>
      <c r="O68" s="27"/>
      <c r="P68" s="27"/>
      <c r="Q68" s="37"/>
      <c r="S68" s="35" t="s">
        <v>98</v>
      </c>
      <c r="T68" s="36" t="n">
        <f aca="false">K29-T67</f>
        <v>32</v>
      </c>
      <c r="U68" s="36"/>
      <c r="V68" s="36"/>
      <c r="W68" s="27"/>
      <c r="X68" s="27"/>
      <c r="Y68" s="27"/>
      <c r="Z68" s="37"/>
      <c r="AB68" s="35" t="s">
        <v>98</v>
      </c>
      <c r="AC68" s="36" t="n">
        <f aca="false">K29-AC67</f>
        <v>32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0" t="s">
        <v>99</v>
      </c>
      <c r="B69" s="81" t="n">
        <v>25</v>
      </c>
      <c r="C69" s="36"/>
      <c r="D69" s="36"/>
      <c r="E69" s="27"/>
      <c r="F69" s="27"/>
      <c r="G69" s="27"/>
      <c r="H69" s="37"/>
      <c r="J69" s="80" t="s">
        <v>99</v>
      </c>
      <c r="K69" s="81" t="n">
        <v>20</v>
      </c>
      <c r="L69" s="36"/>
      <c r="M69" s="36"/>
      <c r="N69" s="27"/>
      <c r="O69" s="27"/>
      <c r="P69" s="27"/>
      <c r="Q69" s="37"/>
      <c r="S69" s="80" t="s">
        <v>99</v>
      </c>
      <c r="T69" s="81" t="n">
        <v>10</v>
      </c>
      <c r="U69" s="36"/>
      <c r="V69" s="36"/>
      <c r="W69" s="27"/>
      <c r="X69" s="27"/>
      <c r="Y69" s="27"/>
      <c r="Z69" s="37"/>
      <c r="AB69" s="80" t="s">
        <v>99</v>
      </c>
      <c r="AC69" s="81" t="n">
        <v>10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35" t="s">
        <v>27</v>
      </c>
      <c r="B70" s="36" t="n">
        <f aca="false">J18</f>
        <v>52989.996</v>
      </c>
      <c r="C70" s="36"/>
      <c r="D70" s="36"/>
      <c r="E70" s="27"/>
      <c r="F70" s="27"/>
      <c r="G70" s="27"/>
      <c r="H70" s="37"/>
      <c r="J70" s="35" t="s">
        <v>27</v>
      </c>
      <c r="K70" s="36" t="n">
        <f aca="false">J18</f>
        <v>52989.996</v>
      </c>
      <c r="L70" s="36"/>
      <c r="M70" s="36"/>
      <c r="N70" s="27"/>
      <c r="O70" s="27"/>
      <c r="P70" s="27"/>
      <c r="Q70" s="37"/>
      <c r="S70" s="35" t="s">
        <v>27</v>
      </c>
      <c r="T70" s="36" t="n">
        <f aca="false">J18</f>
        <v>52989.996</v>
      </c>
      <c r="U70" s="36"/>
      <c r="V70" s="36"/>
      <c r="W70" s="27"/>
      <c r="X70" s="27"/>
      <c r="Y70" s="27"/>
      <c r="Z70" s="37"/>
      <c r="AB70" s="35" t="s">
        <v>27</v>
      </c>
      <c r="AC70" s="36" t="n">
        <f aca="false">J18</f>
        <v>52989.996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82" t="s">
        <v>100</v>
      </c>
      <c r="B71" s="83" t="n">
        <v>0</v>
      </c>
      <c r="C71" s="36"/>
      <c r="D71" s="36"/>
      <c r="E71" s="27"/>
      <c r="F71" s="27"/>
      <c r="G71" s="27"/>
      <c r="H71" s="37"/>
      <c r="J71" s="82" t="s">
        <v>100</v>
      </c>
      <c r="K71" s="83" t="n">
        <v>0.06</v>
      </c>
      <c r="L71" s="36"/>
      <c r="M71" s="36"/>
      <c r="N71" s="27"/>
      <c r="O71" s="27"/>
      <c r="P71" s="27"/>
      <c r="Q71" s="37"/>
      <c r="S71" s="82" t="s">
        <v>100</v>
      </c>
      <c r="T71" s="83" t="n">
        <f aca="false">IF(AND(K29&gt;=12,K29&lt;=24),0.0105,IF(AND(K29&gt;=48),-0.0075,0))</f>
        <v>-0.0075</v>
      </c>
      <c r="U71" s="36"/>
      <c r="V71" s="36"/>
      <c r="W71" s="27"/>
      <c r="X71" s="27"/>
      <c r="Y71" s="27"/>
      <c r="Z71" s="37"/>
      <c r="AB71" s="82" t="s">
        <v>100</v>
      </c>
      <c r="AC71" s="83" t="n">
        <f aca="false">IF(AND(K29&gt;=12,K29&lt;=24),0.0105,IF(AND(K29&gt;=48),-0.0075,0))</f>
        <v>-0.0075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4" t="s">
        <v>101</v>
      </c>
      <c r="B72" s="85" t="n">
        <v>0.065</v>
      </c>
      <c r="C72" s="36"/>
      <c r="D72" s="36"/>
      <c r="E72" s="27"/>
      <c r="F72" s="27"/>
      <c r="G72" s="27"/>
      <c r="H72" s="37"/>
      <c r="J72" s="84" t="s">
        <v>101</v>
      </c>
      <c r="K72" s="85" t="n">
        <v>0.08</v>
      </c>
      <c r="L72" s="36"/>
      <c r="M72" s="36"/>
      <c r="N72" s="27"/>
      <c r="O72" s="27"/>
      <c r="P72" s="27"/>
      <c r="Q72" s="37"/>
      <c r="S72" s="84" t="s">
        <v>101</v>
      </c>
      <c r="T72" s="85" t="n">
        <v>0.059</v>
      </c>
      <c r="U72" s="36"/>
      <c r="V72" s="36"/>
      <c r="W72" s="27"/>
      <c r="X72" s="27"/>
      <c r="Y72" s="27"/>
      <c r="Z72" s="37"/>
      <c r="AB72" s="84" t="s">
        <v>101</v>
      </c>
      <c r="AC72" s="85" t="n">
        <v>0.059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6" t="s">
        <v>102</v>
      </c>
      <c r="B73" s="87" t="n">
        <v>0.05</v>
      </c>
      <c r="C73" s="36"/>
      <c r="D73" s="36"/>
      <c r="E73" s="27"/>
      <c r="F73" s="27"/>
      <c r="G73" s="27"/>
      <c r="H73" s="37"/>
      <c r="J73" s="86" t="s">
        <v>102</v>
      </c>
      <c r="K73" s="87" t="n">
        <v>0.1</v>
      </c>
      <c r="L73" s="36"/>
      <c r="M73" s="36"/>
      <c r="N73" s="27"/>
      <c r="O73" s="27"/>
      <c r="P73" s="27"/>
      <c r="Q73" s="37"/>
      <c r="S73" s="86" t="s">
        <v>102</v>
      </c>
      <c r="T73" s="87" t="n">
        <f aca="false">IF(T117=AP117,2.4%,7.2%)</f>
        <v>0.072</v>
      </c>
      <c r="U73" s="36"/>
      <c r="V73" s="36"/>
      <c r="W73" s="27"/>
      <c r="X73" s="27"/>
      <c r="Y73" s="27"/>
      <c r="Z73" s="37"/>
      <c r="AB73" s="86" t="s">
        <v>102</v>
      </c>
      <c r="AC73" s="87" t="n">
        <f aca="false">IF(AC117=AP117,2.4%,7.2%)</f>
        <v>0.072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103</v>
      </c>
      <c r="B74" s="69" t="n">
        <f aca="false">(B98*B68)-(K47*K29)</f>
        <v>55542.1417972887</v>
      </c>
      <c r="C74" s="36"/>
      <c r="D74" s="36"/>
      <c r="E74" s="27"/>
      <c r="F74" s="27"/>
      <c r="G74" s="27"/>
      <c r="H74" s="37"/>
      <c r="J74" s="60" t="s">
        <v>103</v>
      </c>
      <c r="K74" s="69" t="n">
        <f aca="false">(K98*K68)-(K47*K29)</f>
        <v>48851.2896008064</v>
      </c>
      <c r="L74" s="36"/>
      <c r="M74" s="36"/>
      <c r="N74" s="27"/>
      <c r="O74" s="27"/>
      <c r="P74" s="27"/>
      <c r="Q74" s="37"/>
      <c r="S74" s="60" t="s">
        <v>103</v>
      </c>
      <c r="T74" s="69" t="n">
        <f aca="false">(T98*T68)-(K47*K29)</f>
        <v>49348.1539063192</v>
      </c>
      <c r="U74" s="36"/>
      <c r="V74" s="36"/>
      <c r="W74" s="27"/>
      <c r="X74" s="27"/>
      <c r="Y74" s="27"/>
      <c r="Z74" s="37"/>
      <c r="AB74" s="60" t="s">
        <v>103</v>
      </c>
      <c r="AC74" s="69" t="n">
        <f aca="false">(AC98*AC68)-(K47*K29)</f>
        <v>49348.1539063192</v>
      </c>
      <c r="AD74" s="36"/>
      <c r="AE74" s="36"/>
      <c r="AF74" s="27"/>
      <c r="AG74" s="27"/>
      <c r="AH74" s="27"/>
      <c r="AI74" s="37"/>
    </row>
    <row r="75" customFormat="false" ht="18.75" hidden="false" customHeight="false" outlineLevel="0" collapsed="false">
      <c r="A75" s="82" t="s">
        <v>104</v>
      </c>
      <c r="B75" s="83" t="n">
        <v>0.015</v>
      </c>
      <c r="C75" s="36"/>
      <c r="D75" s="36"/>
      <c r="E75" s="27"/>
      <c r="F75" s="27"/>
      <c r="G75" s="27"/>
      <c r="H75" s="37"/>
      <c r="J75" s="82" t="s">
        <v>104</v>
      </c>
      <c r="K75" s="83" t="n">
        <v>0.05</v>
      </c>
      <c r="L75" s="36"/>
      <c r="M75" s="36"/>
      <c r="N75" s="27"/>
      <c r="O75" s="27"/>
      <c r="P75" s="27"/>
      <c r="Q75" s="37"/>
      <c r="S75" s="82" t="s">
        <v>104</v>
      </c>
      <c r="T75" s="83" t="n">
        <v>0.005</v>
      </c>
      <c r="U75" s="36"/>
      <c r="V75" s="36"/>
      <c r="W75" s="27"/>
      <c r="X75" s="27"/>
      <c r="Y75" s="27"/>
      <c r="Z75" s="37"/>
      <c r="AB75" s="82" t="s">
        <v>104</v>
      </c>
      <c r="AC75" s="83" t="n">
        <v>0.005</v>
      </c>
      <c r="AD75" s="36"/>
      <c r="AE75" s="36"/>
      <c r="AF75" s="27"/>
      <c r="AG75" s="27"/>
      <c r="AH75" s="27"/>
      <c r="AI75" s="37"/>
    </row>
    <row r="76" customFormat="false" ht="18.75" hidden="false" customHeight="false" outlineLevel="0" collapsed="false">
      <c r="A76" s="35"/>
      <c r="B76" s="88" t="n">
        <f aca="false">B75</f>
        <v>0.015</v>
      </c>
      <c r="C76" s="36"/>
      <c r="D76" s="36"/>
      <c r="E76" s="27"/>
      <c r="F76" s="27"/>
      <c r="G76" s="27"/>
      <c r="H76" s="37"/>
      <c r="J76" s="35" t="s">
        <v>105</v>
      </c>
      <c r="K76" s="88" t="n">
        <f aca="false">K75+(K75*0.25*(K29/12-1))</f>
        <v>0.071875</v>
      </c>
      <c r="L76" s="36"/>
      <c r="M76" s="36"/>
      <c r="N76" s="27"/>
      <c r="O76" s="27"/>
      <c r="P76" s="27"/>
      <c r="Q76" s="37"/>
      <c r="S76" s="35" t="s">
        <v>105</v>
      </c>
      <c r="T76" s="88" t="n">
        <f aca="false">T75+(T75*0.5*(K29/12-1))</f>
        <v>0.009375</v>
      </c>
      <c r="U76" s="36"/>
      <c r="V76" s="36"/>
      <c r="W76" s="27"/>
      <c r="X76" s="27"/>
      <c r="Y76" s="27"/>
      <c r="Z76" s="37"/>
      <c r="AB76" s="35" t="s">
        <v>105</v>
      </c>
      <c r="AC76" s="88" t="n">
        <f aca="false">AC75+(AC75*0.5*(K29/12-1))</f>
        <v>0.009375</v>
      </c>
      <c r="AD76" s="36"/>
      <c r="AE76" s="36"/>
      <c r="AF76" s="27"/>
      <c r="AG76" s="27"/>
      <c r="AH76" s="27"/>
      <c r="AI76" s="37"/>
    </row>
    <row r="77" customFormat="false" ht="18.75" hidden="false" customHeight="false" outlineLevel="0" collapsed="false">
      <c r="A77" s="60" t="s">
        <v>106</v>
      </c>
      <c r="B77" s="69" t="n">
        <f aca="false">(G167*B76)</f>
        <v>841.9319412</v>
      </c>
      <c r="C77" s="36"/>
      <c r="D77" s="36"/>
      <c r="E77" s="27"/>
      <c r="F77" s="27"/>
      <c r="G77" s="27"/>
      <c r="H77" s="37"/>
      <c r="J77" s="60" t="s">
        <v>106</v>
      </c>
      <c r="K77" s="69" t="n">
        <f aca="false">K70*K76</f>
        <v>3808.6559625</v>
      </c>
      <c r="L77" s="36"/>
      <c r="M77" s="36"/>
      <c r="N77" s="27"/>
      <c r="O77" s="27"/>
      <c r="P77" s="27"/>
      <c r="Q77" s="37"/>
      <c r="S77" s="60" t="s">
        <v>106</v>
      </c>
      <c r="T77" s="69" t="n">
        <f aca="false">T70*T76</f>
        <v>496.7812125</v>
      </c>
      <c r="U77" s="36"/>
      <c r="V77" s="36"/>
      <c r="W77" s="27"/>
      <c r="X77" s="27"/>
      <c r="Y77" s="27"/>
      <c r="Z77" s="37"/>
      <c r="AB77" s="60" t="s">
        <v>106</v>
      </c>
      <c r="AC77" s="69" t="n">
        <f aca="false">AH167*AC76</f>
        <v>392.648409375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82" t="s">
        <v>107</v>
      </c>
      <c r="B78" s="83" t="n">
        <v>0</v>
      </c>
      <c r="C78" s="36"/>
      <c r="D78" s="36"/>
      <c r="E78" s="27"/>
      <c r="F78" s="27"/>
      <c r="G78" s="27"/>
      <c r="H78" s="37"/>
      <c r="J78" s="82" t="s">
        <v>107</v>
      </c>
      <c r="K78" s="83" t="n">
        <v>0</v>
      </c>
      <c r="L78" s="36"/>
      <c r="M78" s="36"/>
      <c r="N78" s="27"/>
      <c r="O78" s="27"/>
      <c r="P78" s="27"/>
      <c r="Q78" s="37"/>
      <c r="S78" s="82" t="s">
        <v>107</v>
      </c>
      <c r="T78" s="83" t="n">
        <v>0</v>
      </c>
      <c r="U78" s="36"/>
      <c r="V78" s="36"/>
      <c r="W78" s="27"/>
      <c r="X78" s="27"/>
      <c r="Y78" s="27"/>
      <c r="Z78" s="37"/>
      <c r="AB78" s="82" t="s">
        <v>107</v>
      </c>
      <c r="AC78" s="83" t="n"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84" t="s">
        <v>108</v>
      </c>
      <c r="B79" s="85" t="n">
        <v>0</v>
      </c>
      <c r="C79" s="36"/>
      <c r="D79" s="36"/>
      <c r="E79" s="27"/>
      <c r="F79" s="27"/>
      <c r="G79" s="27"/>
      <c r="H79" s="37"/>
      <c r="J79" s="84" t="s">
        <v>108</v>
      </c>
      <c r="K79" s="85" t="n">
        <v>0</v>
      </c>
      <c r="L79" s="36"/>
      <c r="M79" s="36"/>
      <c r="N79" s="27"/>
      <c r="O79" s="27"/>
      <c r="P79" s="27"/>
      <c r="Q79" s="37"/>
      <c r="S79" s="84" t="s">
        <v>108</v>
      </c>
      <c r="T79" s="85" t="n">
        <v>0</v>
      </c>
      <c r="U79" s="36"/>
      <c r="V79" s="36"/>
      <c r="W79" s="27"/>
      <c r="X79" s="27"/>
      <c r="Y79" s="27"/>
      <c r="Z79" s="37"/>
      <c r="AB79" s="84" t="s">
        <v>108</v>
      </c>
      <c r="AC79" s="85" t="n">
        <v>0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60" t="s">
        <v>109</v>
      </c>
      <c r="B80" s="89" t="n">
        <f aca="false">B78*(1+B79)</f>
        <v>0</v>
      </c>
      <c r="C80" s="36"/>
      <c r="D80" s="36"/>
      <c r="E80" s="27"/>
      <c r="F80" s="27"/>
      <c r="G80" s="27"/>
      <c r="H80" s="37"/>
      <c r="J80" s="60" t="s">
        <v>109</v>
      </c>
      <c r="K80" s="89" t="n">
        <f aca="false">K78*(1+K79)</f>
        <v>0</v>
      </c>
      <c r="L80" s="36"/>
      <c r="M80" s="36"/>
      <c r="N80" s="27"/>
      <c r="O80" s="27"/>
      <c r="P80" s="27"/>
      <c r="Q80" s="37"/>
      <c r="S80" s="60" t="s">
        <v>109</v>
      </c>
      <c r="T80" s="89" t="n">
        <f aca="false">T78*(1+T79)</f>
        <v>0</v>
      </c>
      <c r="U80" s="36"/>
      <c r="V80" s="36"/>
      <c r="W80" s="27"/>
      <c r="X80" s="27"/>
      <c r="Y80" s="27"/>
      <c r="Z80" s="37"/>
      <c r="AB80" s="60" t="s">
        <v>109</v>
      </c>
      <c r="AC80" s="89" t="n">
        <f aca="false">AC78*(1+AC79)</f>
        <v>0</v>
      </c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82" t="s">
        <v>110</v>
      </c>
      <c r="B81" s="90" t="n">
        <v>0</v>
      </c>
      <c r="C81" s="36"/>
      <c r="D81" s="36"/>
      <c r="E81" s="27"/>
      <c r="F81" s="27"/>
      <c r="G81" s="27"/>
      <c r="H81" s="37"/>
      <c r="J81" s="82" t="s">
        <v>110</v>
      </c>
      <c r="K81" s="90" t="n">
        <v>0</v>
      </c>
      <c r="L81" s="36"/>
      <c r="M81" s="36"/>
      <c r="N81" s="27"/>
      <c r="O81" s="27"/>
      <c r="P81" s="27"/>
      <c r="Q81" s="37"/>
      <c r="S81" s="82" t="s">
        <v>110</v>
      </c>
      <c r="T81" s="90" t="n">
        <v>0</v>
      </c>
      <c r="U81" s="36"/>
      <c r="V81" s="36"/>
      <c r="W81" s="27"/>
      <c r="X81" s="27"/>
      <c r="Y81" s="27"/>
      <c r="Z81" s="37"/>
      <c r="AB81" s="82" t="s">
        <v>110</v>
      </c>
      <c r="AC81" s="90" t="n">
        <v>0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84" t="s">
        <v>111</v>
      </c>
      <c r="B82" s="81" t="n">
        <v>0</v>
      </c>
      <c r="C82" s="36"/>
      <c r="D82" s="36"/>
      <c r="E82" s="27"/>
      <c r="F82" s="27"/>
      <c r="G82" s="27"/>
      <c r="H82" s="37"/>
      <c r="J82" s="84" t="s">
        <v>111</v>
      </c>
      <c r="K82" s="81" t="n">
        <v>0</v>
      </c>
      <c r="L82" s="36"/>
      <c r="M82" s="36"/>
      <c r="N82" s="27"/>
      <c r="O82" s="27"/>
      <c r="P82" s="27"/>
      <c r="Q82" s="37"/>
      <c r="S82" s="84" t="s">
        <v>111</v>
      </c>
      <c r="T82" s="81" t="n">
        <v>0</v>
      </c>
      <c r="U82" s="36"/>
      <c r="V82" s="36"/>
      <c r="W82" s="27"/>
      <c r="X82" s="27"/>
      <c r="Y82" s="27"/>
      <c r="Z82" s="37"/>
      <c r="AB82" s="84" t="s">
        <v>111</v>
      </c>
      <c r="AC82" s="81" t="n">
        <v>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60" t="s">
        <v>112</v>
      </c>
      <c r="B83" s="69" t="n">
        <f aca="false">B82*K29</f>
        <v>0</v>
      </c>
      <c r="C83" s="36"/>
      <c r="D83" s="36" t="n">
        <f aca="false">B83+B81</f>
        <v>0</v>
      </c>
      <c r="E83" s="27"/>
      <c r="F83" s="27"/>
      <c r="G83" s="27"/>
      <c r="H83" s="37"/>
      <c r="J83" s="60" t="s">
        <v>112</v>
      </c>
      <c r="K83" s="69" t="n">
        <f aca="false">K82*K29</f>
        <v>0</v>
      </c>
      <c r="L83" s="36"/>
      <c r="M83" s="36" t="n">
        <f aca="false">K83+K81</f>
        <v>0</v>
      </c>
      <c r="N83" s="27"/>
      <c r="O83" s="27"/>
      <c r="P83" s="27"/>
      <c r="Q83" s="37"/>
      <c r="S83" s="60" t="s">
        <v>112</v>
      </c>
      <c r="T83" s="69" t="n">
        <f aca="false">T82*K29</f>
        <v>0</v>
      </c>
      <c r="U83" s="36"/>
      <c r="V83" s="36" t="n">
        <f aca="false">T83+T81</f>
        <v>0</v>
      </c>
      <c r="W83" s="27"/>
      <c r="X83" s="27"/>
      <c r="Y83" s="27"/>
      <c r="Z83" s="37"/>
      <c r="AB83" s="60" t="s">
        <v>112</v>
      </c>
      <c r="AC83" s="69" t="n">
        <f aca="false">AC82*K29</f>
        <v>0</v>
      </c>
      <c r="AD83" s="36"/>
      <c r="AE83" s="36" t="n">
        <f aca="false">AC83+AC81</f>
        <v>0</v>
      </c>
      <c r="AF83" s="27"/>
      <c r="AG83" s="27"/>
      <c r="AH83" s="27"/>
      <c r="AI83" s="37"/>
    </row>
    <row r="84" customFormat="false" ht="18.75" hidden="false" customHeight="false" outlineLevel="0" collapsed="false">
      <c r="A84" s="84" t="s">
        <v>113</v>
      </c>
      <c r="B84" s="81" t="n">
        <v>0</v>
      </c>
      <c r="C84" s="36"/>
      <c r="D84" s="36" t="n">
        <f aca="false">B84</f>
        <v>0</v>
      </c>
      <c r="E84" s="27"/>
      <c r="F84" s="27"/>
      <c r="G84" s="27"/>
      <c r="H84" s="37"/>
      <c r="J84" s="84" t="s">
        <v>113</v>
      </c>
      <c r="K84" s="81" t="n">
        <v>0</v>
      </c>
      <c r="L84" s="36"/>
      <c r="M84" s="36" t="n">
        <f aca="false">K84</f>
        <v>0</v>
      </c>
      <c r="N84" s="27"/>
      <c r="O84" s="27"/>
      <c r="P84" s="27"/>
      <c r="Q84" s="37"/>
      <c r="S84" s="84" t="s">
        <v>113</v>
      </c>
      <c r="T84" s="81" t="n">
        <v>0</v>
      </c>
      <c r="U84" s="36"/>
      <c r="V84" s="36" t="n">
        <f aca="false">T84</f>
        <v>0</v>
      </c>
      <c r="W84" s="27"/>
      <c r="X84" s="27"/>
      <c r="Y84" s="27"/>
      <c r="Z84" s="37"/>
      <c r="AB84" s="84" t="s">
        <v>113</v>
      </c>
      <c r="AC84" s="81" t="n">
        <v>0</v>
      </c>
      <c r="AD84" s="36"/>
      <c r="AE84" s="36" t="n">
        <f aca="false">AC84</f>
        <v>0</v>
      </c>
      <c r="AF84" s="27"/>
      <c r="AG84" s="27"/>
      <c r="AH84" s="27"/>
      <c r="AI84" s="37"/>
    </row>
    <row r="85" customFormat="false" ht="18.75" hidden="false" customHeight="false" outlineLevel="0" collapsed="false">
      <c r="A85" s="86" t="s">
        <v>114</v>
      </c>
      <c r="B85" s="91" t="n">
        <v>0</v>
      </c>
      <c r="C85" s="36"/>
      <c r="D85" s="36" t="n">
        <f aca="false">B85</f>
        <v>0</v>
      </c>
      <c r="E85" s="27"/>
      <c r="F85" s="36"/>
      <c r="G85" s="27"/>
      <c r="H85" s="37"/>
      <c r="J85" s="86" t="s">
        <v>114</v>
      </c>
      <c r="K85" s="91" t="n">
        <v>0</v>
      </c>
      <c r="L85" s="36"/>
      <c r="M85" s="36" t="n">
        <f aca="false">K85</f>
        <v>0</v>
      </c>
      <c r="N85" s="27"/>
      <c r="O85" s="27"/>
      <c r="P85" s="27"/>
      <c r="Q85" s="37"/>
      <c r="S85" s="86" t="s">
        <v>114</v>
      </c>
      <c r="T85" s="91" t="n">
        <v>0</v>
      </c>
      <c r="U85" s="36"/>
      <c r="V85" s="36" t="n">
        <f aca="false">T85</f>
        <v>0</v>
      </c>
      <c r="W85" s="27"/>
      <c r="X85" s="27"/>
      <c r="Y85" s="27"/>
      <c r="Z85" s="37"/>
      <c r="AB85" s="86" t="s">
        <v>114</v>
      </c>
      <c r="AC85" s="91" t="n">
        <v>0</v>
      </c>
      <c r="AD85" s="36"/>
      <c r="AE85" s="36" t="n">
        <f aca="false">AC85</f>
        <v>0</v>
      </c>
      <c r="AF85" s="27"/>
      <c r="AG85" s="27"/>
      <c r="AH85" s="27"/>
      <c r="AI85" s="37"/>
    </row>
    <row r="86" customFormat="false" ht="18.75" hidden="false" customHeight="false" outlineLevel="0" collapsed="false">
      <c r="A86" s="92" t="s">
        <v>115</v>
      </c>
      <c r="B86" s="93" t="n">
        <f aca="false">SUM(D74:D85)</f>
        <v>0</v>
      </c>
      <c r="C86" s="36"/>
      <c r="D86" s="36"/>
      <c r="E86" s="27"/>
      <c r="F86" s="36"/>
      <c r="G86" s="36"/>
      <c r="H86" s="37"/>
      <c r="J86" s="92" t="s">
        <v>115</v>
      </c>
      <c r="K86" s="93" t="n">
        <f aca="false">SUM(M74:M85)</f>
        <v>0</v>
      </c>
      <c r="L86" s="36"/>
      <c r="M86" s="36"/>
      <c r="N86" s="27"/>
      <c r="O86" s="27"/>
      <c r="P86" s="27"/>
      <c r="Q86" s="37"/>
      <c r="S86" s="92" t="s">
        <v>115</v>
      </c>
      <c r="T86" s="93" t="n">
        <f aca="false">SUM(V74:V85)</f>
        <v>0</v>
      </c>
      <c r="U86" s="36"/>
      <c r="V86" s="36"/>
      <c r="W86" s="27"/>
      <c r="X86" s="27"/>
      <c r="Y86" s="27"/>
      <c r="Z86" s="37"/>
      <c r="AB86" s="92" t="s">
        <v>115</v>
      </c>
      <c r="AC86" s="93" t="n">
        <f aca="false">SUM(AE74:AE85)</f>
        <v>0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116</v>
      </c>
      <c r="B87" s="37" t="n">
        <f aca="false">B86/K29</f>
        <v>0</v>
      </c>
      <c r="C87" s="36"/>
      <c r="D87" s="36"/>
      <c r="E87" s="27"/>
      <c r="F87" s="27"/>
      <c r="G87" s="27"/>
      <c r="H87" s="37"/>
      <c r="J87" s="35" t="s">
        <v>116</v>
      </c>
      <c r="K87" s="37" t="n">
        <f aca="false">K86/K29</f>
        <v>0</v>
      </c>
      <c r="L87" s="36"/>
      <c r="M87" s="36"/>
      <c r="N87" s="27"/>
      <c r="O87" s="27"/>
      <c r="P87" s="27"/>
      <c r="Q87" s="37"/>
      <c r="S87" s="35" t="s">
        <v>116</v>
      </c>
      <c r="T87" s="37" t="n">
        <f aca="false">T86/K29</f>
        <v>0</v>
      </c>
      <c r="U87" s="36"/>
      <c r="V87" s="36"/>
      <c r="W87" s="27"/>
      <c r="X87" s="27"/>
      <c r="Y87" s="27"/>
      <c r="Z87" s="37"/>
      <c r="AB87" s="35" t="s">
        <v>116</v>
      </c>
      <c r="AC87" s="37" t="n">
        <f aca="false">AC86/K29</f>
        <v>0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94" t="s">
        <v>117</v>
      </c>
      <c r="B88" s="63" t="n">
        <f aca="false">K49</f>
        <v>268.980827878788</v>
      </c>
      <c r="C88" s="36"/>
      <c r="D88" s="36"/>
      <c r="E88" s="27"/>
      <c r="F88" s="27"/>
      <c r="G88" s="27"/>
      <c r="H88" s="37"/>
      <c r="J88" s="94" t="s">
        <v>117</v>
      </c>
      <c r="K88" s="63" t="n">
        <f aca="false">K47</f>
        <v>0.363636363636364</v>
      </c>
      <c r="L88" s="36"/>
      <c r="M88" s="36"/>
      <c r="N88" s="27"/>
      <c r="O88" s="27"/>
      <c r="P88" s="27"/>
      <c r="Q88" s="37"/>
      <c r="S88" s="94" t="s">
        <v>117</v>
      </c>
      <c r="T88" s="63" t="n">
        <f aca="false">B60</f>
        <v>268.980827878788</v>
      </c>
      <c r="U88" s="36"/>
      <c r="V88" s="36"/>
      <c r="W88" s="27"/>
      <c r="X88" s="27"/>
      <c r="Y88" s="27"/>
      <c r="Z88" s="37"/>
      <c r="AB88" s="94" t="s">
        <v>117</v>
      </c>
      <c r="AC88" s="63" t="n">
        <f aca="false">B60</f>
        <v>268.980827878788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/>
      <c r="B89" s="36"/>
      <c r="C89" s="36"/>
      <c r="D89" s="36"/>
      <c r="E89" s="27"/>
      <c r="F89" s="27"/>
      <c r="G89" s="27"/>
      <c r="H89" s="37"/>
      <c r="J89" s="35"/>
      <c r="K89" s="36"/>
      <c r="L89" s="36"/>
      <c r="M89" s="36"/>
      <c r="N89" s="27"/>
      <c r="O89" s="27"/>
      <c r="P89" s="27"/>
      <c r="Q89" s="37"/>
      <c r="S89" s="35"/>
      <c r="T89" s="36"/>
      <c r="U89" s="36"/>
      <c r="V89" s="36"/>
      <c r="W89" s="27"/>
      <c r="X89" s="27"/>
      <c r="Y89" s="27"/>
      <c r="Z89" s="37"/>
      <c r="AB89" s="35"/>
      <c r="AC89" s="36"/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29" t="s">
        <v>118</v>
      </c>
      <c r="B90" s="31" t="n">
        <f aca="false">F37</f>
        <v>52028.79608</v>
      </c>
      <c r="C90" s="36"/>
      <c r="D90" s="36"/>
      <c r="E90" s="27"/>
      <c r="F90" s="29" t="s">
        <v>118</v>
      </c>
      <c r="G90" s="31" t="n">
        <f aca="false">F37</f>
        <v>52028.79608</v>
      </c>
      <c r="H90" s="37"/>
      <c r="J90" s="29" t="s">
        <v>118</v>
      </c>
      <c r="K90" s="31" t="n">
        <f aca="false">P167</f>
        <v>36630.004</v>
      </c>
      <c r="L90" s="36"/>
      <c r="M90" s="36"/>
      <c r="N90" s="27"/>
      <c r="O90" s="27"/>
      <c r="P90" s="27"/>
      <c r="Q90" s="37"/>
      <c r="S90" s="29" t="s">
        <v>118</v>
      </c>
      <c r="T90" s="31" t="n">
        <f aca="false">Y167</f>
        <v>41882.497</v>
      </c>
      <c r="U90" s="36"/>
      <c r="V90" s="36"/>
      <c r="W90" s="27"/>
      <c r="X90" s="27"/>
      <c r="Y90" s="27"/>
      <c r="Z90" s="37"/>
      <c r="AB90" s="29" t="s">
        <v>118</v>
      </c>
      <c r="AC90" s="31" t="n">
        <f aca="false">AH167</f>
        <v>41882.497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119</v>
      </c>
      <c r="B91" s="37" t="n">
        <f aca="false">IF(A111="YES",A43,0)*1.2</f>
        <v>6000</v>
      </c>
      <c r="C91" s="36"/>
      <c r="D91" s="36"/>
      <c r="E91" s="27"/>
      <c r="F91" s="35" t="s">
        <v>119</v>
      </c>
      <c r="G91" s="37" t="n">
        <f aca="false">IF(A111="YES",A43,0)*1.2</f>
        <v>6000</v>
      </c>
      <c r="H91" s="37"/>
      <c r="J91" s="35" t="s">
        <v>119</v>
      </c>
      <c r="K91" s="37" t="n">
        <f aca="false">IF(J120="YES",A40,0)</f>
        <v>0</v>
      </c>
      <c r="L91" s="36"/>
      <c r="M91" s="36"/>
      <c r="N91" s="27"/>
      <c r="O91" s="27"/>
      <c r="P91" s="27"/>
      <c r="Q91" s="37"/>
      <c r="S91" s="35" t="s">
        <v>119</v>
      </c>
      <c r="T91" s="37" t="str">
        <f aca="false">A40</f>
        <v>12</v>
      </c>
      <c r="U91" s="36"/>
      <c r="V91" s="36"/>
      <c r="W91" s="27"/>
      <c r="X91" s="27"/>
      <c r="Y91" s="27"/>
      <c r="Z91" s="37"/>
      <c r="AB91" s="35" t="s">
        <v>119</v>
      </c>
      <c r="AC91" s="37" t="str">
        <f aca="false">A40</f>
        <v>12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35" t="s">
        <v>120</v>
      </c>
      <c r="B92" s="88" t="n">
        <f aca="false">B71+B72+B73</f>
        <v>0.115</v>
      </c>
      <c r="C92" s="36"/>
      <c r="D92" s="36"/>
      <c r="E92" s="27"/>
      <c r="F92" s="35" t="s">
        <v>120</v>
      </c>
      <c r="G92" s="95" t="n">
        <f aca="false">B72</f>
        <v>0.065</v>
      </c>
      <c r="H92" s="37"/>
      <c r="J92" s="35" t="s">
        <v>120</v>
      </c>
      <c r="K92" s="88" t="n">
        <f aca="false">K71+K72+K73</f>
        <v>0.24</v>
      </c>
      <c r="L92" s="36"/>
      <c r="M92" s="36"/>
      <c r="N92" s="27"/>
      <c r="O92" s="27"/>
      <c r="P92" s="27"/>
      <c r="Q92" s="37"/>
      <c r="S92" s="35" t="s">
        <v>120</v>
      </c>
      <c r="T92" s="88" t="n">
        <f aca="false">T71+T72+T73</f>
        <v>0.1235</v>
      </c>
      <c r="U92" s="36"/>
      <c r="V92" s="36"/>
      <c r="W92" s="27"/>
      <c r="X92" s="27"/>
      <c r="Y92" s="27"/>
      <c r="Z92" s="37"/>
      <c r="AB92" s="35" t="s">
        <v>120</v>
      </c>
      <c r="AC92" s="88" t="n">
        <f aca="false">AC71+AC72+AC73</f>
        <v>0.1235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 t="s">
        <v>121</v>
      </c>
      <c r="B93" s="88" t="n">
        <f aca="false">B92/12</f>
        <v>0.00958333333333333</v>
      </c>
      <c r="C93" s="36"/>
      <c r="D93" s="36"/>
      <c r="E93" s="27"/>
      <c r="F93" s="35" t="s">
        <v>121</v>
      </c>
      <c r="G93" s="88" t="n">
        <f aca="false">G92/12</f>
        <v>0.00541666666666667</v>
      </c>
      <c r="H93" s="37"/>
      <c r="J93" s="35" t="s">
        <v>121</v>
      </c>
      <c r="K93" s="88" t="n">
        <f aca="false">K92/12</f>
        <v>0.02</v>
      </c>
      <c r="L93" s="36"/>
      <c r="M93" s="36"/>
      <c r="N93" s="27"/>
      <c r="O93" s="27"/>
      <c r="P93" s="27"/>
      <c r="Q93" s="37"/>
      <c r="S93" s="35" t="s">
        <v>121</v>
      </c>
      <c r="T93" s="88" t="n">
        <f aca="false">T92/12</f>
        <v>0.0102916666666667</v>
      </c>
      <c r="U93" s="36"/>
      <c r="V93" s="36"/>
      <c r="W93" s="27"/>
      <c r="X93" s="27"/>
      <c r="Y93" s="27"/>
      <c r="Z93" s="37"/>
      <c r="AB93" s="35" t="s">
        <v>121</v>
      </c>
      <c r="AC93" s="88" t="n">
        <f aca="false">AC92/12</f>
        <v>0.0102916666666667</v>
      </c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35" t="s">
        <v>122</v>
      </c>
      <c r="B94" s="37" t="n">
        <f aca="false">IF(B91=0,(B68+B67),(B68))</f>
        <v>32</v>
      </c>
      <c r="C94" s="36"/>
      <c r="D94" s="36"/>
      <c r="E94" s="27"/>
      <c r="F94" s="35" t="s">
        <v>122</v>
      </c>
      <c r="G94" s="37" t="n">
        <f aca="false">IF(G91=0,(B68+B67),(B68))</f>
        <v>32</v>
      </c>
      <c r="H94" s="37"/>
      <c r="J94" s="35" t="s">
        <v>122</v>
      </c>
      <c r="K94" s="37" t="n">
        <f aca="false">IF(K91=0,(K68+K67),(K68))</f>
        <v>33</v>
      </c>
      <c r="L94" s="36"/>
      <c r="M94" s="36"/>
      <c r="N94" s="27"/>
      <c r="O94" s="27"/>
      <c r="P94" s="27"/>
      <c r="Q94" s="37"/>
      <c r="S94" s="35" t="s">
        <v>122</v>
      </c>
      <c r="T94" s="37" t="n">
        <f aca="false">T68</f>
        <v>32</v>
      </c>
      <c r="U94" s="36"/>
      <c r="V94" s="36"/>
      <c r="W94" s="27"/>
      <c r="X94" s="27"/>
      <c r="Y94" s="27"/>
      <c r="Z94" s="37"/>
      <c r="AB94" s="35" t="s">
        <v>122</v>
      </c>
      <c r="AC94" s="37" t="n">
        <f aca="false">AC68</f>
        <v>32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35" t="s">
        <v>123</v>
      </c>
      <c r="B95" s="37" t="n">
        <f aca="false">(B91/((1+B93)^(B94+1)))</f>
        <v>4379.8532592462</v>
      </c>
      <c r="C95" s="36"/>
      <c r="D95" s="36"/>
      <c r="E95" s="27"/>
      <c r="F95" s="35" t="s">
        <v>123</v>
      </c>
      <c r="G95" s="37" t="n">
        <f aca="false">(G91/((1+G93)^(G94+1)))</f>
        <v>5020.31079273804</v>
      </c>
      <c r="H95" s="37"/>
      <c r="J95" s="35" t="s">
        <v>123</v>
      </c>
      <c r="K95" s="37" t="n">
        <f aca="false">(K91/((1+K93)^(K94+1)))</f>
        <v>0</v>
      </c>
      <c r="L95" s="36"/>
      <c r="M95" s="36"/>
      <c r="N95" s="27"/>
      <c r="O95" s="27"/>
      <c r="P95" s="27"/>
      <c r="Q95" s="37"/>
      <c r="S95" s="35" t="s">
        <v>123</v>
      </c>
      <c r="T95" s="37" t="n">
        <f aca="false">(T91/((1+T93)^(T94+1)))</f>
        <v>8.55929138316766</v>
      </c>
      <c r="U95" s="36"/>
      <c r="V95" s="36"/>
      <c r="W95" s="27"/>
      <c r="X95" s="27"/>
      <c r="Y95" s="27"/>
      <c r="Z95" s="37"/>
      <c r="AB95" s="35" t="s">
        <v>123</v>
      </c>
      <c r="AC95" s="37" t="n">
        <f aca="false">(AC91/((1+AC93)^(AC94+1)))</f>
        <v>8.55929138316766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35" t="s">
        <v>124</v>
      </c>
      <c r="B96" s="37" t="n">
        <f aca="false">((1-(1/((1+B93)^B94)))/B93)</f>
        <v>27.4464895133802</v>
      </c>
      <c r="C96" s="36"/>
      <c r="D96" s="36"/>
      <c r="E96" s="27"/>
      <c r="F96" s="35" t="s">
        <v>124</v>
      </c>
      <c r="G96" s="37" t="n">
        <f aca="false">((1-(1/((1+G93)^G94)))/G93)</f>
        <v>29.3075648349115</v>
      </c>
      <c r="H96" s="37"/>
      <c r="J96" s="35" t="s">
        <v>124</v>
      </c>
      <c r="K96" s="37" t="n">
        <f aca="false">((1-(1/((1+K93)^K94)))/K93)</f>
        <v>23.9885635530494</v>
      </c>
      <c r="L96" s="36"/>
      <c r="M96" s="36"/>
      <c r="N96" s="27"/>
      <c r="O96" s="27"/>
      <c r="P96" s="27"/>
      <c r="Q96" s="37"/>
      <c r="S96" s="35" t="s">
        <v>124</v>
      </c>
      <c r="T96" s="37" t="n">
        <f aca="false">((1-(1/((1+T93)^T94)))/T93)</f>
        <v>27.1467145183312</v>
      </c>
      <c r="U96" s="36"/>
      <c r="V96" s="36"/>
      <c r="W96" s="27"/>
      <c r="X96" s="27"/>
      <c r="Y96" s="27"/>
      <c r="Z96" s="37"/>
      <c r="AB96" s="35" t="s">
        <v>124</v>
      </c>
      <c r="AC96" s="37" t="n">
        <f aca="false">((1-(1/((1+AC93)^AC94)))/AC93)</f>
        <v>27.1467145183312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35" t="s">
        <v>125</v>
      </c>
      <c r="B97" s="37" t="n">
        <f aca="false">B90-B95</f>
        <v>47648.9428207538</v>
      </c>
      <c r="C97" s="36"/>
      <c r="D97" s="36"/>
      <c r="E97" s="27"/>
      <c r="F97" s="35" t="s">
        <v>125</v>
      </c>
      <c r="G97" s="37" t="n">
        <f aca="false">G90-G95</f>
        <v>47008.485287262</v>
      </c>
      <c r="H97" s="37"/>
      <c r="J97" s="35" t="s">
        <v>125</v>
      </c>
      <c r="K97" s="37" t="n">
        <f aca="false">K90-K95</f>
        <v>36630.004</v>
      </c>
      <c r="L97" s="36"/>
      <c r="M97" s="36"/>
      <c r="N97" s="27"/>
      <c r="O97" s="27"/>
      <c r="P97" s="27"/>
      <c r="Q97" s="37"/>
      <c r="S97" s="35" t="s">
        <v>125</v>
      </c>
      <c r="T97" s="37" t="n">
        <f aca="false">T90-T95</f>
        <v>41873.9377086168</v>
      </c>
      <c r="U97" s="36"/>
      <c r="V97" s="36"/>
      <c r="W97" s="27"/>
      <c r="X97" s="27"/>
      <c r="Y97" s="27"/>
      <c r="Z97" s="37"/>
      <c r="AB97" s="35" t="s">
        <v>125</v>
      </c>
      <c r="AC97" s="37" t="n">
        <f aca="false">AC90-AC95</f>
        <v>41873.9377086168</v>
      </c>
      <c r="AD97" s="36"/>
      <c r="AE97" s="36"/>
      <c r="AF97" s="27"/>
      <c r="AG97" s="27"/>
      <c r="AH97" s="27"/>
      <c r="AI97" s="37"/>
    </row>
    <row r="98" customFormat="false" ht="18.75" hidden="false" customHeight="false" outlineLevel="0" collapsed="false">
      <c r="A98" s="35" t="s">
        <v>126</v>
      </c>
      <c r="B98" s="37" t="n">
        <f aca="false">(B97/B96)</f>
        <v>1736.06693116527</v>
      </c>
      <c r="C98" s="36"/>
      <c r="D98" s="36"/>
      <c r="E98" s="27"/>
      <c r="F98" s="35" t="s">
        <v>126</v>
      </c>
      <c r="G98" s="37" t="n">
        <f aca="false">(G97/G96)</f>
        <v>1603.97104133554</v>
      </c>
      <c r="H98" s="37"/>
      <c r="J98" s="35" t="s">
        <v>126</v>
      </c>
      <c r="K98" s="37" t="n">
        <f aca="false">(K97/K96)</f>
        <v>1526.9778000252</v>
      </c>
      <c r="L98" s="36"/>
      <c r="M98" s="36"/>
      <c r="N98" s="27"/>
      <c r="O98" s="27"/>
      <c r="P98" s="27"/>
      <c r="Q98" s="37"/>
      <c r="S98" s="35" t="s">
        <v>126</v>
      </c>
      <c r="T98" s="37" t="n">
        <f aca="false">(T97/T96)</f>
        <v>1542.50480957248</v>
      </c>
      <c r="U98" s="36"/>
      <c r="V98" s="36"/>
      <c r="W98" s="27"/>
      <c r="X98" s="27"/>
      <c r="Y98" s="27"/>
      <c r="Z98" s="37"/>
      <c r="AB98" s="35" t="s">
        <v>126</v>
      </c>
      <c r="AC98" s="37" t="n">
        <f aca="false">(AC97/AC96)</f>
        <v>1542.50480957248</v>
      </c>
      <c r="AD98" s="36"/>
      <c r="AE98" s="36"/>
      <c r="AF98" s="27"/>
      <c r="AG98" s="27"/>
      <c r="AH98" s="27"/>
      <c r="AI98" s="37"/>
    </row>
    <row r="99" customFormat="false" ht="18.75" hidden="false" customHeight="false" outlineLevel="0" collapsed="false">
      <c r="A99" s="35" t="s">
        <v>127</v>
      </c>
      <c r="B99" s="37" t="n">
        <f aca="false">((B98*(B94))+B86)</f>
        <v>55554.1417972887</v>
      </c>
      <c r="C99" s="36"/>
      <c r="D99" s="36"/>
      <c r="E99" s="27"/>
      <c r="F99" s="35" t="s">
        <v>127</v>
      </c>
      <c r="G99" s="37" t="n">
        <f aca="false">((G98*(G94))+G86)</f>
        <v>51327.0733227373</v>
      </c>
      <c r="H99" s="37"/>
      <c r="J99" s="35" t="s">
        <v>127</v>
      </c>
      <c r="K99" s="37" t="n">
        <f aca="false">((K98*(K94))+K86)</f>
        <v>50390.2674008316</v>
      </c>
      <c r="L99" s="36"/>
      <c r="M99" s="36"/>
      <c r="N99" s="27"/>
      <c r="O99" s="27"/>
      <c r="P99" s="27"/>
      <c r="Q99" s="37"/>
      <c r="S99" s="35" t="s">
        <v>127</v>
      </c>
      <c r="T99" s="37" t="n">
        <f aca="false">(T98*(T94))+T86</f>
        <v>49360.1539063192</v>
      </c>
      <c r="U99" s="36"/>
      <c r="V99" s="36"/>
      <c r="W99" s="27"/>
      <c r="X99" s="27"/>
      <c r="Y99" s="27"/>
      <c r="Z99" s="37"/>
      <c r="AB99" s="35" t="s">
        <v>127</v>
      </c>
      <c r="AC99" s="37" t="n">
        <f aca="false">(AC98*(AC68))+AC86</f>
        <v>49360.1539063192</v>
      </c>
      <c r="AD99" s="36"/>
      <c r="AE99" s="36"/>
      <c r="AF99" s="27"/>
      <c r="AG99" s="27"/>
      <c r="AH99" s="27"/>
      <c r="AI99" s="37"/>
    </row>
    <row r="100" customFormat="false" ht="18.75" hidden="false" customHeight="false" outlineLevel="0" collapsed="false">
      <c r="A100" s="35" t="s">
        <v>128</v>
      </c>
      <c r="B100" s="37" t="n">
        <f aca="false">(((B98*(B94))+B86)/(1-B80))*B80</f>
        <v>0</v>
      </c>
      <c r="C100" s="36"/>
      <c r="D100" s="36"/>
      <c r="E100" s="27"/>
      <c r="F100" s="35" t="s">
        <v>128</v>
      </c>
      <c r="G100" s="37" t="n">
        <f aca="false">(((G98*(G94))+G86)/(1-G80))*G80</f>
        <v>0</v>
      </c>
      <c r="H100" s="37"/>
      <c r="J100" s="35" t="s">
        <v>128</v>
      </c>
      <c r="K100" s="37" t="n">
        <f aca="false">(K99/(1-K80))*K80</f>
        <v>0</v>
      </c>
      <c r="L100" s="36"/>
      <c r="M100" s="36"/>
      <c r="N100" s="27"/>
      <c r="O100" s="27"/>
      <c r="P100" s="27"/>
      <c r="Q100" s="37"/>
      <c r="S100" s="35" t="s">
        <v>128</v>
      </c>
      <c r="T100" s="37" t="n">
        <f aca="false">(T99/(1-T80))*T80</f>
        <v>0</v>
      </c>
      <c r="U100" s="36"/>
      <c r="V100" s="36"/>
      <c r="W100" s="27"/>
      <c r="X100" s="27"/>
      <c r="Y100" s="27"/>
      <c r="Z100" s="37"/>
      <c r="AB100" s="35" t="s">
        <v>128</v>
      </c>
      <c r="AC100" s="37" t="n">
        <f aca="false">(AC99/(1-AC80))*AC80</f>
        <v>0</v>
      </c>
      <c r="AD100" s="36"/>
      <c r="AE100" s="36"/>
      <c r="AF100" s="27"/>
      <c r="AG100" s="27"/>
      <c r="AH100" s="27"/>
      <c r="AI100" s="37"/>
    </row>
    <row r="101" customFormat="false" ht="18.75" hidden="false" customHeight="false" outlineLevel="0" collapsed="false">
      <c r="A101" s="60" t="s">
        <v>129</v>
      </c>
      <c r="B101" s="69" t="n">
        <f aca="false">(B99+B100)</f>
        <v>55554.1417972887</v>
      </c>
      <c r="C101" s="36"/>
      <c r="D101" s="36"/>
      <c r="E101" s="27"/>
      <c r="F101" s="60" t="s">
        <v>129</v>
      </c>
      <c r="G101" s="69" t="n">
        <f aca="false">(G99+G100)</f>
        <v>51327.0733227373</v>
      </c>
      <c r="H101" s="37"/>
      <c r="J101" s="60" t="s">
        <v>129</v>
      </c>
      <c r="K101" s="69" t="n">
        <f aca="false">(K99+K100)</f>
        <v>50390.2674008316</v>
      </c>
      <c r="L101" s="36"/>
      <c r="M101" s="36"/>
      <c r="N101" s="27"/>
      <c r="O101" s="27"/>
      <c r="P101" s="27"/>
      <c r="Q101" s="37"/>
      <c r="S101" s="60" t="s">
        <v>129</v>
      </c>
      <c r="T101" s="69" t="n">
        <f aca="false">(T99+T100)</f>
        <v>49360.1539063192</v>
      </c>
      <c r="U101" s="36"/>
      <c r="V101" s="36"/>
      <c r="W101" s="27"/>
      <c r="X101" s="27"/>
      <c r="Y101" s="27"/>
      <c r="Z101" s="37"/>
      <c r="AB101" s="60" t="s">
        <v>129</v>
      </c>
      <c r="AC101" s="69" t="n">
        <f aca="false">(AC99+AC100)</f>
        <v>49360.1539063192</v>
      </c>
      <c r="AD101" s="36"/>
      <c r="AE101" s="36"/>
      <c r="AF101" s="27"/>
      <c r="AG101" s="27"/>
      <c r="AH101" s="27"/>
      <c r="AI101" s="37"/>
    </row>
    <row r="102" customFormat="false" ht="18.75" hidden="false" customHeight="false" outlineLevel="0" collapsed="false">
      <c r="A102" s="35"/>
      <c r="B102" s="36"/>
      <c r="C102" s="36"/>
      <c r="D102" s="36"/>
      <c r="E102" s="27"/>
      <c r="F102" s="35"/>
      <c r="G102" s="36"/>
      <c r="H102" s="37"/>
      <c r="J102" s="35"/>
      <c r="K102" s="36"/>
      <c r="L102" s="36"/>
      <c r="M102" s="36"/>
      <c r="N102" s="27"/>
      <c r="O102" s="27"/>
      <c r="P102" s="27"/>
      <c r="Q102" s="37"/>
      <c r="S102" s="35"/>
      <c r="T102" s="36"/>
      <c r="U102" s="36"/>
      <c r="V102" s="36"/>
      <c r="W102" s="27"/>
      <c r="X102" s="27"/>
      <c r="Y102" s="27"/>
      <c r="Z102" s="37"/>
      <c r="AB102" s="35"/>
      <c r="AC102" s="36"/>
      <c r="AD102" s="36"/>
      <c r="AE102" s="36"/>
      <c r="AF102" s="27"/>
      <c r="AG102" s="27"/>
      <c r="AH102" s="27"/>
      <c r="AI102" s="37"/>
    </row>
    <row r="103" customFormat="false" ht="18.75" hidden="false" customHeight="false" outlineLevel="0" collapsed="false">
      <c r="A103" s="92" t="s">
        <v>130</v>
      </c>
      <c r="B103" s="93" t="n">
        <f aca="false">((A46*A34)+((A46*A34)*A117))/(B68)*1.2</f>
        <v>0</v>
      </c>
      <c r="C103" s="36"/>
      <c r="D103" s="36"/>
      <c r="E103" s="27"/>
      <c r="F103" s="92" t="s">
        <v>130</v>
      </c>
      <c r="G103" s="96" t="str">
        <f aca="false">IF(B35="YES",((E49/B94)*(1+A117)*(C54/100)),"0")</f>
        <v>0</v>
      </c>
      <c r="H103" s="37"/>
      <c r="J103" s="92" t="s">
        <v>130</v>
      </c>
      <c r="K103" s="93" t="n">
        <f aca="false">((E40/K94)*(1+J117))*1.2</f>
        <v>0</v>
      </c>
      <c r="L103" s="36"/>
      <c r="M103" s="36"/>
      <c r="N103" s="27"/>
      <c r="O103" s="27"/>
      <c r="P103" s="27"/>
      <c r="Q103" s="37"/>
      <c r="S103" s="92" t="s">
        <v>130</v>
      </c>
      <c r="T103" s="93" t="n">
        <f aca="false">((E40/T94)*(1+S117))</f>
        <v>0</v>
      </c>
      <c r="U103" s="36"/>
      <c r="V103" s="36"/>
      <c r="W103" s="27"/>
      <c r="X103" s="27"/>
      <c r="Y103" s="27"/>
      <c r="Z103" s="37"/>
      <c r="AB103" s="92" t="s">
        <v>130</v>
      </c>
      <c r="AC103" s="93" t="n">
        <f aca="false">((E40/AC94)*(1+AB117))*1.2</f>
        <v>0</v>
      </c>
      <c r="AD103" s="36"/>
      <c r="AE103" s="36"/>
      <c r="AF103" s="27"/>
      <c r="AG103" s="27"/>
      <c r="AH103" s="27"/>
      <c r="AI103" s="37"/>
    </row>
    <row r="104" customFormat="false" ht="18.75" hidden="false" customHeight="false" outlineLevel="0" collapsed="false">
      <c r="A104" s="97" t="s">
        <v>131</v>
      </c>
      <c r="B104" s="98" t="n">
        <f aca="false">B101/(B94)</f>
        <v>1736.06693116527</v>
      </c>
      <c r="C104" s="36"/>
      <c r="D104" s="36"/>
      <c r="E104" s="27"/>
      <c r="F104" s="97" t="s">
        <v>131</v>
      </c>
      <c r="G104" s="98" t="n">
        <f aca="false">G101/(G94)</f>
        <v>1603.97104133554</v>
      </c>
      <c r="H104" s="37"/>
      <c r="J104" s="97" t="s">
        <v>131</v>
      </c>
      <c r="K104" s="98" t="n">
        <f aca="false">K101/(K94)</f>
        <v>1526.9778000252</v>
      </c>
      <c r="L104" s="36"/>
      <c r="M104" s="36"/>
      <c r="N104" s="27"/>
      <c r="O104" s="27"/>
      <c r="P104" s="27"/>
      <c r="Q104" s="37"/>
      <c r="S104" s="97" t="s">
        <v>131</v>
      </c>
      <c r="T104" s="98" t="n">
        <f aca="false">T101/(T94)</f>
        <v>1542.50480957248</v>
      </c>
      <c r="U104" s="36"/>
      <c r="V104" s="36"/>
      <c r="W104" s="27"/>
      <c r="X104" s="27"/>
      <c r="Y104" s="27"/>
      <c r="Z104" s="37"/>
      <c r="AB104" s="97" t="s">
        <v>131</v>
      </c>
      <c r="AC104" s="98" t="n">
        <f aca="false">AC101/(AC68)</f>
        <v>1542.50480957248</v>
      </c>
      <c r="AD104" s="36"/>
      <c r="AE104" s="36"/>
      <c r="AF104" s="27"/>
      <c r="AG104" s="27"/>
      <c r="AH104" s="27"/>
      <c r="AI104" s="37"/>
    </row>
    <row r="105" customFormat="false" ht="18.75" hidden="false" customHeight="false" outlineLevel="0" collapsed="false">
      <c r="A105" s="99" t="s">
        <v>132</v>
      </c>
      <c r="B105" s="100" t="n">
        <f aca="false">B103+B104</f>
        <v>1736.06693116527</v>
      </c>
      <c r="C105" s="36"/>
      <c r="D105" s="36"/>
      <c r="E105" s="27" t="s">
        <v>32</v>
      </c>
      <c r="F105" s="99" t="s">
        <v>132</v>
      </c>
      <c r="G105" s="100" t="n">
        <f aca="false">G103+G104</f>
        <v>1603.97104133554</v>
      </c>
      <c r="H105" s="37"/>
      <c r="J105" s="99" t="s">
        <v>132</v>
      </c>
      <c r="K105" s="100" t="n">
        <f aca="false">(K103+K104)</f>
        <v>1526.9778000252</v>
      </c>
      <c r="L105" s="36"/>
      <c r="M105" s="36"/>
      <c r="N105" s="27"/>
      <c r="O105" s="27"/>
      <c r="P105" s="27"/>
      <c r="Q105" s="37"/>
      <c r="S105" s="99" t="s">
        <v>132</v>
      </c>
      <c r="T105" s="100" t="n">
        <f aca="false">T103+T104</f>
        <v>1542.50480957248</v>
      </c>
      <c r="U105" s="36"/>
      <c r="V105" s="36"/>
      <c r="W105" s="27"/>
      <c r="X105" s="27"/>
      <c r="Y105" s="27"/>
      <c r="Z105" s="37"/>
      <c r="AB105" s="99" t="s">
        <v>132</v>
      </c>
      <c r="AC105" s="100" t="n">
        <f aca="false">AC103+AC104</f>
        <v>1542.50480957248</v>
      </c>
      <c r="AD105" s="36"/>
      <c r="AE105" s="36"/>
      <c r="AF105" s="27"/>
      <c r="AG105" s="27"/>
      <c r="AH105" s="27"/>
      <c r="AI105" s="37"/>
    </row>
    <row r="106" customFormat="false" ht="18.75" hidden="false" customHeight="false" outlineLevel="0" collapsed="false">
      <c r="A106" s="60"/>
      <c r="B106" s="61"/>
      <c r="C106" s="61"/>
      <c r="D106" s="61"/>
      <c r="E106" s="101"/>
      <c r="F106" s="101"/>
      <c r="G106" s="101"/>
      <c r="H106" s="69"/>
      <c r="J106" s="60"/>
      <c r="K106" s="61"/>
      <c r="L106" s="61"/>
      <c r="M106" s="61"/>
      <c r="N106" s="101"/>
      <c r="O106" s="101"/>
      <c r="P106" s="101"/>
      <c r="Q106" s="69"/>
      <c r="S106" s="60"/>
      <c r="T106" s="61"/>
      <c r="U106" s="61"/>
      <c r="V106" s="61"/>
      <c r="W106" s="101"/>
      <c r="X106" s="101"/>
      <c r="Y106" s="101"/>
      <c r="Z106" s="69"/>
      <c r="AB106" s="60"/>
      <c r="AC106" s="61"/>
      <c r="AD106" s="61"/>
      <c r="AE106" s="61"/>
      <c r="AF106" s="101"/>
      <c r="AG106" s="101"/>
      <c r="AH106" s="101"/>
      <c r="AI106" s="69"/>
    </row>
    <row r="107" customFormat="false" ht="18.7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J107" s="27"/>
      <c r="K107" s="27"/>
      <c r="L107" s="27"/>
      <c r="M107" s="27"/>
      <c r="N107" s="27"/>
      <c r="O107" s="27"/>
      <c r="P107" s="27"/>
      <c r="Q107" s="27"/>
      <c r="S107" s="27"/>
      <c r="T107" s="27"/>
      <c r="U107" s="27"/>
      <c r="V107" s="27"/>
      <c r="W107" s="27"/>
      <c r="X107" s="27"/>
      <c r="Y107" s="27"/>
      <c r="Z107" s="27"/>
      <c r="AB107" s="27"/>
      <c r="AC107" s="27"/>
      <c r="AD107" s="27"/>
      <c r="AE107" s="27"/>
      <c r="AF107" s="27"/>
      <c r="AG107" s="27"/>
      <c r="AH107" s="27"/>
      <c r="AI107" s="27"/>
    </row>
    <row r="108" customFormat="false" ht="18.75" hidden="false" customHeight="false" outlineLevel="0" collapsed="false">
      <c r="A108" s="27" t="n">
        <v>0.2</v>
      </c>
      <c r="B108" s="27" t="n">
        <v>0</v>
      </c>
      <c r="C108" s="27"/>
      <c r="D108" s="27" t="n">
        <v>0</v>
      </c>
      <c r="E108" s="27"/>
      <c r="F108" s="27"/>
      <c r="G108" s="27"/>
      <c r="H108" s="27"/>
      <c r="J108" s="27"/>
      <c r="K108" s="27"/>
      <c r="L108" s="27"/>
      <c r="M108" s="27"/>
      <c r="N108" s="27"/>
      <c r="O108" s="27"/>
      <c r="P108" s="27"/>
      <c r="Q108" s="27"/>
      <c r="S108" s="27"/>
      <c r="T108" s="27"/>
      <c r="U108" s="27"/>
      <c r="V108" s="27"/>
      <c r="W108" s="27"/>
      <c r="X108" s="27"/>
      <c r="Y108" s="27"/>
      <c r="Z108" s="27"/>
      <c r="AB108" s="27"/>
      <c r="AC108" s="27"/>
      <c r="AD108" s="27"/>
      <c r="AE108" s="27"/>
      <c r="AF108" s="27"/>
      <c r="AG108" s="27"/>
      <c r="AH108" s="27"/>
      <c r="AI108" s="27"/>
    </row>
    <row r="109" customFormat="false" ht="47.25" hidden="false" customHeight="true" outlineLevel="0" collapsed="false">
      <c r="A109" s="102" t="s">
        <v>133</v>
      </c>
      <c r="B109" s="102"/>
      <c r="C109" s="102"/>
      <c r="D109" s="102"/>
      <c r="E109" s="102"/>
      <c r="F109" s="102"/>
      <c r="G109" s="102"/>
      <c r="H109" s="102"/>
      <c r="J109" s="28" t="s">
        <v>134</v>
      </c>
      <c r="K109" s="28"/>
      <c r="L109" s="28"/>
      <c r="M109" s="28"/>
      <c r="N109" s="28"/>
      <c r="O109" s="28"/>
      <c r="P109" s="28"/>
      <c r="Q109" s="28"/>
      <c r="S109" s="102" t="s">
        <v>135</v>
      </c>
      <c r="T109" s="102"/>
      <c r="U109" s="102"/>
      <c r="V109" s="102"/>
      <c r="W109" s="102"/>
      <c r="X109" s="102"/>
      <c r="Y109" s="102"/>
      <c r="Z109" s="102"/>
      <c r="AB109" s="102" t="s">
        <v>136</v>
      </c>
      <c r="AC109" s="102"/>
      <c r="AD109" s="102"/>
      <c r="AE109" s="102"/>
      <c r="AF109" s="102"/>
      <c r="AG109" s="102"/>
      <c r="AH109" s="102"/>
      <c r="AI109" s="102"/>
    </row>
    <row r="110" customFormat="false" ht="18.75" hidden="false" customHeight="false" outlineLevel="0" collapsed="false">
      <c r="A110" s="29"/>
      <c r="B110" s="30"/>
      <c r="C110" s="30"/>
      <c r="D110" s="30"/>
      <c r="E110" s="79"/>
      <c r="F110" s="79"/>
      <c r="G110" s="79"/>
      <c r="H110" s="103"/>
      <c r="J110" s="29"/>
      <c r="K110" s="30"/>
      <c r="L110" s="30"/>
      <c r="M110" s="30"/>
      <c r="N110" s="79"/>
      <c r="O110" s="79"/>
      <c r="P110" s="79"/>
      <c r="Q110" s="103"/>
      <c r="S110" s="29"/>
      <c r="T110" s="30"/>
      <c r="U110" s="30"/>
      <c r="V110" s="30"/>
      <c r="W110" s="79"/>
      <c r="X110" s="79"/>
      <c r="Y110" s="79"/>
      <c r="Z110" s="103"/>
      <c r="AB110" s="29"/>
      <c r="AC110" s="30"/>
      <c r="AD110" s="30"/>
      <c r="AE110" s="30"/>
      <c r="AF110" s="79"/>
      <c r="AG110" s="79"/>
      <c r="AH110" s="79"/>
      <c r="AI110" s="103"/>
    </row>
    <row r="111" customFormat="false" ht="22.05" hidden="false" customHeight="false" outlineLevel="0" collapsed="false">
      <c r="A111" s="32" t="s">
        <v>31</v>
      </c>
      <c r="B111" s="32" t="n">
        <v>0</v>
      </c>
      <c r="C111" s="32"/>
      <c r="D111" s="32"/>
      <c r="E111" s="32" t="n">
        <v>0</v>
      </c>
      <c r="F111" s="32"/>
      <c r="G111" s="32"/>
      <c r="H111" s="32"/>
      <c r="J111" s="32" t="s">
        <v>137</v>
      </c>
      <c r="K111" s="32"/>
      <c r="L111" s="32"/>
      <c r="M111" s="32"/>
      <c r="N111" s="32"/>
      <c r="O111" s="32"/>
      <c r="P111" s="32"/>
      <c r="Q111" s="32"/>
      <c r="S111" s="32" t="s">
        <v>137</v>
      </c>
      <c r="T111" s="32"/>
      <c r="U111" s="32"/>
      <c r="V111" s="32"/>
      <c r="W111" s="32"/>
      <c r="X111" s="32"/>
      <c r="Y111" s="32"/>
      <c r="Z111" s="32"/>
      <c r="AB111" s="32" t="s">
        <v>137</v>
      </c>
      <c r="AC111" s="32"/>
      <c r="AD111" s="32"/>
      <c r="AE111" s="32"/>
      <c r="AF111" s="32"/>
      <c r="AG111" s="32"/>
      <c r="AH111" s="32"/>
      <c r="AI111" s="32"/>
    </row>
    <row r="112" customFormat="false" ht="18.75" hidden="false" customHeight="false" outlineLevel="0" collapsed="false">
      <c r="A112" s="35"/>
      <c r="B112" s="36"/>
      <c r="C112" s="36"/>
      <c r="D112" s="36"/>
      <c r="E112" s="27"/>
      <c r="F112" s="27"/>
      <c r="G112" s="27"/>
      <c r="H112" s="104"/>
      <c r="J112" s="35"/>
      <c r="K112" s="36"/>
      <c r="L112" s="36"/>
      <c r="M112" s="36"/>
      <c r="N112" s="27"/>
      <c r="O112" s="27"/>
      <c r="P112" s="27"/>
      <c r="Q112" s="104"/>
      <c r="S112" s="35"/>
      <c r="T112" s="36"/>
      <c r="U112" s="36"/>
      <c r="V112" s="36"/>
      <c r="W112" s="27"/>
      <c r="X112" s="27"/>
      <c r="Y112" s="27"/>
      <c r="Z112" s="104"/>
      <c r="AB112" s="35"/>
      <c r="AC112" s="36"/>
      <c r="AD112" s="36"/>
      <c r="AE112" s="36"/>
      <c r="AF112" s="27"/>
      <c r="AG112" s="27"/>
      <c r="AH112" s="27"/>
      <c r="AI112" s="104"/>
    </row>
    <row r="113" customFormat="false" ht="18.75" hidden="false" customHeight="false" outlineLevel="0" collapsed="false">
      <c r="A113" s="35" t="s">
        <v>138</v>
      </c>
      <c r="B113" s="36" t="s">
        <v>36</v>
      </c>
      <c r="C113" s="36"/>
      <c r="D113" s="36"/>
      <c r="E113" s="36" t="s">
        <v>139</v>
      </c>
      <c r="F113" s="36"/>
      <c r="G113" s="36"/>
      <c r="H113" s="37"/>
      <c r="J113" s="35" t="s">
        <v>138</v>
      </c>
      <c r="K113" s="36" t="s">
        <v>36</v>
      </c>
      <c r="L113" s="36"/>
      <c r="M113" s="36"/>
      <c r="N113" s="36" t="s">
        <v>139</v>
      </c>
      <c r="O113" s="36"/>
      <c r="P113" s="36"/>
      <c r="Q113" s="37"/>
      <c r="S113" s="35" t="s">
        <v>138</v>
      </c>
      <c r="T113" s="36" t="s">
        <v>36</v>
      </c>
      <c r="U113" s="36"/>
      <c r="V113" s="36"/>
      <c r="W113" s="36" t="s">
        <v>139</v>
      </c>
      <c r="X113" s="36"/>
      <c r="Y113" s="36"/>
      <c r="Z113" s="37"/>
      <c r="AB113" s="35" t="s">
        <v>138</v>
      </c>
      <c r="AC113" s="36" t="s">
        <v>36</v>
      </c>
      <c r="AD113" s="36"/>
      <c r="AE113" s="36"/>
      <c r="AF113" s="36" t="s">
        <v>139</v>
      </c>
      <c r="AG113" s="36"/>
      <c r="AH113" s="36"/>
      <c r="AI113" s="37"/>
    </row>
    <row r="114" customFormat="false" ht="18.75" hidden="false" customHeight="false" outlineLevel="0" collapsed="false">
      <c r="A114" s="40" t="s">
        <v>140</v>
      </c>
      <c r="B114" s="105" t="s">
        <v>141</v>
      </c>
      <c r="C114" s="105"/>
      <c r="D114" s="105"/>
      <c r="E114" s="106" t="s">
        <v>31</v>
      </c>
      <c r="F114" s="106"/>
      <c r="G114" s="106"/>
      <c r="H114" s="104"/>
      <c r="J114" s="40" t="s">
        <v>140</v>
      </c>
      <c r="K114" s="107" t="s">
        <v>141</v>
      </c>
      <c r="L114" s="107"/>
      <c r="M114" s="107"/>
      <c r="N114" s="106" t="s">
        <v>31</v>
      </c>
      <c r="O114" s="106"/>
      <c r="P114" s="106"/>
      <c r="Q114" s="104"/>
      <c r="S114" s="40" t="s">
        <v>140</v>
      </c>
      <c r="T114" s="105" t="s">
        <v>141</v>
      </c>
      <c r="U114" s="105"/>
      <c r="V114" s="105"/>
      <c r="W114" s="106" t="s">
        <v>31</v>
      </c>
      <c r="X114" s="106"/>
      <c r="Y114" s="106"/>
      <c r="Z114" s="104"/>
      <c r="AB114" s="40" t="s">
        <v>140</v>
      </c>
      <c r="AC114" s="105" t="s">
        <v>141</v>
      </c>
      <c r="AD114" s="105"/>
      <c r="AE114" s="105"/>
      <c r="AF114" s="106" t="s">
        <v>31</v>
      </c>
      <c r="AG114" s="106"/>
      <c r="AH114" s="106"/>
      <c r="AI114" s="104"/>
    </row>
    <row r="115" customFormat="false" ht="18.75" hidden="false" customHeight="false" outlineLevel="0" collapsed="false">
      <c r="A115" s="35"/>
      <c r="B115" s="36"/>
      <c r="C115" s="36"/>
      <c r="D115" s="27"/>
      <c r="E115" s="36"/>
      <c r="F115" s="36"/>
      <c r="G115" s="27"/>
      <c r="H115" s="37"/>
      <c r="J115" s="35"/>
      <c r="K115" s="36"/>
      <c r="L115" s="36"/>
      <c r="M115" s="27"/>
      <c r="N115" s="36"/>
      <c r="O115" s="36"/>
      <c r="P115" s="27"/>
      <c r="Q115" s="37"/>
      <c r="S115" s="35"/>
      <c r="T115" s="36"/>
      <c r="U115" s="36"/>
      <c r="V115" s="27"/>
      <c r="W115" s="36"/>
      <c r="X115" s="36"/>
      <c r="Y115" s="27"/>
      <c r="Z115" s="37"/>
      <c r="AB115" s="35"/>
      <c r="AC115" s="36"/>
      <c r="AD115" s="36"/>
      <c r="AE115" s="27"/>
      <c r="AF115" s="36"/>
      <c r="AG115" s="36"/>
      <c r="AH115" s="27"/>
      <c r="AI115" s="37"/>
    </row>
    <row r="116" customFormat="false" ht="18.75" hidden="false" customHeight="false" outlineLevel="0" collapsed="false">
      <c r="A116" s="35" t="s">
        <v>142</v>
      </c>
      <c r="B116" s="36" t="s">
        <v>143</v>
      </c>
      <c r="C116" s="36"/>
      <c r="D116" s="27"/>
      <c r="E116" s="36" t="s">
        <v>144</v>
      </c>
      <c r="F116" s="36"/>
      <c r="G116" s="27"/>
      <c r="H116" s="104"/>
      <c r="J116" s="35" t="s">
        <v>142</v>
      </c>
      <c r="K116" s="36" t="s">
        <v>143</v>
      </c>
      <c r="L116" s="36"/>
      <c r="M116" s="27"/>
      <c r="N116" s="36" t="s">
        <v>144</v>
      </c>
      <c r="O116" s="36"/>
      <c r="P116" s="27"/>
      <c r="Q116" s="104"/>
      <c r="S116" s="35" t="s">
        <v>142</v>
      </c>
      <c r="T116" s="36" t="s">
        <v>143</v>
      </c>
      <c r="U116" s="36"/>
      <c r="V116" s="27"/>
      <c r="W116" s="36" t="s">
        <v>144</v>
      </c>
      <c r="X116" s="36"/>
      <c r="Y116" s="27"/>
      <c r="Z116" s="104"/>
      <c r="AB116" s="35" t="s">
        <v>142</v>
      </c>
      <c r="AC116" s="36" t="s">
        <v>143</v>
      </c>
      <c r="AD116" s="36"/>
      <c r="AE116" s="27"/>
      <c r="AF116" s="36" t="s">
        <v>144</v>
      </c>
      <c r="AG116" s="36"/>
      <c r="AH116" s="27"/>
      <c r="AI116" s="104"/>
    </row>
    <row r="117" customFormat="false" ht="18.75" hidden="false" customHeight="false" outlineLevel="0" collapsed="false">
      <c r="A117" s="108" t="n">
        <v>0.3</v>
      </c>
      <c r="B117" s="109" t="s">
        <v>145</v>
      </c>
      <c r="C117" s="109"/>
      <c r="D117" s="109"/>
      <c r="E117" s="110" t="n">
        <f aca="false">B92</f>
        <v>0.115</v>
      </c>
      <c r="F117" s="110"/>
      <c r="G117" s="110"/>
      <c r="H117" s="51"/>
      <c r="J117" s="108" t="n">
        <v>0.3</v>
      </c>
      <c r="K117" s="109" t="s">
        <v>145</v>
      </c>
      <c r="L117" s="109"/>
      <c r="M117" s="109"/>
      <c r="N117" s="110" t="n">
        <f aca="false">K92</f>
        <v>0.24</v>
      </c>
      <c r="O117" s="110"/>
      <c r="P117" s="110"/>
      <c r="Q117" s="51"/>
      <c r="S117" s="108" t="n">
        <v>0.2</v>
      </c>
      <c r="T117" s="109" t="s">
        <v>146</v>
      </c>
      <c r="U117" s="109"/>
      <c r="V117" s="109"/>
      <c r="W117" s="110" t="n">
        <f aca="false">T92</f>
        <v>0.1235</v>
      </c>
      <c r="X117" s="110"/>
      <c r="Y117" s="110"/>
      <c r="Z117" s="51"/>
      <c r="AB117" s="108" t="n">
        <v>0.2</v>
      </c>
      <c r="AC117" s="109" t="s">
        <v>146</v>
      </c>
      <c r="AD117" s="109"/>
      <c r="AE117" s="109"/>
      <c r="AF117" s="111" t="n">
        <f aca="false">AC92</f>
        <v>0.1235</v>
      </c>
      <c r="AG117" s="111"/>
      <c r="AH117" s="111"/>
      <c r="AI117" s="51"/>
      <c r="AP117" s="6" t="s">
        <v>147</v>
      </c>
    </row>
    <row r="118" customFormat="false" ht="18.75" hidden="false" customHeight="false" outlineLevel="0" collapsed="false">
      <c r="A118" s="35"/>
      <c r="B118" s="36"/>
      <c r="C118" s="36"/>
      <c r="D118" s="36"/>
      <c r="E118" s="36"/>
      <c r="F118" s="36"/>
      <c r="G118" s="36"/>
      <c r="H118" s="37"/>
      <c r="J118" s="35"/>
      <c r="K118" s="36"/>
      <c r="L118" s="36"/>
      <c r="M118" s="36"/>
      <c r="N118" s="36"/>
      <c r="O118" s="36"/>
      <c r="P118" s="36"/>
      <c r="Q118" s="37"/>
      <c r="S118" s="35"/>
      <c r="T118" s="36"/>
      <c r="U118" s="36"/>
      <c r="V118" s="36"/>
      <c r="W118" s="36"/>
      <c r="X118" s="36"/>
      <c r="Y118" s="36"/>
      <c r="Z118" s="37"/>
      <c r="AB118" s="35"/>
      <c r="AC118" s="36"/>
      <c r="AD118" s="36"/>
      <c r="AE118" s="36"/>
      <c r="AF118" s="36"/>
      <c r="AG118" s="36"/>
      <c r="AH118" s="36"/>
      <c r="AI118" s="37"/>
      <c r="AP118" s="6" t="s">
        <v>145</v>
      </c>
    </row>
    <row r="119" customFormat="false" ht="18.75" hidden="false" customHeight="false" outlineLevel="0" collapsed="false">
      <c r="A119" s="35" t="s">
        <v>148</v>
      </c>
      <c r="B119" s="36" t="s">
        <v>149</v>
      </c>
      <c r="C119" s="36"/>
      <c r="D119" s="36"/>
      <c r="E119" s="36" t="s">
        <v>150</v>
      </c>
      <c r="F119" s="36"/>
      <c r="G119" s="36"/>
      <c r="H119" s="37"/>
      <c r="J119" s="35" t="s">
        <v>148</v>
      </c>
      <c r="K119" s="36" t="s">
        <v>149</v>
      </c>
      <c r="L119" s="36"/>
      <c r="M119" s="36"/>
      <c r="N119" s="36" t="s">
        <v>150</v>
      </c>
      <c r="O119" s="36"/>
      <c r="P119" s="36"/>
      <c r="Q119" s="37"/>
      <c r="S119" s="35" t="s">
        <v>148</v>
      </c>
      <c r="T119" s="36" t="s">
        <v>149</v>
      </c>
      <c r="U119" s="36"/>
      <c r="V119" s="36"/>
      <c r="W119" s="36" t="s">
        <v>150</v>
      </c>
      <c r="X119" s="36"/>
      <c r="Y119" s="36"/>
      <c r="Z119" s="37"/>
      <c r="AB119" s="35" t="s">
        <v>148</v>
      </c>
      <c r="AC119" s="36" t="s">
        <v>149</v>
      </c>
      <c r="AD119" s="36"/>
      <c r="AE119" s="36"/>
      <c r="AF119" s="36" t="s">
        <v>150</v>
      </c>
      <c r="AG119" s="36"/>
      <c r="AH119" s="36"/>
      <c r="AI119" s="37"/>
    </row>
    <row r="120" customFormat="false" ht="18.75" hidden="false" customHeight="false" outlineLevel="0" collapsed="false">
      <c r="A120" s="44" t="s">
        <v>31</v>
      </c>
      <c r="B120" s="109" t="n">
        <v>0</v>
      </c>
      <c r="C120" s="109"/>
      <c r="D120" s="109"/>
      <c r="E120" s="109" t="n">
        <v>0</v>
      </c>
      <c r="F120" s="109"/>
      <c r="G120" s="109"/>
      <c r="H120" s="104"/>
      <c r="J120" s="44" t="s">
        <v>32</v>
      </c>
      <c r="K120" s="109" t="n">
        <v>1000</v>
      </c>
      <c r="L120" s="109"/>
      <c r="M120" s="109"/>
      <c r="N120" s="109" t="n">
        <v>0</v>
      </c>
      <c r="O120" s="109"/>
      <c r="P120" s="109"/>
      <c r="Q120" s="104"/>
      <c r="S120" s="44" t="s">
        <v>31</v>
      </c>
      <c r="T120" s="109" t="n">
        <v>1000</v>
      </c>
      <c r="U120" s="109"/>
      <c r="V120" s="109"/>
      <c r="W120" s="109" t="n">
        <v>0</v>
      </c>
      <c r="X120" s="109"/>
      <c r="Y120" s="109"/>
      <c r="Z120" s="104"/>
      <c r="AB120" s="44" t="s">
        <v>31</v>
      </c>
      <c r="AC120" s="109" t="n">
        <v>1000</v>
      </c>
      <c r="AD120" s="109"/>
      <c r="AE120" s="109"/>
      <c r="AF120" s="109" t="n">
        <v>0</v>
      </c>
      <c r="AG120" s="109"/>
      <c r="AH120" s="109"/>
      <c r="AI120" s="104"/>
    </row>
    <row r="121" customFormat="false" ht="18.75" hidden="false" customHeight="false" outlineLevel="0" collapsed="false">
      <c r="A121" s="35"/>
      <c r="B121" s="36"/>
      <c r="C121" s="36"/>
      <c r="D121" s="36"/>
      <c r="E121" s="36"/>
      <c r="F121" s="36"/>
      <c r="G121" s="27"/>
      <c r="H121" s="104"/>
      <c r="J121" s="35"/>
      <c r="K121" s="36"/>
      <c r="L121" s="36"/>
      <c r="M121" s="36"/>
      <c r="N121" s="36"/>
      <c r="O121" s="36"/>
      <c r="P121" s="27"/>
      <c r="Q121" s="104"/>
      <c r="S121" s="35"/>
      <c r="T121" s="36"/>
      <c r="U121" s="36"/>
      <c r="V121" s="36"/>
      <c r="W121" s="36"/>
      <c r="X121" s="36"/>
      <c r="Y121" s="27"/>
      <c r="Z121" s="104"/>
      <c r="AB121" s="35"/>
      <c r="AC121" s="36"/>
      <c r="AD121" s="36"/>
      <c r="AE121" s="36"/>
      <c r="AF121" s="36"/>
      <c r="AG121" s="36"/>
      <c r="AH121" s="27"/>
      <c r="AI121" s="104"/>
    </row>
    <row r="122" customFormat="false" ht="18.75" hidden="false" customHeight="false" outlineLevel="0" collapsed="false">
      <c r="A122" s="112" t="s">
        <v>151</v>
      </c>
      <c r="B122" s="36" t="s">
        <v>152</v>
      </c>
      <c r="C122" s="36"/>
      <c r="D122" s="36"/>
      <c r="E122" s="36" t="s">
        <v>153</v>
      </c>
      <c r="F122" s="36"/>
      <c r="G122" s="27"/>
      <c r="H122" s="104"/>
      <c r="J122" s="112" t="s">
        <v>151</v>
      </c>
      <c r="K122" s="36" t="s">
        <v>152</v>
      </c>
      <c r="L122" s="36"/>
      <c r="M122" s="36"/>
      <c r="N122" s="36" t="s">
        <v>153</v>
      </c>
      <c r="O122" s="36"/>
      <c r="P122" s="27"/>
      <c r="Q122" s="104"/>
      <c r="S122" s="112" t="s">
        <v>151</v>
      </c>
      <c r="T122" s="36" t="s">
        <v>152</v>
      </c>
      <c r="U122" s="36"/>
      <c r="V122" s="36"/>
      <c r="W122" s="36" t="s">
        <v>153</v>
      </c>
      <c r="X122" s="36"/>
      <c r="Y122" s="27"/>
      <c r="Z122" s="104"/>
      <c r="AB122" s="112" t="s">
        <v>151</v>
      </c>
      <c r="AC122" s="36" t="s">
        <v>152</v>
      </c>
      <c r="AD122" s="36"/>
      <c r="AE122" s="36"/>
      <c r="AF122" s="36" t="s">
        <v>153</v>
      </c>
      <c r="AG122" s="36"/>
      <c r="AH122" s="27"/>
      <c r="AI122" s="104"/>
    </row>
    <row r="123" customFormat="false" ht="18.75" hidden="false" customHeight="false" outlineLevel="0" collapsed="false">
      <c r="A123" s="113" t="n">
        <f aca="false">B120+E120</f>
        <v>0</v>
      </c>
      <c r="B123" s="109" t="n">
        <v>239.99</v>
      </c>
      <c r="C123" s="109"/>
      <c r="D123" s="109"/>
      <c r="E123" s="109" t="n">
        <v>0</v>
      </c>
      <c r="F123" s="109"/>
      <c r="G123" s="109"/>
      <c r="H123" s="104"/>
      <c r="J123" s="113" t="n">
        <f aca="false">K120+N120</f>
        <v>1000</v>
      </c>
      <c r="K123" s="109" t="n">
        <v>239.99</v>
      </c>
      <c r="L123" s="109"/>
      <c r="M123" s="109"/>
      <c r="N123" s="109" t="n">
        <v>0</v>
      </c>
      <c r="O123" s="109"/>
      <c r="P123" s="109"/>
      <c r="Q123" s="104"/>
      <c r="S123" s="113" t="n">
        <f aca="false">T120+W120</f>
        <v>1000</v>
      </c>
      <c r="T123" s="109" t="n">
        <v>199.99</v>
      </c>
      <c r="U123" s="109"/>
      <c r="V123" s="109"/>
      <c r="W123" s="109" t="n">
        <v>0</v>
      </c>
      <c r="X123" s="109"/>
      <c r="Y123" s="109"/>
      <c r="Z123" s="104"/>
      <c r="AB123" s="113" t="n">
        <f aca="false">AC120+AF120</f>
        <v>1000</v>
      </c>
      <c r="AC123" s="109" t="n">
        <v>239.99</v>
      </c>
      <c r="AD123" s="109"/>
      <c r="AE123" s="109"/>
      <c r="AF123" s="109" t="n">
        <v>0</v>
      </c>
      <c r="AG123" s="109"/>
      <c r="AH123" s="109"/>
      <c r="AI123" s="104"/>
    </row>
    <row r="124" customFormat="false" ht="18.75" hidden="false" customHeight="false" outlineLevel="0" collapsed="false">
      <c r="A124" s="114"/>
      <c r="B124" s="27"/>
      <c r="C124" s="27"/>
      <c r="D124" s="27"/>
      <c r="E124" s="27"/>
      <c r="F124" s="27"/>
      <c r="G124" s="27"/>
      <c r="H124" s="104"/>
      <c r="J124" s="114"/>
      <c r="K124" s="27"/>
      <c r="L124" s="27"/>
      <c r="M124" s="27"/>
      <c r="N124" s="27"/>
      <c r="O124" s="27"/>
      <c r="P124" s="27"/>
      <c r="Q124" s="104"/>
      <c r="S124" s="114"/>
      <c r="T124" s="27"/>
      <c r="U124" s="27"/>
      <c r="V124" s="27"/>
      <c r="W124" s="27"/>
      <c r="X124" s="27"/>
      <c r="Y124" s="27"/>
      <c r="Z124" s="104"/>
      <c r="AB124" s="114"/>
      <c r="AC124" s="27"/>
      <c r="AD124" s="27"/>
      <c r="AE124" s="27"/>
      <c r="AF124" s="27"/>
      <c r="AG124" s="27"/>
      <c r="AH124" s="27"/>
      <c r="AI124" s="104"/>
    </row>
    <row r="125" customFormat="false" ht="18.75" hidden="false" customHeight="false" outlineLevel="0" collapsed="false">
      <c r="A125" s="114"/>
      <c r="B125" s="27"/>
      <c r="C125" s="27"/>
      <c r="D125" s="27"/>
      <c r="E125" s="27"/>
      <c r="F125" s="27"/>
      <c r="G125" s="27"/>
      <c r="H125" s="104"/>
      <c r="J125" s="114"/>
      <c r="K125" s="27"/>
      <c r="L125" s="27"/>
      <c r="M125" s="27"/>
      <c r="N125" s="27"/>
      <c r="O125" s="27"/>
      <c r="P125" s="27"/>
      <c r="Q125" s="104"/>
      <c r="S125" s="114"/>
      <c r="T125" s="27"/>
      <c r="U125" s="27"/>
      <c r="V125" s="27"/>
      <c r="W125" s="27"/>
      <c r="X125" s="27"/>
      <c r="Y125" s="27"/>
      <c r="Z125" s="104"/>
      <c r="AB125" s="114"/>
      <c r="AC125" s="27"/>
      <c r="AD125" s="27"/>
      <c r="AE125" s="27"/>
      <c r="AF125" s="27"/>
      <c r="AG125" s="27"/>
      <c r="AH125" s="27"/>
      <c r="AI125" s="104"/>
    </row>
    <row r="126" customFormat="false" ht="22.05" hidden="false" customHeight="false" outlineLevel="0" collapsed="false">
      <c r="A126" s="32" t="s">
        <v>154</v>
      </c>
      <c r="B126" s="32"/>
      <c r="C126" s="32"/>
      <c r="D126" s="32"/>
      <c r="E126" s="32"/>
      <c r="F126" s="32"/>
      <c r="G126" s="32"/>
      <c r="H126" s="32"/>
      <c r="J126" s="32" t="s">
        <v>154</v>
      </c>
      <c r="K126" s="32"/>
      <c r="L126" s="32"/>
      <c r="M126" s="32"/>
      <c r="N126" s="32"/>
      <c r="O126" s="32"/>
      <c r="P126" s="32"/>
      <c r="Q126" s="32"/>
      <c r="S126" s="32" t="s">
        <v>154</v>
      </c>
      <c r="T126" s="32"/>
      <c r="U126" s="32"/>
      <c r="V126" s="32"/>
      <c r="W126" s="32"/>
      <c r="X126" s="32"/>
      <c r="Y126" s="32"/>
      <c r="Z126" s="32"/>
      <c r="AB126" s="32" t="s">
        <v>154</v>
      </c>
      <c r="AC126" s="32"/>
      <c r="AD126" s="32"/>
      <c r="AE126" s="32"/>
      <c r="AF126" s="32"/>
      <c r="AG126" s="32"/>
      <c r="AH126" s="32"/>
      <c r="AI126" s="32"/>
    </row>
    <row r="127" customFormat="false" ht="18.75" hidden="false" customHeight="false" outlineLevel="0" collapsed="false">
      <c r="A127" s="114"/>
      <c r="B127" s="27"/>
      <c r="C127" s="27"/>
      <c r="D127" s="27"/>
      <c r="E127" s="27"/>
      <c r="F127" s="27"/>
      <c r="G127" s="27"/>
      <c r="H127" s="104"/>
      <c r="J127" s="114"/>
      <c r="K127" s="27"/>
      <c r="L127" s="27"/>
      <c r="M127" s="27"/>
      <c r="N127" s="27"/>
      <c r="O127" s="27"/>
      <c r="P127" s="27"/>
      <c r="Q127" s="104"/>
      <c r="S127" s="114"/>
      <c r="T127" s="27"/>
      <c r="U127" s="27"/>
      <c r="V127" s="27"/>
      <c r="W127" s="27"/>
      <c r="X127" s="27"/>
      <c r="Y127" s="27"/>
      <c r="Z127" s="104"/>
      <c r="AB127" s="114"/>
      <c r="AC127" s="27"/>
      <c r="AD127" s="27"/>
      <c r="AE127" s="27"/>
      <c r="AF127" s="27"/>
      <c r="AG127" s="27"/>
      <c r="AH127" s="27"/>
      <c r="AI127" s="104"/>
    </row>
    <row r="128" customFormat="false" ht="19.7" hidden="false" customHeight="false" outlineLevel="0" collapsed="false">
      <c r="A128" s="82"/>
      <c r="B128" s="115" t="s">
        <v>155</v>
      </c>
      <c r="C128" s="115"/>
      <c r="D128" s="115" t="s">
        <v>156</v>
      </c>
      <c r="E128" s="115"/>
      <c r="F128" s="115" t="s">
        <v>157</v>
      </c>
      <c r="G128" s="115"/>
      <c r="H128" s="116" t="s">
        <v>158</v>
      </c>
      <c r="J128" s="82"/>
      <c r="K128" s="115" t="s">
        <v>155</v>
      </c>
      <c r="L128" s="115"/>
      <c r="M128" s="115" t="s">
        <v>156</v>
      </c>
      <c r="N128" s="115"/>
      <c r="O128" s="115" t="s">
        <v>157</v>
      </c>
      <c r="P128" s="115"/>
      <c r="Q128" s="116" t="s">
        <v>158</v>
      </c>
      <c r="S128" s="82"/>
      <c r="T128" s="115" t="s">
        <v>155</v>
      </c>
      <c r="U128" s="115"/>
      <c r="V128" s="115" t="s">
        <v>156</v>
      </c>
      <c r="W128" s="115"/>
      <c r="X128" s="115" t="s">
        <v>157</v>
      </c>
      <c r="Y128" s="115"/>
      <c r="Z128" s="116" t="s">
        <v>158</v>
      </c>
      <c r="AB128" s="82"/>
      <c r="AC128" s="115" t="s">
        <v>155</v>
      </c>
      <c r="AD128" s="115"/>
      <c r="AE128" s="115" t="s">
        <v>156</v>
      </c>
      <c r="AF128" s="115"/>
      <c r="AG128" s="115" t="s">
        <v>157</v>
      </c>
      <c r="AH128" s="115"/>
      <c r="AI128" s="116" t="s">
        <v>158</v>
      </c>
    </row>
    <row r="129" customFormat="false" ht="19.7" hidden="false" customHeight="false" outlineLevel="0" collapsed="false">
      <c r="A129" s="84"/>
      <c r="B129" s="117" t="s">
        <v>159</v>
      </c>
      <c r="C129" s="118" t="s">
        <v>160</v>
      </c>
      <c r="D129" s="117" t="s">
        <v>159</v>
      </c>
      <c r="E129" s="119" t="s">
        <v>160</v>
      </c>
      <c r="F129" s="117" t="s">
        <v>159</v>
      </c>
      <c r="G129" s="119" t="s">
        <v>160</v>
      </c>
      <c r="H129" s="120"/>
      <c r="J129" s="84"/>
      <c r="K129" s="117" t="s">
        <v>159</v>
      </c>
      <c r="L129" s="118" t="s">
        <v>160</v>
      </c>
      <c r="M129" s="117" t="s">
        <v>159</v>
      </c>
      <c r="N129" s="119" t="s">
        <v>160</v>
      </c>
      <c r="O129" s="117" t="s">
        <v>159</v>
      </c>
      <c r="P129" s="119" t="s">
        <v>160</v>
      </c>
      <c r="Q129" s="120"/>
      <c r="S129" s="84"/>
      <c r="T129" s="117" t="s">
        <v>159</v>
      </c>
      <c r="U129" s="118" t="s">
        <v>160</v>
      </c>
      <c r="V129" s="117" t="s">
        <v>159</v>
      </c>
      <c r="W129" s="119" t="s">
        <v>160</v>
      </c>
      <c r="X129" s="117" t="s">
        <v>159</v>
      </c>
      <c r="Y129" s="119" t="s">
        <v>160</v>
      </c>
      <c r="Z129" s="120"/>
      <c r="AB129" s="84"/>
      <c r="AC129" s="117" t="s">
        <v>159</v>
      </c>
      <c r="AD129" s="118" t="s">
        <v>160</v>
      </c>
      <c r="AE129" s="117" t="s">
        <v>159</v>
      </c>
      <c r="AF129" s="119" t="s">
        <v>160</v>
      </c>
      <c r="AG129" s="117" t="s">
        <v>159</v>
      </c>
      <c r="AH129" s="119" t="s">
        <v>160</v>
      </c>
      <c r="AI129" s="120"/>
    </row>
    <row r="130" customFormat="false" ht="18.75" hidden="false" customHeight="false" outlineLevel="0" collapsed="false">
      <c r="A130" s="29" t="s">
        <v>161</v>
      </c>
      <c r="B130" s="29" t="n">
        <f aca="false">B3</f>
        <v>44008.33</v>
      </c>
      <c r="C130" s="44" t="n">
        <f aca="false">B130</f>
        <v>44008.33</v>
      </c>
      <c r="D130" s="29" t="n">
        <f aca="false">D3</f>
        <v>0</v>
      </c>
      <c r="E130" s="44" t="n">
        <f aca="false">D130</f>
        <v>0</v>
      </c>
      <c r="F130" s="29" t="n">
        <f aca="false">F3</f>
        <v>0</v>
      </c>
      <c r="G130" s="44" t="n">
        <f aca="false">F130</f>
        <v>0</v>
      </c>
      <c r="H130" s="121" t="n">
        <f aca="false">H3</f>
        <v>0</v>
      </c>
      <c r="J130" s="29" t="s">
        <v>161</v>
      </c>
      <c r="K130" s="29" t="n">
        <f aca="false">B3</f>
        <v>44008.33</v>
      </c>
      <c r="L130" s="44" t="n">
        <v>28629.17</v>
      </c>
      <c r="M130" s="29" t="n">
        <f aca="false">D3</f>
        <v>0</v>
      </c>
      <c r="N130" s="44" t="n">
        <f aca="false">M130</f>
        <v>0</v>
      </c>
      <c r="O130" s="29" t="n">
        <f aca="false">F3</f>
        <v>0</v>
      </c>
      <c r="P130" s="44" t="n">
        <f aca="false">O130</f>
        <v>0</v>
      </c>
      <c r="Q130" s="121" t="n">
        <f aca="false">H3</f>
        <v>0</v>
      </c>
      <c r="S130" s="29" t="s">
        <v>161</v>
      </c>
      <c r="T130" s="29" t="n">
        <f aca="false">B3</f>
        <v>44008.33</v>
      </c>
      <c r="U130" s="44" t="n">
        <f aca="false">T130</f>
        <v>44008.33</v>
      </c>
      <c r="V130" s="29" t="n">
        <f aca="false">D3</f>
        <v>0</v>
      </c>
      <c r="W130" s="44" t="n">
        <f aca="false">V130</f>
        <v>0</v>
      </c>
      <c r="X130" s="29" t="n">
        <f aca="false">F3</f>
        <v>0</v>
      </c>
      <c r="Y130" s="44" t="n">
        <f aca="false">X130</f>
        <v>0</v>
      </c>
      <c r="Z130" s="121" t="n">
        <f aca="false">H3</f>
        <v>0</v>
      </c>
      <c r="AB130" s="29" t="s">
        <v>161</v>
      </c>
      <c r="AC130" s="29" t="n">
        <f aca="false">B3</f>
        <v>44008.33</v>
      </c>
      <c r="AD130" s="44" t="n">
        <f aca="false">AC130</f>
        <v>44008.33</v>
      </c>
      <c r="AE130" s="29" t="n">
        <f aca="false">D3</f>
        <v>0</v>
      </c>
      <c r="AF130" s="44" t="n">
        <f aca="false">AE130</f>
        <v>0</v>
      </c>
      <c r="AG130" s="29" t="n">
        <f aca="false">F3</f>
        <v>0</v>
      </c>
      <c r="AH130" s="44" t="n">
        <f aca="false">AG130</f>
        <v>0</v>
      </c>
      <c r="AI130" s="121" t="n">
        <f aca="false">H3</f>
        <v>0</v>
      </c>
    </row>
    <row r="131" customFormat="false" ht="18.75" hidden="false" customHeight="false" outlineLevel="0" collapsed="false">
      <c r="A131" s="35" t="s">
        <v>162</v>
      </c>
      <c r="B131" s="122" t="n">
        <f aca="false">B4</f>
        <v>2</v>
      </c>
      <c r="C131" s="126" t="n">
        <f aca="false">B131</f>
        <v>2</v>
      </c>
      <c r="D131" s="122" t="n">
        <f aca="false">D4</f>
        <v>0</v>
      </c>
      <c r="E131" s="126" t="n">
        <f aca="false">D131</f>
        <v>0</v>
      </c>
      <c r="F131" s="122" t="n">
        <f aca="false">F4</f>
        <v>0</v>
      </c>
      <c r="G131" s="126" t="n">
        <f aca="false">F131</f>
        <v>0</v>
      </c>
      <c r="H131" s="125"/>
      <c r="J131" s="35" t="s">
        <v>162</v>
      </c>
      <c r="K131" s="122" t="n">
        <f aca="false">B4</f>
        <v>2</v>
      </c>
      <c r="L131" s="126" t="n">
        <v>0</v>
      </c>
      <c r="M131" s="122" t="n">
        <f aca="false">D4</f>
        <v>0</v>
      </c>
      <c r="N131" s="126" t="n">
        <f aca="false">M131</f>
        <v>0</v>
      </c>
      <c r="O131" s="122" t="n">
        <f aca="false">F4</f>
        <v>0</v>
      </c>
      <c r="P131" s="126" t="n">
        <f aca="false">O131</f>
        <v>0</v>
      </c>
      <c r="Q131" s="125"/>
      <c r="S131" s="35" t="s">
        <v>162</v>
      </c>
      <c r="T131" s="122" t="n">
        <f aca="false">B4</f>
        <v>2</v>
      </c>
      <c r="U131" s="126" t="n">
        <v>0.25</v>
      </c>
      <c r="V131" s="122" t="n">
        <f aca="false">D4</f>
        <v>0</v>
      </c>
      <c r="W131" s="126" t="n">
        <f aca="false">V131</f>
        <v>0</v>
      </c>
      <c r="X131" s="122" t="n">
        <f aca="false">F4</f>
        <v>0</v>
      </c>
      <c r="Y131" s="126" t="n">
        <f aca="false">X131</f>
        <v>0</v>
      </c>
      <c r="Z131" s="125"/>
      <c r="AB131" s="35" t="s">
        <v>162</v>
      </c>
      <c r="AC131" s="122" t="n">
        <f aca="false">B4</f>
        <v>2</v>
      </c>
      <c r="AD131" s="126" t="n">
        <v>0.25</v>
      </c>
      <c r="AE131" s="122" t="n">
        <f aca="false">D4</f>
        <v>0</v>
      </c>
      <c r="AF131" s="126" t="n">
        <f aca="false">AE131</f>
        <v>0</v>
      </c>
      <c r="AG131" s="122" t="n">
        <f aca="false">F4</f>
        <v>0</v>
      </c>
      <c r="AH131" s="126" t="n">
        <f aca="false">AG131</f>
        <v>0</v>
      </c>
      <c r="AI131" s="125"/>
    </row>
    <row r="132" customFormat="false" ht="18.75" hidden="false" customHeight="false" outlineLevel="0" collapsed="false">
      <c r="A132" s="35" t="s">
        <v>163</v>
      </c>
      <c r="B132" s="35" t="n">
        <f aca="false">B5</f>
        <v>0</v>
      </c>
      <c r="C132" s="44" t="n">
        <f aca="false">B132</f>
        <v>0</v>
      </c>
      <c r="D132" s="35" t="n">
        <f aca="false">D5</f>
        <v>0</v>
      </c>
      <c r="E132" s="44" t="n">
        <f aca="false">D132</f>
        <v>0</v>
      </c>
      <c r="F132" s="35" t="n">
        <f aca="false">F5</f>
        <v>0</v>
      </c>
      <c r="G132" s="44" t="n">
        <f aca="false">F132</f>
        <v>0</v>
      </c>
      <c r="H132" s="37"/>
      <c r="J132" s="35" t="s">
        <v>163</v>
      </c>
      <c r="K132" s="35" t="n">
        <f aca="false">B5</f>
        <v>0</v>
      </c>
      <c r="L132" s="44" t="n">
        <v>0</v>
      </c>
      <c r="M132" s="35" t="n">
        <f aca="false">D5</f>
        <v>0</v>
      </c>
      <c r="N132" s="44" t="n">
        <f aca="false">M132</f>
        <v>0</v>
      </c>
      <c r="O132" s="35" t="n">
        <f aca="false">F5</f>
        <v>0</v>
      </c>
      <c r="P132" s="44" t="n">
        <f aca="false">O132</f>
        <v>0</v>
      </c>
      <c r="Q132" s="37"/>
      <c r="S132" s="35" t="s">
        <v>163</v>
      </c>
      <c r="T132" s="35" t="n">
        <f aca="false">B5</f>
        <v>0</v>
      </c>
      <c r="U132" s="44" t="n">
        <v>0</v>
      </c>
      <c r="V132" s="35" t="n">
        <f aca="false">D5</f>
        <v>0</v>
      </c>
      <c r="W132" s="44" t="n">
        <f aca="false">V132</f>
        <v>0</v>
      </c>
      <c r="X132" s="35" t="n">
        <f aca="false">F5</f>
        <v>0</v>
      </c>
      <c r="Y132" s="44" t="n">
        <f aca="false">X132</f>
        <v>0</v>
      </c>
      <c r="Z132" s="37"/>
      <c r="AB132" s="35" t="s">
        <v>163</v>
      </c>
      <c r="AC132" s="35" t="n">
        <f aca="false">B5</f>
        <v>0</v>
      </c>
      <c r="AD132" s="44" t="n">
        <v>0</v>
      </c>
      <c r="AE132" s="35" t="n">
        <f aca="false">D5</f>
        <v>0</v>
      </c>
      <c r="AF132" s="44" t="n">
        <f aca="false">AE132</f>
        <v>0</v>
      </c>
      <c r="AG132" s="35" t="n">
        <f aca="false">F5</f>
        <v>0</v>
      </c>
      <c r="AH132" s="44" t="n">
        <f aca="false">AG132</f>
        <v>0</v>
      </c>
      <c r="AI132" s="37"/>
    </row>
    <row r="133" customFormat="false" ht="18.75" hidden="false" customHeight="false" outlineLevel="0" collapsed="false">
      <c r="A133" s="35" t="s">
        <v>164</v>
      </c>
      <c r="B133" s="35" t="n">
        <f aca="false">(B130*B131)+B132</f>
        <v>88016.66</v>
      </c>
      <c r="C133" s="31" t="n">
        <f aca="false">(C130*C131/100)+C132</f>
        <v>880.1666</v>
      </c>
      <c r="D133" s="35" t="n">
        <f aca="false">(D130*D131)+D132</f>
        <v>0</v>
      </c>
      <c r="E133" s="31" t="n">
        <f aca="false">(E130*E131/100)+E132</f>
        <v>0</v>
      </c>
      <c r="F133" s="35" t="n">
        <f aca="false">(F130*F131)+F132</f>
        <v>0</v>
      </c>
      <c r="G133" s="31" t="n">
        <f aca="false">(G130*G131/100)+G132</f>
        <v>0</v>
      </c>
      <c r="H133" s="37"/>
      <c r="J133" s="35" t="s">
        <v>164</v>
      </c>
      <c r="K133" s="35" t="n">
        <f aca="false">(K130*K131)+K132</f>
        <v>88016.66</v>
      </c>
      <c r="L133" s="31" t="n">
        <f aca="false">(L130*L131)+L132</f>
        <v>0</v>
      </c>
      <c r="M133" s="35" t="n">
        <f aca="false">(M130*M131)+M132</f>
        <v>0</v>
      </c>
      <c r="N133" s="31" t="n">
        <f aca="false">(N130*N131)+N132</f>
        <v>0</v>
      </c>
      <c r="O133" s="35" t="n">
        <f aca="false">(O130*O131)+O132</f>
        <v>0</v>
      </c>
      <c r="P133" s="31" t="n">
        <f aca="false">(P130*P131)+P132</f>
        <v>0</v>
      </c>
      <c r="Q133" s="37"/>
      <c r="S133" s="35" t="s">
        <v>164</v>
      </c>
      <c r="T133" s="35" t="n">
        <f aca="false">(T130*T131)+T132</f>
        <v>88016.66</v>
      </c>
      <c r="U133" s="31" t="n">
        <f aca="false">(U130*U131)+U132</f>
        <v>11002.0825</v>
      </c>
      <c r="V133" s="35" t="n">
        <f aca="false">(V130*V131)+V132</f>
        <v>0</v>
      </c>
      <c r="W133" s="31" t="n">
        <f aca="false">(W130*W131)+W132</f>
        <v>0</v>
      </c>
      <c r="X133" s="35" t="n">
        <f aca="false">(X130*X131)+X132</f>
        <v>0</v>
      </c>
      <c r="Y133" s="31" t="n">
        <f aca="false">(Y130*Y131)+Y132</f>
        <v>0</v>
      </c>
      <c r="Z133" s="37"/>
      <c r="AB133" s="35" t="s">
        <v>164</v>
      </c>
      <c r="AC133" s="35" t="n">
        <f aca="false">(AC130*AC131)+AC132</f>
        <v>88016.66</v>
      </c>
      <c r="AD133" s="31" t="n">
        <f aca="false">(AD130*AD131)+AD132</f>
        <v>11002.0825</v>
      </c>
      <c r="AE133" s="35" t="n">
        <f aca="false">(AE130*AE131)+AE132</f>
        <v>0</v>
      </c>
      <c r="AF133" s="31" t="n">
        <f aca="false">(AF130*AF131)+AF132</f>
        <v>0</v>
      </c>
      <c r="AG133" s="35" t="n">
        <f aca="false">(AG130*AG131)+AG132</f>
        <v>0</v>
      </c>
      <c r="AH133" s="31" t="n">
        <f aca="false">(AH130*AH131)+AH132</f>
        <v>0</v>
      </c>
      <c r="AI133" s="37"/>
    </row>
    <row r="134" customFormat="false" ht="18.75" hidden="false" customHeight="false" outlineLevel="0" collapsed="false">
      <c r="A134" s="60" t="s">
        <v>165</v>
      </c>
      <c r="B134" s="60" t="n">
        <f aca="false">B130-B133</f>
        <v>-44008.33</v>
      </c>
      <c r="C134" s="69" t="n">
        <f aca="false">C130-C133</f>
        <v>43128.1634</v>
      </c>
      <c r="D134" s="60" t="n">
        <f aca="false">D130-D133</f>
        <v>0</v>
      </c>
      <c r="E134" s="69" t="n">
        <f aca="false">E130-E133</f>
        <v>0</v>
      </c>
      <c r="F134" s="60" t="n">
        <f aca="false">F130-F133</f>
        <v>0</v>
      </c>
      <c r="G134" s="69" t="n">
        <f aca="false">G130-G133</f>
        <v>0</v>
      </c>
      <c r="H134" s="69"/>
      <c r="J134" s="60" t="s">
        <v>165</v>
      </c>
      <c r="K134" s="60" t="n">
        <f aca="false">K130-K133</f>
        <v>-44008.33</v>
      </c>
      <c r="L134" s="69" t="n">
        <f aca="false">L130-L133</f>
        <v>28629.17</v>
      </c>
      <c r="M134" s="60" t="n">
        <f aca="false">M130-M133</f>
        <v>0</v>
      </c>
      <c r="N134" s="69" t="n">
        <f aca="false">N130-N133</f>
        <v>0</v>
      </c>
      <c r="O134" s="60" t="n">
        <f aca="false">O130-O133</f>
        <v>0</v>
      </c>
      <c r="P134" s="69" t="n">
        <f aca="false">P130-P133</f>
        <v>0</v>
      </c>
      <c r="Q134" s="69"/>
      <c r="S134" s="60" t="s">
        <v>165</v>
      </c>
      <c r="T134" s="60" t="n">
        <f aca="false">T130-T133</f>
        <v>-44008.33</v>
      </c>
      <c r="U134" s="69" t="n">
        <f aca="false">U130-U133</f>
        <v>33006.2475</v>
      </c>
      <c r="V134" s="60" t="n">
        <f aca="false">V130-V133</f>
        <v>0</v>
      </c>
      <c r="W134" s="69" t="n">
        <f aca="false">W130-W133</f>
        <v>0</v>
      </c>
      <c r="X134" s="60" t="n">
        <f aca="false">X130-X133</f>
        <v>0</v>
      </c>
      <c r="Y134" s="69" t="n">
        <f aca="false">Y130-Y133</f>
        <v>0</v>
      </c>
      <c r="Z134" s="69"/>
      <c r="AB134" s="60" t="s">
        <v>165</v>
      </c>
      <c r="AC134" s="60" t="n">
        <f aca="false">AC130-AC133</f>
        <v>-44008.33</v>
      </c>
      <c r="AD134" s="69" t="n">
        <f aca="false">AD130-AD133</f>
        <v>33006.2475</v>
      </c>
      <c r="AE134" s="60" t="n">
        <f aca="false">AE130-AE133</f>
        <v>0</v>
      </c>
      <c r="AF134" s="69" t="n">
        <f aca="false">AF130-AF133</f>
        <v>0</v>
      </c>
      <c r="AG134" s="60" t="n">
        <f aca="false">AG130-AG133</f>
        <v>0</v>
      </c>
      <c r="AH134" s="69" t="n">
        <f aca="false">AH130-AH133</f>
        <v>0</v>
      </c>
      <c r="AI134" s="69"/>
    </row>
    <row r="135" customFormat="false" ht="18.75" hidden="false" customHeight="false" outlineLevel="0" collapsed="false">
      <c r="A135" s="35"/>
      <c r="B135" s="36"/>
      <c r="C135" s="36"/>
      <c r="D135" s="36"/>
      <c r="E135" s="36"/>
      <c r="F135" s="36"/>
      <c r="G135" s="36"/>
      <c r="H135" s="37"/>
      <c r="J135" s="35"/>
      <c r="K135" s="36"/>
      <c r="L135" s="36"/>
      <c r="M135" s="36"/>
      <c r="N135" s="36"/>
      <c r="O135" s="36"/>
      <c r="P135" s="36"/>
      <c r="Q135" s="37"/>
      <c r="S135" s="35"/>
      <c r="T135" s="36"/>
      <c r="U135" s="36"/>
      <c r="V135" s="36"/>
      <c r="W135" s="36"/>
      <c r="X135" s="36"/>
      <c r="Y135" s="36"/>
      <c r="Z135" s="37"/>
      <c r="AB135" s="35"/>
      <c r="AC135" s="36"/>
      <c r="AD135" s="36"/>
      <c r="AE135" s="36"/>
      <c r="AF135" s="36"/>
      <c r="AG135" s="36"/>
      <c r="AH135" s="36"/>
      <c r="AI135" s="37"/>
    </row>
    <row r="136" customFormat="false" ht="19.7" hidden="false" customHeight="false" outlineLevel="0" collapsed="false">
      <c r="A136" s="127"/>
      <c r="B136" s="128"/>
      <c r="C136" s="128"/>
      <c r="D136" s="128"/>
      <c r="E136" s="128"/>
      <c r="F136" s="128"/>
      <c r="G136" s="129" t="s">
        <v>159</v>
      </c>
      <c r="H136" s="130" t="s">
        <v>160</v>
      </c>
      <c r="J136" s="127"/>
      <c r="K136" s="128"/>
      <c r="L136" s="128"/>
      <c r="M136" s="128"/>
      <c r="N136" s="128"/>
      <c r="O136" s="128"/>
      <c r="P136" s="129" t="s">
        <v>159</v>
      </c>
      <c r="Q136" s="130" t="s">
        <v>160</v>
      </c>
      <c r="S136" s="127"/>
      <c r="T136" s="128"/>
      <c r="U136" s="128"/>
      <c r="V136" s="128"/>
      <c r="W136" s="128"/>
      <c r="X136" s="128"/>
      <c r="Y136" s="129" t="s">
        <v>159</v>
      </c>
      <c r="Z136" s="130" t="s">
        <v>160</v>
      </c>
      <c r="AB136" s="127"/>
      <c r="AC136" s="128"/>
      <c r="AD136" s="128"/>
      <c r="AE136" s="128"/>
      <c r="AF136" s="128"/>
      <c r="AG136" s="128"/>
      <c r="AH136" s="129" t="s">
        <v>159</v>
      </c>
      <c r="AI136" s="130" t="s">
        <v>160</v>
      </c>
    </row>
    <row r="137" customFormat="false" ht="18.75" hidden="false" customHeight="false" outlineLevel="0" collapsed="false">
      <c r="A137" s="131" t="s">
        <v>166</v>
      </c>
      <c r="B137" s="132"/>
      <c r="C137" s="132"/>
      <c r="D137" s="132"/>
      <c r="E137" s="132"/>
      <c r="F137" s="132"/>
      <c r="G137" s="133" t="n">
        <f aca="false">H130</f>
        <v>0</v>
      </c>
      <c r="H137" s="134" t="n">
        <f aca="false">SUM(H140:H142)</f>
        <v>0</v>
      </c>
      <c r="J137" s="131" t="s">
        <v>166</v>
      </c>
      <c r="K137" s="132"/>
      <c r="L137" s="132"/>
      <c r="M137" s="132"/>
      <c r="N137" s="132"/>
      <c r="O137" s="132"/>
      <c r="P137" s="133" t="n">
        <f aca="false">Q130</f>
        <v>0</v>
      </c>
      <c r="Q137" s="134" t="n">
        <f aca="false">SUM(Q140:Q142)</f>
        <v>0</v>
      </c>
      <c r="S137" s="131" t="s">
        <v>166</v>
      </c>
      <c r="T137" s="132"/>
      <c r="U137" s="132"/>
      <c r="V137" s="132"/>
      <c r="W137" s="132"/>
      <c r="X137" s="132"/>
      <c r="Y137" s="133" t="n">
        <f aca="false">Z130</f>
        <v>0</v>
      </c>
      <c r="Z137" s="134" t="n">
        <f aca="false">SUM(Z140:Z142)</f>
        <v>0</v>
      </c>
      <c r="AB137" s="131" t="s">
        <v>166</v>
      </c>
      <c r="AC137" s="132"/>
      <c r="AD137" s="132"/>
      <c r="AE137" s="132"/>
      <c r="AF137" s="132"/>
      <c r="AG137" s="132"/>
      <c r="AH137" s="133" t="n">
        <f aca="false">AI130</f>
        <v>0</v>
      </c>
      <c r="AI137" s="134" t="n">
        <f aca="false">SUM(AI140:AI142)</f>
        <v>0</v>
      </c>
    </row>
    <row r="138" customFormat="false" ht="18.75" hidden="false" customHeight="false" outlineLevel="0" collapsed="false">
      <c r="A138" s="35"/>
      <c r="B138" s="36"/>
      <c r="C138" s="36"/>
      <c r="D138" s="36"/>
      <c r="E138" s="36"/>
      <c r="F138" s="36"/>
      <c r="G138" s="135"/>
      <c r="H138" s="136"/>
      <c r="J138" s="35"/>
      <c r="K138" s="36"/>
      <c r="L138" s="36"/>
      <c r="M138" s="36"/>
      <c r="N138" s="36"/>
      <c r="O138" s="36"/>
      <c r="P138" s="135"/>
      <c r="Q138" s="136"/>
      <c r="S138" s="35"/>
      <c r="T138" s="36"/>
      <c r="U138" s="36"/>
      <c r="V138" s="36"/>
      <c r="W138" s="36"/>
      <c r="X138" s="36"/>
      <c r="Y138" s="135"/>
      <c r="Z138" s="136"/>
      <c r="AB138" s="35"/>
      <c r="AC138" s="36"/>
      <c r="AD138" s="36"/>
      <c r="AE138" s="36"/>
      <c r="AF138" s="36"/>
      <c r="AG138" s="36"/>
      <c r="AH138" s="135"/>
      <c r="AI138" s="136"/>
    </row>
    <row r="139" customFormat="false" ht="18.75" hidden="false" customHeight="false" outlineLevel="0" collapsed="false">
      <c r="A139" s="137" t="s">
        <v>167</v>
      </c>
      <c r="B139" s="138" t="s">
        <v>168</v>
      </c>
      <c r="C139" s="138"/>
      <c r="D139" s="138" t="s">
        <v>169</v>
      </c>
      <c r="E139" s="138"/>
      <c r="F139" s="138" t="s">
        <v>163</v>
      </c>
      <c r="G139" s="138"/>
      <c r="H139" s="136" t="s">
        <v>160</v>
      </c>
      <c r="J139" s="137" t="s">
        <v>167</v>
      </c>
      <c r="K139" s="139" t="s">
        <v>168</v>
      </c>
      <c r="L139" s="139"/>
      <c r="M139" s="138" t="s">
        <v>169</v>
      </c>
      <c r="N139" s="138"/>
      <c r="O139" s="138" t="s">
        <v>163</v>
      </c>
      <c r="P139" s="138"/>
      <c r="Q139" s="136" t="s">
        <v>160</v>
      </c>
      <c r="S139" s="137" t="s">
        <v>167</v>
      </c>
      <c r="T139" s="138" t="s">
        <v>168</v>
      </c>
      <c r="U139" s="138"/>
      <c r="V139" s="138" t="s">
        <v>169</v>
      </c>
      <c r="W139" s="138"/>
      <c r="X139" s="138" t="s">
        <v>163</v>
      </c>
      <c r="Y139" s="138"/>
      <c r="Z139" s="136" t="s">
        <v>160</v>
      </c>
      <c r="AB139" s="137" t="s">
        <v>167</v>
      </c>
      <c r="AC139" s="138" t="s">
        <v>168</v>
      </c>
      <c r="AD139" s="138"/>
      <c r="AE139" s="138" t="s">
        <v>169</v>
      </c>
      <c r="AF139" s="138"/>
      <c r="AG139" s="138" t="s">
        <v>163</v>
      </c>
      <c r="AH139" s="138"/>
      <c r="AI139" s="136" t="s">
        <v>160</v>
      </c>
    </row>
    <row r="140" customFormat="false" ht="18.75" hidden="false" customHeight="false" outlineLevel="0" collapsed="false">
      <c r="A140" s="35" t="s">
        <v>170</v>
      </c>
      <c r="B140" s="140" t="n">
        <f aca="false">G137</f>
        <v>0</v>
      </c>
      <c r="C140" s="140"/>
      <c r="D140" s="141" t="n">
        <v>0</v>
      </c>
      <c r="E140" s="141"/>
      <c r="F140" s="140" t="n">
        <v>0</v>
      </c>
      <c r="G140" s="140"/>
      <c r="H140" s="142" t="n">
        <f aca="false">(B140-(B140*D140))-F140</f>
        <v>0</v>
      </c>
      <c r="J140" s="35" t="s">
        <v>170</v>
      </c>
      <c r="K140" s="140" t="n">
        <f aca="false">P137</f>
        <v>0</v>
      </c>
      <c r="L140" s="140"/>
      <c r="M140" s="141" t="n">
        <v>0</v>
      </c>
      <c r="N140" s="141"/>
      <c r="O140" s="140" t="n">
        <v>0</v>
      </c>
      <c r="P140" s="140"/>
      <c r="Q140" s="142" t="n">
        <f aca="false">(K140-(K140*M140))-O140</f>
        <v>0</v>
      </c>
      <c r="S140" s="35" t="s">
        <v>170</v>
      </c>
      <c r="T140" s="140" t="n">
        <f aca="false">Y137</f>
        <v>0</v>
      </c>
      <c r="U140" s="140"/>
      <c r="V140" s="141" t="n">
        <v>0</v>
      </c>
      <c r="W140" s="141"/>
      <c r="X140" s="140" t="n">
        <v>0</v>
      </c>
      <c r="Y140" s="140"/>
      <c r="Z140" s="142" t="n">
        <f aca="false">(T140-(T140*V140))-X140</f>
        <v>0</v>
      </c>
      <c r="AB140" s="35" t="s">
        <v>170</v>
      </c>
      <c r="AC140" s="140" t="n">
        <f aca="false">AH137</f>
        <v>0</v>
      </c>
      <c r="AD140" s="140"/>
      <c r="AE140" s="141" t="n">
        <v>0</v>
      </c>
      <c r="AF140" s="141"/>
      <c r="AG140" s="140" t="n">
        <v>0</v>
      </c>
      <c r="AH140" s="140"/>
      <c r="AI140" s="142" t="n">
        <f aca="false">(AC140-(AC140*AE140))-AG140</f>
        <v>0</v>
      </c>
    </row>
    <row r="141" customFormat="false" ht="18.75" hidden="false" customHeight="false" outlineLevel="0" collapsed="false">
      <c r="A141" s="35" t="s">
        <v>171</v>
      </c>
      <c r="B141" s="140" t="n">
        <v>0</v>
      </c>
      <c r="C141" s="140"/>
      <c r="D141" s="141" t="n">
        <v>0</v>
      </c>
      <c r="E141" s="141"/>
      <c r="F141" s="140" t="n">
        <v>0</v>
      </c>
      <c r="G141" s="140"/>
      <c r="H141" s="142" t="n">
        <f aca="false">(B141-(B141*D141))-F141</f>
        <v>0</v>
      </c>
      <c r="J141" s="35" t="s">
        <v>171</v>
      </c>
      <c r="K141" s="140" t="n">
        <v>0</v>
      </c>
      <c r="L141" s="140"/>
      <c r="M141" s="141" t="n">
        <v>0</v>
      </c>
      <c r="N141" s="141"/>
      <c r="O141" s="140" t="n">
        <v>0</v>
      </c>
      <c r="P141" s="140"/>
      <c r="Q141" s="142" t="n">
        <f aca="false">(K141-(K141*M141))-O141</f>
        <v>0</v>
      </c>
      <c r="S141" s="35" t="s">
        <v>171</v>
      </c>
      <c r="T141" s="140" t="n">
        <v>0</v>
      </c>
      <c r="U141" s="140"/>
      <c r="V141" s="141" t="n">
        <v>0</v>
      </c>
      <c r="W141" s="141"/>
      <c r="X141" s="140" t="n">
        <v>0</v>
      </c>
      <c r="Y141" s="140"/>
      <c r="Z141" s="142" t="n">
        <f aca="false">(T141-(T141*V141))-X141</f>
        <v>0</v>
      </c>
      <c r="AB141" s="35" t="s">
        <v>171</v>
      </c>
      <c r="AC141" s="140" t="n">
        <v>0</v>
      </c>
      <c r="AD141" s="140"/>
      <c r="AE141" s="141" t="n">
        <v>0</v>
      </c>
      <c r="AF141" s="141"/>
      <c r="AG141" s="140" t="n">
        <v>0</v>
      </c>
      <c r="AH141" s="140"/>
      <c r="AI141" s="142" t="n">
        <f aca="false">(AC141-(AC141*AE141))-AG141</f>
        <v>0</v>
      </c>
    </row>
    <row r="142" customFormat="false" ht="18.75" hidden="false" customHeight="false" outlineLevel="0" collapsed="false">
      <c r="A142" s="35" t="s">
        <v>172</v>
      </c>
      <c r="B142" s="140" t="n">
        <v>0</v>
      </c>
      <c r="C142" s="140"/>
      <c r="D142" s="141" t="n">
        <v>0</v>
      </c>
      <c r="E142" s="141"/>
      <c r="F142" s="140" t="n">
        <v>0</v>
      </c>
      <c r="G142" s="140"/>
      <c r="H142" s="142" t="n">
        <f aca="false">(B142-(B142*D142))-F142</f>
        <v>0</v>
      </c>
      <c r="J142" s="35" t="s">
        <v>172</v>
      </c>
      <c r="K142" s="140" t="n">
        <v>0</v>
      </c>
      <c r="L142" s="140"/>
      <c r="M142" s="141" t="n">
        <v>0</v>
      </c>
      <c r="N142" s="141"/>
      <c r="O142" s="140" t="n">
        <v>0</v>
      </c>
      <c r="P142" s="140"/>
      <c r="Q142" s="142" t="n">
        <f aca="false">(K142-(K142*M142))-O142</f>
        <v>0</v>
      </c>
      <c r="S142" s="35" t="s">
        <v>172</v>
      </c>
      <c r="T142" s="140" t="n">
        <v>0</v>
      </c>
      <c r="U142" s="140"/>
      <c r="V142" s="141" t="n">
        <v>0</v>
      </c>
      <c r="W142" s="141"/>
      <c r="X142" s="140" t="n">
        <v>0</v>
      </c>
      <c r="Y142" s="140"/>
      <c r="Z142" s="142" t="n">
        <f aca="false">(T142-(T142*V142))-X142</f>
        <v>0</v>
      </c>
      <c r="AB142" s="35" t="s">
        <v>172</v>
      </c>
      <c r="AC142" s="140" t="n">
        <v>0</v>
      </c>
      <c r="AD142" s="140"/>
      <c r="AE142" s="141" t="n">
        <v>0</v>
      </c>
      <c r="AF142" s="141"/>
      <c r="AG142" s="140" t="n">
        <v>0</v>
      </c>
      <c r="AH142" s="140"/>
      <c r="AI142" s="142" t="n">
        <f aca="false">(AC142-(AC142*AE142))-AG142</f>
        <v>0</v>
      </c>
    </row>
    <row r="143" customFormat="false" ht="18.75" hidden="false" customHeight="false" outlineLevel="0" collapsed="false">
      <c r="A143" s="35"/>
      <c r="B143" s="36"/>
      <c r="C143" s="36"/>
      <c r="D143" s="36"/>
      <c r="E143" s="36"/>
      <c r="F143" s="36"/>
      <c r="G143" s="135"/>
      <c r="H143" s="136"/>
      <c r="J143" s="35"/>
      <c r="K143" s="36"/>
      <c r="L143" s="36"/>
      <c r="M143" s="36"/>
      <c r="N143" s="36"/>
      <c r="O143" s="36"/>
      <c r="P143" s="135"/>
      <c r="Q143" s="136"/>
      <c r="S143" s="35"/>
      <c r="T143" s="36"/>
      <c r="U143" s="36"/>
      <c r="V143" s="36"/>
      <c r="W143" s="36"/>
      <c r="X143" s="36"/>
      <c r="Y143" s="135"/>
      <c r="Z143" s="136"/>
      <c r="AB143" s="35"/>
      <c r="AC143" s="36"/>
      <c r="AD143" s="36"/>
      <c r="AE143" s="36"/>
      <c r="AF143" s="36"/>
      <c r="AG143" s="36"/>
      <c r="AH143" s="135"/>
      <c r="AI143" s="136"/>
    </row>
    <row r="144" customFormat="false" ht="19.7" hidden="false" customHeight="false" outlineLevel="0" collapsed="false">
      <c r="A144" s="143" t="s">
        <v>173</v>
      </c>
      <c r="B144" s="143"/>
      <c r="C144" s="143"/>
      <c r="D144" s="143"/>
      <c r="E144" s="143"/>
      <c r="F144" s="143"/>
      <c r="G144" s="129" t="n">
        <f aca="false">H9</f>
        <v>43128.1634</v>
      </c>
      <c r="H144" s="144" t="n">
        <f aca="false">C134+E134+G134+H137</f>
        <v>43128.1634</v>
      </c>
      <c r="J144" s="143" t="s">
        <v>173</v>
      </c>
      <c r="K144" s="143"/>
      <c r="L144" s="143"/>
      <c r="M144" s="143"/>
      <c r="N144" s="143"/>
      <c r="O144" s="143"/>
      <c r="P144" s="129" t="n">
        <f aca="false">H9</f>
        <v>43128.1634</v>
      </c>
      <c r="Q144" s="144" t="n">
        <f aca="false">L134+N134+P134+Q137</f>
        <v>28629.17</v>
      </c>
      <c r="S144" s="143" t="s">
        <v>173</v>
      </c>
      <c r="T144" s="143"/>
      <c r="U144" s="143"/>
      <c r="V144" s="143"/>
      <c r="W144" s="143"/>
      <c r="X144" s="143"/>
      <c r="Y144" s="129" t="n">
        <f aca="false">H9</f>
        <v>43128.1634</v>
      </c>
      <c r="Z144" s="144" t="n">
        <f aca="false">U134+W134+Y134+Z137</f>
        <v>33006.2475</v>
      </c>
      <c r="AB144" s="143" t="s">
        <v>173</v>
      </c>
      <c r="AC144" s="143"/>
      <c r="AD144" s="143"/>
      <c r="AE144" s="143"/>
      <c r="AF144" s="143"/>
      <c r="AG144" s="143"/>
      <c r="AH144" s="129" t="n">
        <f aca="false">H9</f>
        <v>43128.1634</v>
      </c>
      <c r="AI144" s="144" t="n">
        <f aca="false">AD134+AF134+AH134+AI137</f>
        <v>33006.2475</v>
      </c>
    </row>
    <row r="145" customFormat="false" ht="18.75" hidden="false" customHeight="false" outlineLevel="0" collapsed="false">
      <c r="A145" s="145" t="s">
        <v>174</v>
      </c>
      <c r="B145" s="145"/>
      <c r="C145" s="145"/>
      <c r="D145" s="145"/>
      <c r="E145" s="145"/>
      <c r="F145" s="145"/>
      <c r="G145" s="146" t="n">
        <f aca="false">H10</f>
        <v>150</v>
      </c>
      <c r="H145" s="37" t="n">
        <f aca="false">G145</f>
        <v>150</v>
      </c>
      <c r="J145" s="145" t="s">
        <v>174</v>
      </c>
      <c r="K145" s="145"/>
      <c r="L145" s="145"/>
      <c r="M145" s="145"/>
      <c r="N145" s="145"/>
      <c r="O145" s="145"/>
      <c r="P145" s="146" t="n">
        <f aca="false">H10</f>
        <v>150</v>
      </c>
      <c r="Q145" s="37" t="n">
        <f aca="false">P145</f>
        <v>150</v>
      </c>
      <c r="S145" s="145" t="s">
        <v>174</v>
      </c>
      <c r="T145" s="145"/>
      <c r="U145" s="145"/>
      <c r="V145" s="145"/>
      <c r="W145" s="145"/>
      <c r="X145" s="145"/>
      <c r="Y145" s="146" t="n">
        <f aca="false">H10</f>
        <v>150</v>
      </c>
      <c r="Z145" s="37" t="n">
        <f aca="false">Y145</f>
        <v>150</v>
      </c>
      <c r="AB145" s="145" t="s">
        <v>174</v>
      </c>
      <c r="AC145" s="145"/>
      <c r="AD145" s="145"/>
      <c r="AE145" s="145"/>
      <c r="AF145" s="145"/>
      <c r="AG145" s="145"/>
      <c r="AH145" s="146" t="n">
        <f aca="false">H10</f>
        <v>150</v>
      </c>
      <c r="AI145" s="37" t="n">
        <f aca="false">AH145</f>
        <v>150</v>
      </c>
    </row>
    <row r="146" customFormat="false" ht="18.75" hidden="false" customHeight="false" outlineLevel="0" collapsed="false">
      <c r="A146" s="145" t="s">
        <v>175</v>
      </c>
      <c r="B146" s="145"/>
      <c r="C146" s="145"/>
      <c r="D146" s="145"/>
      <c r="E146" s="145"/>
      <c r="F146" s="145"/>
      <c r="G146" s="146" t="n">
        <f aca="false">H11</f>
        <v>8655.63268</v>
      </c>
      <c r="H146" s="37" t="n">
        <f aca="false">(H144+H145)*20%</f>
        <v>8655.63268</v>
      </c>
      <c r="J146" s="145" t="s">
        <v>175</v>
      </c>
      <c r="K146" s="145"/>
      <c r="L146" s="145"/>
      <c r="M146" s="145"/>
      <c r="N146" s="145"/>
      <c r="O146" s="145"/>
      <c r="P146" s="146" t="n">
        <f aca="false">H11</f>
        <v>8655.63268</v>
      </c>
      <c r="Q146" s="37" t="n">
        <f aca="false">(Q144+Q145)*20%</f>
        <v>5755.834</v>
      </c>
      <c r="S146" s="145" t="s">
        <v>175</v>
      </c>
      <c r="T146" s="145"/>
      <c r="U146" s="145"/>
      <c r="V146" s="145"/>
      <c r="W146" s="145"/>
      <c r="X146" s="145"/>
      <c r="Y146" s="146" t="n">
        <f aca="false">H11</f>
        <v>8655.63268</v>
      </c>
      <c r="Z146" s="37" t="n">
        <f aca="false">(Z144+Z145)*20%</f>
        <v>6631.2495</v>
      </c>
      <c r="AB146" s="145" t="s">
        <v>175</v>
      </c>
      <c r="AC146" s="145"/>
      <c r="AD146" s="145"/>
      <c r="AE146" s="145"/>
      <c r="AF146" s="145"/>
      <c r="AG146" s="145"/>
      <c r="AH146" s="146" t="n">
        <f aca="false">H11</f>
        <v>8655.63268</v>
      </c>
      <c r="AI146" s="37" t="n">
        <f aca="false">(AI144+AI145)*20%</f>
        <v>6631.2495</v>
      </c>
    </row>
    <row r="147" customFormat="false" ht="18.75" hidden="false" customHeight="false" outlineLevel="0" collapsed="false">
      <c r="A147" s="145" t="s">
        <v>176</v>
      </c>
      <c r="B147" s="145"/>
      <c r="C147" s="145"/>
      <c r="D147" s="145"/>
      <c r="E147" s="145"/>
      <c r="F147" s="145"/>
      <c r="G147" s="146" t="n">
        <f aca="false">H12</f>
        <v>0</v>
      </c>
      <c r="H147" s="37" t="n">
        <v>0</v>
      </c>
      <c r="J147" s="145" t="s">
        <v>176</v>
      </c>
      <c r="K147" s="145"/>
      <c r="L147" s="145"/>
      <c r="M147" s="145"/>
      <c r="N147" s="145"/>
      <c r="O147" s="145"/>
      <c r="P147" s="146" t="n">
        <f aca="false">H12</f>
        <v>0</v>
      </c>
      <c r="Q147" s="37" t="n">
        <f aca="false">P147</f>
        <v>0</v>
      </c>
      <c r="S147" s="145" t="s">
        <v>176</v>
      </c>
      <c r="T147" s="145"/>
      <c r="U147" s="145"/>
      <c r="V147" s="145"/>
      <c r="W147" s="145"/>
      <c r="X147" s="145"/>
      <c r="Y147" s="146" t="n">
        <f aca="false">H12</f>
        <v>0</v>
      </c>
      <c r="Z147" s="37" t="n">
        <f aca="false">Y147</f>
        <v>0</v>
      </c>
      <c r="AB147" s="145" t="s">
        <v>176</v>
      </c>
      <c r="AC147" s="145"/>
      <c r="AD147" s="145"/>
      <c r="AE147" s="145"/>
      <c r="AF147" s="145"/>
      <c r="AG147" s="145"/>
      <c r="AH147" s="146" t="n">
        <f aca="false">H12</f>
        <v>0</v>
      </c>
      <c r="AI147" s="37" t="n">
        <f aca="false">AH147</f>
        <v>0</v>
      </c>
    </row>
    <row r="148" customFormat="false" ht="18.75" hidden="false" customHeight="false" outlineLevel="0" collapsed="false">
      <c r="A148" s="145" t="s">
        <v>177</v>
      </c>
      <c r="B148" s="145"/>
      <c r="C148" s="145"/>
      <c r="D148" s="145"/>
      <c r="E148" s="145"/>
      <c r="F148" s="145"/>
      <c r="G148" s="146" t="n">
        <f aca="false">H13</f>
        <v>1040</v>
      </c>
      <c r="H148" s="37" t="n">
        <f aca="false">G148</f>
        <v>1040</v>
      </c>
      <c r="J148" s="145" t="s">
        <v>177</v>
      </c>
      <c r="K148" s="145"/>
      <c r="L148" s="145"/>
      <c r="M148" s="145"/>
      <c r="N148" s="145"/>
      <c r="O148" s="145"/>
      <c r="P148" s="146" t="n">
        <f aca="false">H13</f>
        <v>1040</v>
      </c>
      <c r="Q148" s="37" t="n">
        <f aca="false">P148</f>
        <v>1040</v>
      </c>
      <c r="S148" s="145" t="s">
        <v>177</v>
      </c>
      <c r="T148" s="145"/>
      <c r="U148" s="145"/>
      <c r="V148" s="145"/>
      <c r="W148" s="145"/>
      <c r="X148" s="145"/>
      <c r="Y148" s="146" t="n">
        <f aca="false">H13</f>
        <v>1040</v>
      </c>
      <c r="Z148" s="37" t="n">
        <f aca="false">Y148</f>
        <v>1040</v>
      </c>
      <c r="AB148" s="145" t="s">
        <v>177</v>
      </c>
      <c r="AC148" s="145"/>
      <c r="AD148" s="145"/>
      <c r="AE148" s="145"/>
      <c r="AF148" s="145"/>
      <c r="AG148" s="145"/>
      <c r="AH148" s="146" t="n">
        <f aca="false">H13</f>
        <v>1040</v>
      </c>
      <c r="AI148" s="37" t="n">
        <f aca="false">AH148</f>
        <v>1040</v>
      </c>
    </row>
    <row r="149" customFormat="false" ht="18.75" hidden="false" customHeight="false" outlineLevel="0" collapsed="false">
      <c r="A149" s="145" t="s">
        <v>178</v>
      </c>
      <c r="B149" s="145"/>
      <c r="C149" s="145"/>
      <c r="D149" s="145"/>
      <c r="E149" s="145"/>
      <c r="F149" s="145"/>
      <c r="G149" s="146" t="n">
        <f aca="false">H14</f>
        <v>55</v>
      </c>
      <c r="H149" s="37" t="n">
        <f aca="false">G149</f>
        <v>55</v>
      </c>
      <c r="J149" s="145" t="s">
        <v>178</v>
      </c>
      <c r="K149" s="145"/>
      <c r="L149" s="145"/>
      <c r="M149" s="145"/>
      <c r="N149" s="145"/>
      <c r="O149" s="145"/>
      <c r="P149" s="146" t="n">
        <f aca="false">H14</f>
        <v>55</v>
      </c>
      <c r="Q149" s="37" t="n">
        <v>55</v>
      </c>
      <c r="S149" s="145" t="s">
        <v>178</v>
      </c>
      <c r="T149" s="145"/>
      <c r="U149" s="145"/>
      <c r="V149" s="145"/>
      <c r="W149" s="145"/>
      <c r="X149" s="145"/>
      <c r="Y149" s="146" t="n">
        <f aca="false">H14</f>
        <v>55</v>
      </c>
      <c r="Z149" s="37" t="n">
        <v>55</v>
      </c>
      <c r="AB149" s="145" t="s">
        <v>178</v>
      </c>
      <c r="AC149" s="145"/>
      <c r="AD149" s="145"/>
      <c r="AE149" s="145"/>
      <c r="AF149" s="145"/>
      <c r="AG149" s="145"/>
      <c r="AH149" s="146" t="n">
        <f aca="false">H14</f>
        <v>55</v>
      </c>
      <c r="AI149" s="37" t="n">
        <v>55</v>
      </c>
    </row>
    <row r="150" customFormat="false" ht="19.7" hidden="false" customHeight="false" outlineLevel="0" collapsed="false">
      <c r="A150" s="145" t="s">
        <v>179</v>
      </c>
      <c r="B150" s="145"/>
      <c r="C150" s="145"/>
      <c r="D150" s="145"/>
      <c r="E150" s="145"/>
      <c r="F150" s="145"/>
      <c r="G150" s="148" t="n">
        <f aca="false">H15</f>
        <v>53028.79608</v>
      </c>
      <c r="H150" s="147" t="n">
        <f aca="false">(H144+H145+H148+H149+H146)-H147</f>
        <v>53028.79608</v>
      </c>
      <c r="J150" s="145" t="s">
        <v>179</v>
      </c>
      <c r="K150" s="145"/>
      <c r="L150" s="145"/>
      <c r="M150" s="145"/>
      <c r="N150" s="145"/>
      <c r="O150" s="145"/>
      <c r="P150" s="148" t="n">
        <f aca="false">H15</f>
        <v>53028.79608</v>
      </c>
      <c r="Q150" s="147" t="n">
        <f aca="false">(Q144+Q145+Q148+Q149+Q146)-Q147</f>
        <v>35630.004</v>
      </c>
      <c r="S150" s="145" t="s">
        <v>179</v>
      </c>
      <c r="T150" s="145"/>
      <c r="U150" s="145"/>
      <c r="V150" s="145"/>
      <c r="W150" s="145"/>
      <c r="X150" s="145"/>
      <c r="Y150" s="148" t="n">
        <f aca="false">H15</f>
        <v>53028.79608</v>
      </c>
      <c r="Z150" s="147" t="n">
        <f aca="false">(Z144+Z145+Z148+Z149+Z146)-Z147</f>
        <v>40882.497</v>
      </c>
      <c r="AB150" s="145" t="s">
        <v>179</v>
      </c>
      <c r="AC150" s="145"/>
      <c r="AD150" s="145"/>
      <c r="AE150" s="145"/>
      <c r="AF150" s="145"/>
      <c r="AG150" s="145"/>
      <c r="AH150" s="148" t="n">
        <f aca="false">H15</f>
        <v>53028.79608</v>
      </c>
      <c r="AI150" s="147" t="n">
        <f aca="false">(AI144+AI145+AI148+AI149+AI146)-AI147</f>
        <v>40882.497</v>
      </c>
    </row>
    <row r="151" customFormat="false" ht="18.75" hidden="false" customHeight="false" outlineLevel="0" collapsed="false">
      <c r="A151" s="145" t="s">
        <v>180</v>
      </c>
      <c r="B151" s="145"/>
      <c r="C151" s="145"/>
      <c r="D151" s="145"/>
      <c r="E151" s="145"/>
      <c r="F151" s="145"/>
      <c r="G151" s="146" t="n">
        <f aca="false">H16</f>
        <v>0</v>
      </c>
      <c r="H151" s="44" t="n">
        <f aca="false">G151</f>
        <v>0</v>
      </c>
      <c r="J151" s="145" t="s">
        <v>180</v>
      </c>
      <c r="K151" s="145"/>
      <c r="L151" s="145"/>
      <c r="M151" s="145"/>
      <c r="N151" s="145"/>
      <c r="O151" s="145"/>
      <c r="P151" s="146" t="n">
        <f aca="false">H16</f>
        <v>0</v>
      </c>
      <c r="Q151" s="44" t="n">
        <f aca="false">P151</f>
        <v>0</v>
      </c>
      <c r="S151" s="145" t="s">
        <v>180</v>
      </c>
      <c r="T151" s="145"/>
      <c r="U151" s="145"/>
      <c r="V151" s="145"/>
      <c r="W151" s="145"/>
      <c r="X151" s="145"/>
      <c r="Y151" s="146" t="n">
        <f aca="false">H16</f>
        <v>0</v>
      </c>
      <c r="Z151" s="44" t="n">
        <f aca="false">Y151</f>
        <v>0</v>
      </c>
      <c r="AB151" s="145" t="s">
        <v>180</v>
      </c>
      <c r="AC151" s="145"/>
      <c r="AD151" s="145"/>
      <c r="AE151" s="145"/>
      <c r="AF151" s="145"/>
      <c r="AG151" s="145"/>
      <c r="AH151" s="146" t="n">
        <f aca="false">H16</f>
        <v>0</v>
      </c>
      <c r="AI151" s="44" t="n">
        <f aca="false">AH151</f>
        <v>0</v>
      </c>
    </row>
    <row r="152" customFormat="false" ht="18.75" hidden="false" customHeight="false" outlineLevel="0" collapsed="false">
      <c r="A152" s="113" t="s">
        <v>181</v>
      </c>
      <c r="B152" s="113"/>
      <c r="C152" s="113"/>
      <c r="D152" s="113"/>
      <c r="E152" s="113" t="n">
        <v>0</v>
      </c>
      <c r="F152" s="113"/>
      <c r="G152" s="42" t="n">
        <v>0</v>
      </c>
      <c r="H152" s="37"/>
      <c r="J152" s="149" t="s">
        <v>181</v>
      </c>
      <c r="K152" s="149"/>
      <c r="L152" s="149"/>
      <c r="M152" s="149"/>
      <c r="N152" s="149"/>
      <c r="O152" s="149"/>
      <c r="P152" s="42"/>
      <c r="Q152" s="37"/>
      <c r="S152" s="113" t="s">
        <v>181</v>
      </c>
      <c r="T152" s="113"/>
      <c r="U152" s="113"/>
      <c r="V152" s="113"/>
      <c r="W152" s="113"/>
      <c r="X152" s="113"/>
      <c r="Y152" s="42"/>
      <c r="Z152" s="37"/>
      <c r="AB152" s="113" t="s">
        <v>181</v>
      </c>
      <c r="AC152" s="113"/>
      <c r="AD152" s="113"/>
      <c r="AE152" s="113"/>
      <c r="AF152" s="113"/>
      <c r="AG152" s="113"/>
      <c r="AH152" s="42"/>
      <c r="AI152" s="37"/>
    </row>
    <row r="153" customFormat="false" ht="18.75" hidden="false" customHeight="false" outlineLevel="0" collapsed="false">
      <c r="A153" s="150" t="s">
        <v>26</v>
      </c>
      <c r="B153" s="151" t="s">
        <v>182</v>
      </c>
      <c r="C153" s="151"/>
      <c r="D153" s="151"/>
      <c r="E153" s="151"/>
      <c r="F153" s="151"/>
      <c r="G153" s="146" t="n">
        <f aca="false">H18</f>
        <v>0</v>
      </c>
      <c r="H153" s="44" t="n">
        <f aca="false">G153</f>
        <v>0</v>
      </c>
      <c r="J153" s="150" t="s">
        <v>26</v>
      </c>
      <c r="K153" s="151" t="s">
        <v>182</v>
      </c>
      <c r="L153" s="151"/>
      <c r="M153" s="151"/>
      <c r="N153" s="151"/>
      <c r="O153" s="151"/>
      <c r="P153" s="146" t="n">
        <f aca="false">H18</f>
        <v>0</v>
      </c>
      <c r="Q153" s="44" t="n">
        <f aca="false">P153</f>
        <v>0</v>
      </c>
      <c r="S153" s="150" t="s">
        <v>26</v>
      </c>
      <c r="T153" s="151" t="s">
        <v>182</v>
      </c>
      <c r="U153" s="151"/>
      <c r="V153" s="151"/>
      <c r="W153" s="151"/>
      <c r="X153" s="151"/>
      <c r="Y153" s="146" t="n">
        <f aca="false">H18</f>
        <v>0</v>
      </c>
      <c r="Z153" s="44" t="n">
        <f aca="false">Y153</f>
        <v>0</v>
      </c>
      <c r="AB153" s="150" t="s">
        <v>26</v>
      </c>
      <c r="AC153" s="151" t="s">
        <v>182</v>
      </c>
      <c r="AD153" s="151"/>
      <c r="AE153" s="151"/>
      <c r="AF153" s="151"/>
      <c r="AG153" s="151"/>
      <c r="AH153" s="146" t="n">
        <f aca="false">H18</f>
        <v>0</v>
      </c>
      <c r="AI153" s="44" t="n">
        <f aca="false">AH153</f>
        <v>0</v>
      </c>
    </row>
    <row r="154" customFormat="false" ht="18.75" hidden="false" customHeight="false" outlineLevel="0" collapsed="false">
      <c r="A154" s="150" t="s">
        <v>28</v>
      </c>
      <c r="B154" s="151" t="s">
        <v>182</v>
      </c>
      <c r="C154" s="151"/>
      <c r="D154" s="151"/>
      <c r="E154" s="151"/>
      <c r="F154" s="151"/>
      <c r="G154" s="146" t="n">
        <f aca="false">H19</f>
        <v>0</v>
      </c>
      <c r="H154" s="44" t="n">
        <v>0</v>
      </c>
      <c r="I154" s="6" t="n">
        <f aca="false">(G151+G154+G155+G153)</f>
        <v>0</v>
      </c>
      <c r="J154" s="150" t="s">
        <v>28</v>
      </c>
      <c r="K154" s="151" t="s">
        <v>182</v>
      </c>
      <c r="L154" s="151"/>
      <c r="M154" s="151"/>
      <c r="N154" s="151"/>
      <c r="O154" s="151"/>
      <c r="P154" s="146" t="n">
        <f aca="false">H19</f>
        <v>0</v>
      </c>
      <c r="Q154" s="44" t="n">
        <f aca="false">P154</f>
        <v>0</v>
      </c>
      <c r="S154" s="150" t="s">
        <v>28</v>
      </c>
      <c r="T154" s="151" t="s">
        <v>182</v>
      </c>
      <c r="U154" s="151"/>
      <c r="V154" s="151"/>
      <c r="W154" s="151"/>
      <c r="X154" s="151"/>
      <c r="Y154" s="146" t="n">
        <f aca="false">H19</f>
        <v>0</v>
      </c>
      <c r="Z154" s="44" t="n">
        <f aca="false">Y154</f>
        <v>0</v>
      </c>
      <c r="AB154" s="150" t="s">
        <v>28</v>
      </c>
      <c r="AC154" s="151" t="s">
        <v>182</v>
      </c>
      <c r="AD154" s="151"/>
      <c r="AE154" s="151"/>
      <c r="AF154" s="151"/>
      <c r="AG154" s="151"/>
      <c r="AH154" s="146" t="n">
        <f aca="false">H19</f>
        <v>0</v>
      </c>
      <c r="AI154" s="44" t="n">
        <f aca="false">AH154</f>
        <v>0</v>
      </c>
    </row>
    <row r="155" customFormat="false" ht="18.75" hidden="false" customHeight="false" outlineLevel="0" collapsed="false">
      <c r="A155" s="152" t="s">
        <v>29</v>
      </c>
      <c r="B155" s="153" t="s">
        <v>182</v>
      </c>
      <c r="C155" s="153"/>
      <c r="D155" s="153"/>
      <c r="E155" s="153"/>
      <c r="F155" s="153"/>
      <c r="G155" s="146" t="n">
        <f aca="false">H20</f>
        <v>0</v>
      </c>
      <c r="H155" s="44" t="n">
        <v>0</v>
      </c>
      <c r="I155" s="6" t="n">
        <f aca="false">(H151+H153+H154+H155)</f>
        <v>0</v>
      </c>
      <c r="J155" s="152" t="s">
        <v>29</v>
      </c>
      <c r="K155" s="153" t="s">
        <v>182</v>
      </c>
      <c r="L155" s="153"/>
      <c r="M155" s="153"/>
      <c r="N155" s="153"/>
      <c r="O155" s="153"/>
      <c r="P155" s="146" t="n">
        <f aca="false">H20</f>
        <v>0</v>
      </c>
      <c r="Q155" s="44" t="n">
        <f aca="false">P155</f>
        <v>0</v>
      </c>
      <c r="S155" s="152" t="s">
        <v>29</v>
      </c>
      <c r="T155" s="153" t="s">
        <v>182</v>
      </c>
      <c r="U155" s="153"/>
      <c r="V155" s="153"/>
      <c r="W155" s="153"/>
      <c r="X155" s="153"/>
      <c r="Y155" s="146" t="n">
        <f aca="false">H20</f>
        <v>0</v>
      </c>
      <c r="Z155" s="44" t="n">
        <f aca="false">Y155</f>
        <v>0</v>
      </c>
      <c r="AB155" s="152" t="s">
        <v>29</v>
      </c>
      <c r="AC155" s="153" t="s">
        <v>182</v>
      </c>
      <c r="AD155" s="153"/>
      <c r="AE155" s="153"/>
      <c r="AF155" s="153"/>
      <c r="AG155" s="153"/>
      <c r="AH155" s="146" t="n">
        <f aca="false">H20</f>
        <v>0</v>
      </c>
      <c r="AI155" s="44" t="n">
        <f aca="false">AH155</f>
        <v>0</v>
      </c>
    </row>
    <row r="156" customFormat="false" ht="19.7" hidden="false" customHeight="false" outlineLevel="0" collapsed="false">
      <c r="A156" s="145" t="s">
        <v>183</v>
      </c>
      <c r="B156" s="145"/>
      <c r="C156" s="145"/>
      <c r="D156" s="145"/>
      <c r="E156" s="145"/>
      <c r="F156" s="145"/>
      <c r="G156" s="148" t="n">
        <f aca="false">G150-((G153*1.2)+(G154*1.2)+(G155*1.2)+(G151*1.2))</f>
        <v>53028.79608</v>
      </c>
      <c r="H156" s="154" t="n">
        <f aca="false">H150-((H153*1.2)+(H154*1.2)+(H155*1.2)+(H151*1.2))</f>
        <v>53028.79608</v>
      </c>
      <c r="J156" s="155" t="s">
        <v>183</v>
      </c>
      <c r="K156" s="155"/>
      <c r="L156" s="155"/>
      <c r="M156" s="155"/>
      <c r="N156" s="155"/>
      <c r="O156" s="155"/>
      <c r="P156" s="148" t="n">
        <f aca="false">P150-((P153*1.2)+(P154*1.2)+(P155*1.2)+(P151*1.2))</f>
        <v>53028.79608</v>
      </c>
      <c r="Q156" s="154" t="n">
        <f aca="false">Q150-((Q153*1.2)+(Q154*1.2)+(Q155*1.2)+(Q151*1.2))</f>
        <v>35630.004</v>
      </c>
      <c r="S156" s="145" t="s">
        <v>183</v>
      </c>
      <c r="T156" s="145"/>
      <c r="U156" s="145"/>
      <c r="V156" s="145"/>
      <c r="W156" s="145"/>
      <c r="X156" s="145"/>
      <c r="Y156" s="148" t="n">
        <f aca="false">Y150-((Y153*1.2)+(Y154*1.2)+(Y155*1.2)+(Y151*1.2))</f>
        <v>53028.79608</v>
      </c>
      <c r="Z156" s="154" t="n">
        <f aca="false">Z150-((Z153*1.2)+(Z154*1.2)+(Z155*1.2)+(Z151*1.2))</f>
        <v>40882.497</v>
      </c>
      <c r="AB156" s="145" t="s">
        <v>183</v>
      </c>
      <c r="AC156" s="145"/>
      <c r="AD156" s="145"/>
      <c r="AE156" s="145"/>
      <c r="AF156" s="145"/>
      <c r="AG156" s="145"/>
      <c r="AH156" s="148" t="n">
        <f aca="false">AH150-((AH153*1.2)+(AH154*1.2)+(AH155*1.2)+(AH151*1.2))</f>
        <v>53028.79608</v>
      </c>
      <c r="AI156" s="154" t="n">
        <f aca="false">AI150-((AI153*1.2)+(AI154*1.2)+(AI155*1.2)+(AI151*1.2))</f>
        <v>40882.497</v>
      </c>
    </row>
    <row r="157" customFormat="false" ht="18.75" hidden="false" customHeight="false" outlineLevel="0" collapsed="false">
      <c r="A157" s="145" t="s">
        <v>184</v>
      </c>
      <c r="B157" s="145"/>
      <c r="C157" s="145"/>
      <c r="D157" s="145"/>
      <c r="E157" s="145"/>
      <c r="F157" s="145"/>
      <c r="G157" s="146"/>
      <c r="H157" s="44" t="n">
        <f aca="false">((H156-G156)-(H146-G146))+((I155-I154)*0.2)</f>
        <v>0</v>
      </c>
      <c r="I157" s="6" t="n">
        <f aca="false">(H157-G90)/1.2</f>
        <v>-43357.3300666667</v>
      </c>
      <c r="J157" s="145" t="s">
        <v>184</v>
      </c>
      <c r="K157" s="145"/>
      <c r="L157" s="145"/>
      <c r="M157" s="145"/>
      <c r="N157" s="145"/>
      <c r="O157" s="145"/>
      <c r="P157" s="146"/>
      <c r="Q157" s="44" t="n">
        <f aca="false">Q156-P156</f>
        <v>-17398.79208</v>
      </c>
      <c r="S157" s="145" t="s">
        <v>184</v>
      </c>
      <c r="T157" s="145"/>
      <c r="U157" s="145"/>
      <c r="V157" s="145"/>
      <c r="W157" s="145"/>
      <c r="X157" s="145"/>
      <c r="Y157" s="146"/>
      <c r="Z157" s="44" t="n">
        <f aca="false">Z156-Y156</f>
        <v>-12146.29908</v>
      </c>
      <c r="AB157" s="145" t="s">
        <v>184</v>
      </c>
      <c r="AC157" s="145"/>
      <c r="AD157" s="145"/>
      <c r="AE157" s="145"/>
      <c r="AF157" s="145"/>
      <c r="AG157" s="145"/>
      <c r="AH157" s="146"/>
      <c r="AI157" s="44" t="n">
        <f aca="false">AI156-AH156</f>
        <v>-12146.29908</v>
      </c>
    </row>
    <row r="158" customFormat="false" ht="18.75" hidden="false" customHeight="false" outlineLevel="0" collapsed="false">
      <c r="A158" s="35"/>
      <c r="B158" s="36"/>
      <c r="C158" s="36"/>
      <c r="D158" s="36"/>
      <c r="E158" s="27"/>
      <c r="F158" s="27"/>
      <c r="G158" s="27"/>
      <c r="H158" s="37"/>
      <c r="J158" s="35"/>
      <c r="K158" s="36"/>
      <c r="L158" s="36"/>
      <c r="M158" s="36"/>
      <c r="N158" s="27"/>
      <c r="O158" s="27"/>
      <c r="P158" s="27"/>
      <c r="Q158" s="37"/>
      <c r="S158" s="35"/>
      <c r="T158" s="36"/>
      <c r="U158" s="36"/>
      <c r="V158" s="36"/>
      <c r="W158" s="27"/>
      <c r="X158" s="27"/>
      <c r="Y158" s="27"/>
      <c r="Z158" s="37"/>
      <c r="AB158" s="35"/>
      <c r="AC158" s="36"/>
      <c r="AD158" s="36"/>
      <c r="AE158" s="36"/>
      <c r="AF158" s="27"/>
      <c r="AG158" s="27"/>
      <c r="AH158" s="27"/>
      <c r="AI158" s="37"/>
    </row>
    <row r="159" customFormat="false" ht="22.05" hidden="false" customHeight="false" outlineLevel="0" collapsed="false">
      <c r="A159" s="32" t="s">
        <v>185</v>
      </c>
      <c r="B159" s="32"/>
      <c r="C159" s="32"/>
      <c r="D159" s="32"/>
      <c r="E159" s="32"/>
      <c r="F159" s="32"/>
      <c r="G159" s="32"/>
      <c r="H159" s="32"/>
      <c r="J159" s="32" t="s">
        <v>185</v>
      </c>
      <c r="K159" s="32"/>
      <c r="L159" s="32"/>
      <c r="M159" s="32"/>
      <c r="N159" s="32"/>
      <c r="O159" s="32"/>
      <c r="P159" s="32"/>
      <c r="Q159" s="32"/>
      <c r="S159" s="32" t="s">
        <v>185</v>
      </c>
      <c r="T159" s="32"/>
      <c r="U159" s="32"/>
      <c r="V159" s="32"/>
      <c r="W159" s="32"/>
      <c r="X159" s="32"/>
      <c r="Y159" s="32"/>
      <c r="Z159" s="32"/>
      <c r="AB159" s="32" t="s">
        <v>185</v>
      </c>
      <c r="AC159" s="32"/>
      <c r="AD159" s="32"/>
      <c r="AE159" s="32"/>
      <c r="AF159" s="32"/>
      <c r="AG159" s="32"/>
      <c r="AH159" s="32"/>
      <c r="AI159" s="32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 t="s">
        <v>186</v>
      </c>
      <c r="B161" s="36"/>
      <c r="C161" s="36"/>
      <c r="D161" s="27"/>
      <c r="E161" s="109" t="n">
        <v>0</v>
      </c>
      <c r="F161" s="109"/>
      <c r="G161" s="109" t="n">
        <v>0</v>
      </c>
      <c r="H161" s="109"/>
      <c r="J161" s="35" t="s">
        <v>186</v>
      </c>
      <c r="K161" s="36"/>
      <c r="L161" s="36"/>
      <c r="M161" s="27"/>
      <c r="N161" s="109" t="n">
        <v>10000</v>
      </c>
      <c r="O161" s="109"/>
      <c r="P161" s="109" t="n">
        <v>5000</v>
      </c>
      <c r="Q161" s="109"/>
      <c r="S161" s="35" t="s">
        <v>186</v>
      </c>
      <c r="T161" s="36"/>
      <c r="U161" s="36"/>
      <c r="V161" s="27"/>
      <c r="W161" s="109" t="n">
        <v>10000</v>
      </c>
      <c r="X161" s="109"/>
      <c r="Y161" s="109" t="n">
        <v>5000</v>
      </c>
      <c r="Z161" s="109"/>
      <c r="AB161" s="35" t="s">
        <v>186</v>
      </c>
      <c r="AC161" s="36"/>
      <c r="AD161" s="36"/>
      <c r="AE161" s="27"/>
      <c r="AF161" s="109" t="n">
        <v>10000</v>
      </c>
      <c r="AG161" s="109"/>
      <c r="AH161" s="109" t="n">
        <v>5000</v>
      </c>
      <c r="AI161" s="109"/>
    </row>
    <row r="162" customFormat="false" ht="18.75" hidden="false" customHeight="false" outlineLevel="0" collapsed="false">
      <c r="A162" s="35" t="s">
        <v>187</v>
      </c>
      <c r="B162" s="36"/>
      <c r="C162" s="36"/>
      <c r="D162" s="27"/>
      <c r="E162" s="156" t="n">
        <f aca="false">G162</f>
        <v>0</v>
      </c>
      <c r="F162" s="156"/>
      <c r="G162" s="109" t="n">
        <v>0</v>
      </c>
      <c r="H162" s="109"/>
      <c r="J162" s="35" t="s">
        <v>187</v>
      </c>
      <c r="K162" s="36"/>
      <c r="L162" s="36"/>
      <c r="M162" s="27"/>
      <c r="N162" s="156" t="n">
        <f aca="false">P162</f>
        <v>7000</v>
      </c>
      <c r="O162" s="156"/>
      <c r="P162" s="109" t="n">
        <v>7000</v>
      </c>
      <c r="Q162" s="109"/>
      <c r="S162" s="35" t="s">
        <v>187</v>
      </c>
      <c r="T162" s="36"/>
      <c r="U162" s="36"/>
      <c r="V162" s="27"/>
      <c r="W162" s="156" t="n">
        <f aca="false">Y162</f>
        <v>7000</v>
      </c>
      <c r="X162" s="156"/>
      <c r="Y162" s="109" t="n">
        <v>7000</v>
      </c>
      <c r="Z162" s="109"/>
      <c r="AB162" s="35" t="s">
        <v>187</v>
      </c>
      <c r="AC162" s="36"/>
      <c r="AD162" s="36"/>
      <c r="AE162" s="27"/>
      <c r="AF162" s="156" t="n">
        <f aca="false">AH162</f>
        <v>7000</v>
      </c>
      <c r="AG162" s="156"/>
      <c r="AH162" s="109" t="n">
        <v>7000</v>
      </c>
      <c r="AI162" s="109"/>
    </row>
    <row r="163" customFormat="false" ht="18.75" hidden="false" customHeight="false" outlineLevel="0" collapsed="false">
      <c r="A163" s="35" t="s">
        <v>188</v>
      </c>
      <c r="B163" s="36"/>
      <c r="C163" s="36"/>
      <c r="D163" s="27"/>
      <c r="E163" s="156" t="n">
        <f aca="false">E161-E162</f>
        <v>0</v>
      </c>
      <c r="F163" s="156"/>
      <c r="G163" s="157" t="n">
        <f aca="false">G161-G162</f>
        <v>0</v>
      </c>
      <c r="H163" s="157"/>
      <c r="J163" s="35" t="s">
        <v>188</v>
      </c>
      <c r="K163" s="36"/>
      <c r="L163" s="36"/>
      <c r="M163" s="27"/>
      <c r="N163" s="156" t="n">
        <f aca="false">N161-N162</f>
        <v>3000</v>
      </c>
      <c r="O163" s="156"/>
      <c r="P163" s="157" t="n">
        <f aca="false">P161-P162</f>
        <v>-2000</v>
      </c>
      <c r="Q163" s="157"/>
      <c r="S163" s="35" t="s">
        <v>188</v>
      </c>
      <c r="T163" s="36"/>
      <c r="U163" s="36"/>
      <c r="V163" s="27"/>
      <c r="W163" s="156" t="n">
        <f aca="false">W161-W162</f>
        <v>3000</v>
      </c>
      <c r="X163" s="156"/>
      <c r="Y163" s="157" t="n">
        <f aca="false">Y161-Y162</f>
        <v>-2000</v>
      </c>
      <c r="Z163" s="157"/>
      <c r="AB163" s="35" t="s">
        <v>188</v>
      </c>
      <c r="AC163" s="36"/>
      <c r="AD163" s="36"/>
      <c r="AE163" s="27"/>
      <c r="AF163" s="156" t="n">
        <f aca="false">AF161-AF162</f>
        <v>3000</v>
      </c>
      <c r="AG163" s="156"/>
      <c r="AH163" s="157" t="n">
        <f aca="false">AH161-AH162</f>
        <v>-2000</v>
      </c>
      <c r="AI163" s="157"/>
    </row>
    <row r="164" customFormat="false" ht="18.75" hidden="false" customHeight="false" outlineLevel="0" collapsed="false">
      <c r="A164" s="35" t="s">
        <v>189</v>
      </c>
      <c r="B164" s="36"/>
      <c r="C164" s="36"/>
      <c r="D164" s="27"/>
      <c r="E164" s="156" t="n">
        <f aca="false">E163-G163</f>
        <v>0</v>
      </c>
      <c r="F164" s="156"/>
      <c r="G164" s="27"/>
      <c r="H164" s="37"/>
      <c r="J164" s="35" t="s">
        <v>189</v>
      </c>
      <c r="K164" s="36"/>
      <c r="L164" s="36"/>
      <c r="M164" s="27"/>
      <c r="N164" s="156" t="n">
        <f aca="false">N163-P163</f>
        <v>5000</v>
      </c>
      <c r="O164" s="156"/>
      <c r="P164" s="27"/>
      <c r="Q164" s="37"/>
      <c r="S164" s="35" t="s">
        <v>189</v>
      </c>
      <c r="T164" s="36"/>
      <c r="U164" s="36"/>
      <c r="V164" s="27"/>
      <c r="W164" s="156" t="n">
        <f aca="false">W163-Y163</f>
        <v>5000</v>
      </c>
      <c r="X164" s="156"/>
      <c r="Y164" s="27"/>
      <c r="Z164" s="37"/>
      <c r="AB164" s="35" t="s">
        <v>189</v>
      </c>
      <c r="AC164" s="36"/>
      <c r="AD164" s="36"/>
      <c r="AE164" s="27"/>
      <c r="AF164" s="156" t="n">
        <f aca="false">AF163-AH163</f>
        <v>5000</v>
      </c>
      <c r="AG164" s="156"/>
      <c r="AH164" s="27"/>
      <c r="AI164" s="37"/>
    </row>
    <row r="165" customFormat="false" ht="18.75" hidden="false" customHeight="false" outlineLevel="0" collapsed="false">
      <c r="A165" s="29" t="s">
        <v>190</v>
      </c>
      <c r="B165" s="30"/>
      <c r="C165" s="30"/>
      <c r="D165" s="79"/>
      <c r="E165" s="30"/>
      <c r="F165" s="79"/>
      <c r="G165" s="158" t="s">
        <v>10</v>
      </c>
      <c r="H165" s="44" t="n">
        <v>1100</v>
      </c>
      <c r="J165" s="35"/>
      <c r="K165" s="36"/>
      <c r="L165" s="36"/>
      <c r="M165" s="27"/>
      <c r="N165" s="36"/>
      <c r="O165" s="27"/>
      <c r="P165" s="27"/>
      <c r="Q165" s="37"/>
      <c r="S165" s="35"/>
      <c r="T165" s="36"/>
      <c r="U165" s="36"/>
      <c r="V165" s="27"/>
      <c r="W165" s="36"/>
      <c r="X165" s="27"/>
      <c r="Y165" s="27"/>
      <c r="Z165" s="37"/>
      <c r="AB165" s="35"/>
      <c r="AC165" s="36"/>
      <c r="AD165" s="36"/>
      <c r="AE165" s="27"/>
      <c r="AF165" s="36"/>
      <c r="AG165" s="27"/>
      <c r="AH165" s="27"/>
      <c r="AI165" s="37"/>
    </row>
    <row r="166" customFormat="false" ht="18.75" hidden="false" customHeight="false" outlineLevel="0" collapsed="false">
      <c r="A166" s="29" t="s">
        <v>191</v>
      </c>
      <c r="B166" s="30"/>
      <c r="C166" s="30"/>
      <c r="D166" s="79"/>
      <c r="E166" s="30"/>
      <c r="F166" s="79"/>
      <c r="G166" s="158" t="n">
        <f aca="false">B120</f>
        <v>0</v>
      </c>
      <c r="H166" s="158"/>
      <c r="J166" s="29" t="s">
        <v>191</v>
      </c>
      <c r="K166" s="30"/>
      <c r="L166" s="30"/>
      <c r="M166" s="79"/>
      <c r="N166" s="30"/>
      <c r="O166" s="79"/>
      <c r="P166" s="158" t="n">
        <f aca="false">K120</f>
        <v>1000</v>
      </c>
      <c r="Q166" s="158"/>
      <c r="S166" s="29" t="s">
        <v>191</v>
      </c>
      <c r="T166" s="30"/>
      <c r="U166" s="30"/>
      <c r="V166" s="79"/>
      <c r="W166" s="30"/>
      <c r="X166" s="79"/>
      <c r="Y166" s="158" t="n">
        <f aca="false">T120</f>
        <v>1000</v>
      </c>
      <c r="Z166" s="158"/>
      <c r="AB166" s="29" t="s">
        <v>191</v>
      </c>
      <c r="AC166" s="30"/>
      <c r="AD166" s="30"/>
      <c r="AE166" s="79"/>
      <c r="AF166" s="30"/>
      <c r="AG166" s="79"/>
      <c r="AH166" s="158" t="n">
        <f aca="false">AC120</f>
        <v>1000</v>
      </c>
      <c r="AI166" s="158"/>
    </row>
    <row r="167" customFormat="false" ht="19.7" hidden="false" customHeight="false" outlineLevel="0" collapsed="false">
      <c r="A167" s="159" t="s">
        <v>192</v>
      </c>
      <c r="B167" s="36"/>
      <c r="C167" s="36"/>
      <c r="D167" s="27"/>
      <c r="E167" s="36"/>
      <c r="F167" s="27"/>
      <c r="G167" s="160" t="n">
        <f aca="false">H156-G163-G166+H165</f>
        <v>56128.79608</v>
      </c>
      <c r="H167" s="160"/>
      <c r="J167" s="159" t="s">
        <v>192</v>
      </c>
      <c r="K167" s="36"/>
      <c r="L167" s="36"/>
      <c r="M167" s="27"/>
      <c r="N167" s="36"/>
      <c r="O167" s="27"/>
      <c r="P167" s="160" t="n">
        <f aca="false">Q156-P163-P166</f>
        <v>36630.004</v>
      </c>
      <c r="Q167" s="160"/>
      <c r="S167" s="159" t="s">
        <v>192</v>
      </c>
      <c r="T167" s="36"/>
      <c r="U167" s="36"/>
      <c r="V167" s="27"/>
      <c r="W167" s="36"/>
      <c r="X167" s="27"/>
      <c r="Y167" s="160" t="n">
        <f aca="false">Z156-Y163-Y166</f>
        <v>41882.497</v>
      </c>
      <c r="Z167" s="160"/>
      <c r="AB167" s="159" t="s">
        <v>192</v>
      </c>
      <c r="AC167" s="36"/>
      <c r="AD167" s="36"/>
      <c r="AE167" s="27"/>
      <c r="AF167" s="36"/>
      <c r="AG167" s="27"/>
      <c r="AH167" s="160" t="n">
        <f aca="false">AI156-AH163-AH166</f>
        <v>41882.497</v>
      </c>
      <c r="AI167" s="160"/>
    </row>
    <row r="168" customFormat="false" ht="18.75" hidden="false" customHeight="false" outlineLevel="0" collapsed="false">
      <c r="A168" s="60" t="s">
        <v>66</v>
      </c>
      <c r="B168" s="61"/>
      <c r="C168" s="61"/>
      <c r="D168" s="101"/>
      <c r="E168" s="61"/>
      <c r="F168" s="101"/>
      <c r="G168" s="161" t="n">
        <f aca="false">B123</f>
        <v>239.99</v>
      </c>
      <c r="H168" s="161"/>
      <c r="J168" s="60" t="s">
        <v>66</v>
      </c>
      <c r="K168" s="61"/>
      <c r="L168" s="61"/>
      <c r="M168" s="101"/>
      <c r="N168" s="61"/>
      <c r="O168" s="101"/>
      <c r="P168" s="161" t="n">
        <f aca="false">K123</f>
        <v>239.99</v>
      </c>
      <c r="Q168" s="161"/>
      <c r="S168" s="60" t="s">
        <v>66</v>
      </c>
      <c r="T168" s="61"/>
      <c r="U168" s="61"/>
      <c r="V168" s="101"/>
      <c r="W168" s="61"/>
      <c r="X168" s="101"/>
      <c r="Y168" s="161" t="n">
        <f aca="false">T123</f>
        <v>199.99</v>
      </c>
      <c r="Z168" s="161"/>
      <c r="AB168" s="60" t="s">
        <v>66</v>
      </c>
      <c r="AC168" s="61"/>
      <c r="AD168" s="61"/>
      <c r="AE168" s="101"/>
      <c r="AF168" s="61"/>
      <c r="AG168" s="101"/>
      <c r="AH168" s="161" t="n">
        <f aca="false">AC123</f>
        <v>239.99</v>
      </c>
      <c r="AI168" s="161"/>
    </row>
    <row r="169" customFormat="false" ht="18.75" hidden="false" customHeight="false" outlineLevel="0" collapsed="false">
      <c r="A169" s="35"/>
      <c r="B169" s="36"/>
      <c r="C169" s="36"/>
      <c r="D169" s="36"/>
      <c r="E169" s="27"/>
      <c r="F169" s="27"/>
      <c r="G169" s="27"/>
      <c r="H169" s="37"/>
      <c r="J169" s="35"/>
      <c r="K169" s="36"/>
      <c r="L169" s="36"/>
      <c r="M169" s="36"/>
      <c r="N169" s="27"/>
      <c r="O169" s="27"/>
      <c r="P169" s="27"/>
      <c r="Q169" s="37"/>
      <c r="S169" s="35"/>
      <c r="T169" s="36"/>
      <c r="U169" s="36"/>
      <c r="V169" s="36"/>
      <c r="W169" s="27"/>
      <c r="X169" s="27"/>
      <c r="Y169" s="27"/>
      <c r="Z169" s="37"/>
      <c r="AB169" s="35"/>
      <c r="AC169" s="36"/>
      <c r="AD169" s="36"/>
      <c r="AE169" s="36"/>
      <c r="AF169" s="27"/>
      <c r="AG169" s="27"/>
      <c r="AH169" s="27"/>
      <c r="AI169" s="37"/>
    </row>
    <row r="170" customFormat="false" ht="18.75" hidden="false" customHeight="false" outlineLevel="0" collapsed="false">
      <c r="A170" s="35"/>
      <c r="B170" s="36"/>
      <c r="C170" s="36"/>
      <c r="D170" s="36"/>
      <c r="E170" s="27" t="n">
        <v>7200</v>
      </c>
      <c r="F170" s="27"/>
      <c r="G170" s="27"/>
      <c r="H170" s="37"/>
      <c r="J170" s="35"/>
      <c r="K170" s="36"/>
      <c r="L170" s="36"/>
      <c r="M170" s="36"/>
      <c r="N170" s="27"/>
      <c r="O170" s="27"/>
      <c r="P170" s="27"/>
      <c r="Q170" s="37"/>
      <c r="S170" s="35"/>
      <c r="T170" s="36"/>
      <c r="U170" s="36"/>
      <c r="V170" s="36"/>
      <c r="W170" s="27"/>
      <c r="X170" s="27"/>
      <c r="Y170" s="27"/>
      <c r="Z170" s="37"/>
      <c r="AB170" s="35"/>
      <c r="AC170" s="36"/>
      <c r="AD170" s="36"/>
      <c r="AE170" s="36"/>
      <c r="AF170" s="27"/>
      <c r="AG170" s="27"/>
      <c r="AH170" s="27"/>
      <c r="AI170" s="37"/>
    </row>
    <row r="171" customFormat="false" ht="22.05" hidden="false" customHeight="false" outlineLevel="0" collapsed="false">
      <c r="A171" s="32" t="s">
        <v>193</v>
      </c>
      <c r="B171" s="32"/>
      <c r="C171" s="32"/>
      <c r="D171" s="32"/>
      <c r="E171" s="32"/>
      <c r="F171" s="32"/>
      <c r="G171" s="32"/>
      <c r="H171" s="32"/>
      <c r="J171" s="32" t="s">
        <v>193</v>
      </c>
      <c r="K171" s="32"/>
      <c r="L171" s="32"/>
      <c r="M171" s="32"/>
      <c r="N171" s="32"/>
      <c r="O171" s="32"/>
      <c r="P171" s="32"/>
      <c r="Q171" s="32"/>
      <c r="S171" s="32" t="s">
        <v>193</v>
      </c>
      <c r="T171" s="32"/>
      <c r="U171" s="32"/>
      <c r="V171" s="32"/>
      <c r="W171" s="32"/>
      <c r="X171" s="32"/>
      <c r="Y171" s="32"/>
      <c r="Z171" s="32"/>
      <c r="AB171" s="32" t="s">
        <v>193</v>
      </c>
      <c r="AC171" s="32"/>
      <c r="AD171" s="32"/>
      <c r="AE171" s="32"/>
      <c r="AF171" s="32"/>
      <c r="AG171" s="32"/>
      <c r="AH171" s="32"/>
      <c r="AI171" s="32"/>
    </row>
    <row r="172" customFormat="false" ht="18.75" hidden="false" customHeight="false" outlineLevel="0" collapsed="false">
      <c r="A172" s="35"/>
      <c r="B172" s="36"/>
      <c r="C172" s="36"/>
      <c r="D172" s="36"/>
      <c r="E172" s="27"/>
      <c r="F172" s="27"/>
      <c r="G172" s="27"/>
      <c r="H172" s="37"/>
      <c r="J172" s="35"/>
      <c r="K172" s="36"/>
      <c r="L172" s="36"/>
      <c r="M172" s="36"/>
      <c r="N172" s="27"/>
      <c r="O172" s="27"/>
      <c r="P172" s="27"/>
      <c r="Q172" s="37"/>
      <c r="S172" s="35"/>
      <c r="T172" s="36"/>
      <c r="U172" s="36"/>
      <c r="V172" s="36"/>
      <c r="W172" s="27"/>
      <c r="X172" s="27"/>
      <c r="Y172" s="27"/>
      <c r="Z172" s="37"/>
      <c r="AB172" s="35"/>
      <c r="AC172" s="36"/>
      <c r="AD172" s="36"/>
      <c r="AE172" s="36"/>
      <c r="AF172" s="27"/>
      <c r="AG172" s="27"/>
      <c r="AH172" s="27"/>
      <c r="AI172" s="37"/>
    </row>
    <row r="173" customFormat="false" ht="18.75" hidden="false" customHeight="false" outlineLevel="0" collapsed="false">
      <c r="A173" s="35" t="s">
        <v>194</v>
      </c>
      <c r="B173" s="162" t="n">
        <v>0</v>
      </c>
      <c r="C173" s="162"/>
      <c r="D173" s="36"/>
      <c r="E173" s="27"/>
      <c r="F173" s="27"/>
      <c r="G173" s="27"/>
      <c r="H173" s="37"/>
      <c r="J173" s="35" t="s">
        <v>194</v>
      </c>
      <c r="K173" s="162" t="n">
        <v>0</v>
      </c>
      <c r="L173" s="162"/>
      <c r="M173" s="36"/>
      <c r="N173" s="27"/>
      <c r="O173" s="27"/>
      <c r="P173" s="27"/>
      <c r="Q173" s="37"/>
      <c r="S173" s="35" t="s">
        <v>194</v>
      </c>
      <c r="T173" s="162" t="n">
        <v>0</v>
      </c>
      <c r="U173" s="162"/>
      <c r="V173" s="36"/>
      <c r="W173" s="27"/>
      <c r="X173" s="27"/>
      <c r="Y173" s="27"/>
      <c r="Z173" s="37"/>
      <c r="AB173" s="35" t="s">
        <v>194</v>
      </c>
      <c r="AC173" s="162" t="n">
        <v>0</v>
      </c>
      <c r="AD173" s="162"/>
      <c r="AE173" s="36"/>
      <c r="AF173" s="27"/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36"/>
      <c r="E174" s="27"/>
      <c r="F174" s="27"/>
      <c r="G174" s="27"/>
      <c r="H174" s="37"/>
      <c r="J174" s="35"/>
      <c r="K174" s="36"/>
      <c r="L174" s="36"/>
      <c r="M174" s="36"/>
      <c r="N174" s="27"/>
      <c r="O174" s="27"/>
      <c r="P174" s="27"/>
      <c r="Q174" s="37"/>
      <c r="S174" s="35"/>
      <c r="T174" s="36"/>
      <c r="U174" s="36"/>
      <c r="V174" s="36"/>
      <c r="W174" s="27"/>
      <c r="X174" s="27"/>
      <c r="Y174" s="27"/>
      <c r="Z174" s="37"/>
      <c r="AB174" s="35"/>
      <c r="AC174" s="36"/>
      <c r="AD174" s="36"/>
      <c r="AE174" s="36"/>
      <c r="AF174" s="27"/>
      <c r="AG174" s="27"/>
      <c r="AH174" s="27"/>
      <c r="AI174" s="37"/>
    </row>
    <row r="175" customFormat="false" ht="18.75" hidden="false" customHeight="false" outlineLevel="0" collapsed="false">
      <c r="A175" s="163" t="s">
        <v>195</v>
      </c>
      <c r="B175" s="164" t="s">
        <v>196</v>
      </c>
      <c r="C175" s="164"/>
      <c r="D175" s="164"/>
      <c r="E175" s="164" t="s">
        <v>197</v>
      </c>
      <c r="F175" s="27"/>
      <c r="G175" s="27" t="s">
        <v>198</v>
      </c>
      <c r="H175" s="37"/>
      <c r="J175" s="163" t="s">
        <v>195</v>
      </c>
      <c r="K175" s="164" t="s">
        <v>196</v>
      </c>
      <c r="L175" s="164"/>
      <c r="M175" s="164"/>
      <c r="N175" s="164" t="s">
        <v>197</v>
      </c>
      <c r="O175" s="27"/>
      <c r="P175" s="27"/>
      <c r="Q175" s="37"/>
      <c r="S175" s="163" t="s">
        <v>195</v>
      </c>
      <c r="T175" s="164" t="s">
        <v>196</v>
      </c>
      <c r="U175" s="164"/>
      <c r="V175" s="164"/>
      <c r="W175" s="164" t="s">
        <v>197</v>
      </c>
      <c r="X175" s="27"/>
      <c r="Y175" s="27"/>
      <c r="Z175" s="37"/>
      <c r="AB175" s="163" t="s">
        <v>195</v>
      </c>
      <c r="AC175" s="164" t="s">
        <v>196</v>
      </c>
      <c r="AD175" s="164"/>
      <c r="AE175" s="164"/>
      <c r="AF175" s="164" t="s">
        <v>197</v>
      </c>
      <c r="AG175" s="27"/>
      <c r="AH175" s="27"/>
      <c r="AI175" s="37"/>
    </row>
    <row r="176" customFormat="false" ht="18.75" hidden="false" customHeight="false" outlineLevel="0" collapsed="false">
      <c r="A176" s="165" t="n">
        <f aca="false">B104</f>
        <v>1736.06693116527</v>
      </c>
      <c r="B176" s="166" t="n">
        <f aca="false">B103</f>
        <v>0</v>
      </c>
      <c r="C176" s="164"/>
      <c r="D176" s="164"/>
      <c r="E176" s="166" t="n">
        <f aca="false">B105</f>
        <v>1736.06693116527</v>
      </c>
      <c r="F176" s="27"/>
      <c r="G176" s="27" t="n">
        <f aca="false">ROUND(G104,2)</f>
        <v>1603.97</v>
      </c>
      <c r="H176" s="37"/>
      <c r="J176" s="165" t="n">
        <f aca="false">K104</f>
        <v>1526.9778000252</v>
      </c>
      <c r="K176" s="166" t="n">
        <f aca="false">K103</f>
        <v>0</v>
      </c>
      <c r="L176" s="164"/>
      <c r="M176" s="164"/>
      <c r="N176" s="166" t="n">
        <f aca="false">K105</f>
        <v>1526.9778000252</v>
      </c>
      <c r="O176" s="27"/>
      <c r="P176" s="27"/>
      <c r="Q176" s="37"/>
      <c r="S176" s="165" t="n">
        <f aca="false">T104</f>
        <v>1542.50480957248</v>
      </c>
      <c r="T176" s="166" t="n">
        <f aca="false">T103</f>
        <v>0</v>
      </c>
      <c r="U176" s="164"/>
      <c r="V176" s="164"/>
      <c r="W176" s="166" t="n">
        <f aca="false">T105</f>
        <v>1542.50480957248</v>
      </c>
      <c r="X176" s="27"/>
      <c r="Y176" s="27"/>
      <c r="Z176" s="37"/>
      <c r="AB176" s="165" t="n">
        <f aca="false">AC104</f>
        <v>1542.50480957248</v>
      </c>
      <c r="AC176" s="166" t="n">
        <f aca="false">AC103</f>
        <v>0</v>
      </c>
      <c r="AD176" s="164"/>
      <c r="AE176" s="164"/>
      <c r="AF176" s="166" t="n">
        <f aca="false">AC105</f>
        <v>1542.50480957248</v>
      </c>
      <c r="AG176" s="27"/>
      <c r="AH176" s="27"/>
      <c r="AI176" s="37"/>
    </row>
    <row r="177" customFormat="false" ht="18.75" hidden="false" customHeight="false" outlineLevel="0" collapsed="false">
      <c r="A177" s="35"/>
      <c r="B177" s="36"/>
      <c r="C177" s="36"/>
      <c r="D177" s="36"/>
      <c r="E177" s="27"/>
      <c r="F177" s="27"/>
      <c r="G177" s="27"/>
      <c r="H177" s="37"/>
      <c r="J177" s="35"/>
      <c r="K177" s="36"/>
      <c r="L177" s="36"/>
      <c r="M177" s="36"/>
      <c r="N177" s="27"/>
      <c r="O177" s="27"/>
      <c r="P177" s="27"/>
      <c r="Q177" s="37"/>
      <c r="S177" s="35"/>
      <c r="T177" s="36"/>
      <c r="U177" s="36"/>
      <c r="V177" s="36"/>
      <c r="W177" s="27"/>
      <c r="X177" s="27"/>
      <c r="Y177" s="27"/>
      <c r="Z177" s="37"/>
      <c r="AB177" s="35"/>
      <c r="AC177" s="36"/>
      <c r="AD177" s="36"/>
      <c r="AE177" s="36"/>
      <c r="AF177" s="27"/>
      <c r="AG177" s="27"/>
      <c r="AH177" s="27"/>
      <c r="AI177" s="37"/>
    </row>
    <row r="178" customFormat="false" ht="18.75" hidden="false" customHeight="false" outlineLevel="0" collapsed="false">
      <c r="A178" s="35" t="s">
        <v>95</v>
      </c>
      <c r="B178" s="36" t="s">
        <v>96</v>
      </c>
      <c r="C178" s="36"/>
      <c r="D178" s="27"/>
      <c r="E178" s="36" t="s">
        <v>199</v>
      </c>
      <c r="F178" s="27"/>
      <c r="G178" s="27"/>
      <c r="H178" s="37"/>
      <c r="J178" s="35" t="s">
        <v>95</v>
      </c>
      <c r="K178" s="36" t="s">
        <v>96</v>
      </c>
      <c r="L178" s="36"/>
      <c r="M178" s="27"/>
      <c r="N178" s="36" t="s">
        <v>199</v>
      </c>
      <c r="O178" s="27"/>
      <c r="P178" s="27"/>
      <c r="Q178" s="37"/>
      <c r="S178" s="35" t="s">
        <v>95</v>
      </c>
      <c r="T178" s="36" t="s">
        <v>96</v>
      </c>
      <c r="U178" s="36"/>
      <c r="V178" s="27"/>
      <c r="W178" s="36" t="s">
        <v>199</v>
      </c>
      <c r="X178" s="27"/>
      <c r="Y178" s="27"/>
      <c r="Z178" s="37"/>
      <c r="AB178" s="35" t="s">
        <v>95</v>
      </c>
      <c r="AC178" s="36" t="s">
        <v>96</v>
      </c>
      <c r="AD178" s="36"/>
      <c r="AE178" s="27"/>
      <c r="AF178" s="36" t="s">
        <v>199</v>
      </c>
      <c r="AG178" s="27"/>
      <c r="AH178" s="27"/>
      <c r="AI178" s="37"/>
    </row>
    <row r="179" customFormat="false" ht="18.75" hidden="false" customHeight="false" outlineLevel="0" collapsed="false">
      <c r="A179" s="167" t="n">
        <f aca="false">B38</f>
        <v>0</v>
      </c>
      <c r="B179" s="168" t="n">
        <f aca="false">B39</f>
        <v>0</v>
      </c>
      <c r="C179" s="169"/>
      <c r="D179" s="27"/>
      <c r="E179" s="170" t="n">
        <f aca="false">B91</f>
        <v>6000</v>
      </c>
      <c r="F179" s="27"/>
      <c r="G179" s="27"/>
      <c r="H179" s="37"/>
      <c r="J179" s="167" t="str">
        <f aca="false">K29</f>
        <v>33</v>
      </c>
      <c r="K179" s="168" t="str">
        <f aca="false">K30</f>
        <v>5000</v>
      </c>
      <c r="L179" s="169"/>
      <c r="M179" s="27"/>
      <c r="N179" s="170" t="str">
        <f aca="false">IF(A120="YES",A40,0)</f>
        <v>12</v>
      </c>
      <c r="O179" s="27"/>
      <c r="P179" s="27"/>
      <c r="Q179" s="37"/>
      <c r="S179" s="167" t="str">
        <f aca="false">K29</f>
        <v>33</v>
      </c>
      <c r="T179" s="168" t="str">
        <f aca="false">K30</f>
        <v>5000</v>
      </c>
      <c r="U179" s="169"/>
      <c r="V179" s="27"/>
      <c r="W179" s="170" t="str">
        <f aca="false">IF(A120="YES",A40,0)</f>
        <v>12</v>
      </c>
      <c r="X179" s="27"/>
      <c r="Y179" s="27"/>
      <c r="Z179" s="37"/>
      <c r="AB179" s="167" t="str">
        <f aca="false">K29</f>
        <v>33</v>
      </c>
      <c r="AC179" s="168" t="str">
        <f aca="false">K30</f>
        <v>5000</v>
      </c>
      <c r="AD179" s="169"/>
      <c r="AE179" s="27"/>
      <c r="AF179" s="170" t="str">
        <f aca="false">IF(A120="YES",A40,0)</f>
        <v>12</v>
      </c>
      <c r="AG179" s="27"/>
      <c r="AH179" s="27"/>
      <c r="AI179" s="3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200</v>
      </c>
      <c r="B181" s="36" t="s">
        <v>201</v>
      </c>
      <c r="C181" s="36"/>
      <c r="D181" s="27"/>
      <c r="E181" s="36" t="s">
        <v>202</v>
      </c>
      <c r="F181" s="27"/>
      <c r="G181" s="27"/>
      <c r="H181" s="37"/>
      <c r="J181" s="35" t="s">
        <v>200</v>
      </c>
      <c r="K181" s="36" t="s">
        <v>201</v>
      </c>
      <c r="L181" s="36"/>
      <c r="M181" s="27"/>
      <c r="N181" s="36" t="s">
        <v>202</v>
      </c>
      <c r="O181" s="27"/>
      <c r="P181" s="27"/>
      <c r="Q181" s="37"/>
      <c r="S181" s="35" t="s">
        <v>200</v>
      </c>
      <c r="T181" s="36" t="s">
        <v>201</v>
      </c>
      <c r="U181" s="36"/>
      <c r="V181" s="27"/>
      <c r="W181" s="36" t="s">
        <v>202</v>
      </c>
      <c r="X181" s="27"/>
      <c r="Y181" s="27"/>
      <c r="Z181" s="37"/>
      <c r="AB181" s="35" t="s">
        <v>200</v>
      </c>
      <c r="AC181" s="36" t="s">
        <v>201</v>
      </c>
      <c r="AD181" s="36"/>
      <c r="AE181" s="27"/>
      <c r="AF181" s="36" t="s">
        <v>202</v>
      </c>
      <c r="AG181" s="27"/>
      <c r="AH181" s="27"/>
      <c r="AI181" s="37"/>
    </row>
    <row r="182" customFormat="false" ht="18.75" hidden="false" customHeight="false" outlineLevel="0" collapsed="false">
      <c r="A182" s="171" t="n">
        <f aca="false">H150-H146-H148-H149</f>
        <v>43278.1634</v>
      </c>
      <c r="B182" s="42" t="n">
        <f aca="false">H146</f>
        <v>8655.63268</v>
      </c>
      <c r="C182" s="47"/>
      <c r="D182" s="27"/>
      <c r="E182" s="170" t="n">
        <f aca="false">H148+H149</f>
        <v>1095</v>
      </c>
      <c r="F182" s="27"/>
      <c r="G182" s="27"/>
      <c r="H182" s="37"/>
      <c r="J182" s="171" t="n">
        <f aca="false">Q150-Q146-Q148-Q149</f>
        <v>28779.17</v>
      </c>
      <c r="K182" s="42" t="n">
        <f aca="false">Q146</f>
        <v>5755.834</v>
      </c>
      <c r="L182" s="47"/>
      <c r="M182" s="27"/>
      <c r="N182" s="170" t="n">
        <f aca="false">Q148+Q149</f>
        <v>1095</v>
      </c>
      <c r="O182" s="27"/>
      <c r="P182" s="27"/>
      <c r="Q182" s="37"/>
      <c r="S182" s="171" t="n">
        <f aca="false">Z150-Z146-Z148-Z149</f>
        <v>33156.2475</v>
      </c>
      <c r="T182" s="42" t="n">
        <f aca="false">Z146</f>
        <v>6631.2495</v>
      </c>
      <c r="U182" s="47"/>
      <c r="V182" s="27"/>
      <c r="W182" s="170" t="n">
        <f aca="false">Z148+Z149</f>
        <v>1095</v>
      </c>
      <c r="X182" s="27"/>
      <c r="Y182" s="27"/>
      <c r="Z182" s="37"/>
      <c r="AB182" s="171" t="n">
        <f aca="false">AI150-AI146-AI148-AI149</f>
        <v>33156.2475</v>
      </c>
      <c r="AC182" s="42" t="n">
        <f aca="false">AI146</f>
        <v>6631.2495</v>
      </c>
      <c r="AD182" s="47"/>
      <c r="AE182" s="27"/>
      <c r="AF182" s="170" t="n">
        <f aca="false">AI148+AI149</f>
        <v>1095</v>
      </c>
      <c r="AG182" s="27"/>
      <c r="AH182" s="27"/>
      <c r="AI182" s="3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203</v>
      </c>
      <c r="B184" s="36" t="s">
        <v>149</v>
      </c>
      <c r="C184" s="36"/>
      <c r="D184" s="27"/>
      <c r="E184" s="36" t="s">
        <v>150</v>
      </c>
      <c r="F184" s="27"/>
      <c r="G184" s="27"/>
      <c r="H184" s="37"/>
      <c r="J184" s="35" t="s">
        <v>203</v>
      </c>
      <c r="K184" s="36" t="s">
        <v>149</v>
      </c>
      <c r="L184" s="36"/>
      <c r="M184" s="27"/>
      <c r="N184" s="36" t="s">
        <v>150</v>
      </c>
      <c r="O184" s="27"/>
      <c r="P184" s="27"/>
      <c r="Q184" s="37"/>
      <c r="S184" s="35" t="s">
        <v>203</v>
      </c>
      <c r="T184" s="36" t="s">
        <v>149</v>
      </c>
      <c r="U184" s="36"/>
      <c r="V184" s="27"/>
      <c r="W184" s="36" t="s">
        <v>150</v>
      </c>
      <c r="X184" s="27"/>
      <c r="Y184" s="27"/>
      <c r="Z184" s="37"/>
      <c r="AB184" s="35" t="s">
        <v>203</v>
      </c>
      <c r="AC184" s="36" t="s">
        <v>149</v>
      </c>
      <c r="AD184" s="36"/>
      <c r="AE184" s="27"/>
      <c r="AF184" s="36" t="s">
        <v>150</v>
      </c>
      <c r="AG184" s="27"/>
      <c r="AH184" s="27"/>
      <c r="AI184" s="37"/>
    </row>
    <row r="185" customFormat="false" ht="18.75" hidden="false" customHeight="false" outlineLevel="0" collapsed="false">
      <c r="A185" s="171" t="n">
        <f aca="false">H150</f>
        <v>53028.79608</v>
      </c>
      <c r="B185" s="42" t="n">
        <f aca="false">B120</f>
        <v>0</v>
      </c>
      <c r="C185" s="42"/>
      <c r="D185" s="27"/>
      <c r="E185" s="42" t="n">
        <f aca="false">E120</f>
        <v>0</v>
      </c>
      <c r="F185" s="27"/>
      <c r="G185" s="27"/>
      <c r="H185" s="107"/>
      <c r="J185" s="171" t="n">
        <f aca="false">Q150</f>
        <v>35630.004</v>
      </c>
      <c r="K185" s="42" t="n">
        <f aca="false">K120</f>
        <v>1000</v>
      </c>
      <c r="L185" s="42"/>
      <c r="M185" s="27"/>
      <c r="N185" s="42" t="n">
        <f aca="false">N120</f>
        <v>0</v>
      </c>
      <c r="O185" s="27"/>
      <c r="P185" s="27"/>
      <c r="Q185" s="107"/>
      <c r="S185" s="171" t="n">
        <f aca="false">Z150</f>
        <v>40882.497</v>
      </c>
      <c r="T185" s="42" t="n">
        <f aca="false">T120</f>
        <v>1000</v>
      </c>
      <c r="U185" s="42"/>
      <c r="V185" s="27"/>
      <c r="W185" s="42" t="n">
        <f aca="false">W120</f>
        <v>0</v>
      </c>
      <c r="X185" s="27"/>
      <c r="Y185" s="27"/>
      <c r="Z185" s="107"/>
      <c r="AB185" s="171" t="n">
        <f aca="false">AI150</f>
        <v>40882.497</v>
      </c>
      <c r="AC185" s="42" t="n">
        <f aca="false">AC120</f>
        <v>1000</v>
      </c>
      <c r="AD185" s="42"/>
      <c r="AE185" s="27"/>
      <c r="AF185" s="42" t="n">
        <f aca="false">AF120</f>
        <v>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27"/>
      <c r="E186" s="36"/>
      <c r="F186" s="27"/>
      <c r="G186" s="27"/>
      <c r="H186" s="37"/>
      <c r="J186" s="35"/>
      <c r="K186" s="36"/>
      <c r="L186" s="36"/>
      <c r="M186" s="27"/>
      <c r="N186" s="36"/>
      <c r="O186" s="27"/>
      <c r="P186" s="27"/>
      <c r="Q186" s="37"/>
      <c r="S186" s="35"/>
      <c r="T186" s="36"/>
      <c r="U186" s="36"/>
      <c r="V186" s="27"/>
      <c r="W186" s="36"/>
      <c r="X186" s="27"/>
      <c r="Y186" s="27"/>
      <c r="Z186" s="37"/>
      <c r="AB186" s="35"/>
      <c r="AC186" s="36"/>
      <c r="AD186" s="36"/>
      <c r="AE186" s="27"/>
      <c r="AF186" s="36"/>
      <c r="AG186" s="27"/>
      <c r="AH186" s="27"/>
      <c r="AI186" s="37"/>
    </row>
    <row r="187" customFormat="false" ht="18.75" hidden="false" customHeight="false" outlineLevel="0" collapsed="false">
      <c r="A187" s="35" t="s">
        <v>151</v>
      </c>
      <c r="B187" s="36" t="s">
        <v>186</v>
      </c>
      <c r="C187" s="36"/>
      <c r="D187" s="27"/>
      <c r="E187" s="36" t="s">
        <v>192</v>
      </c>
      <c r="F187" s="27"/>
      <c r="G187" s="27"/>
      <c r="H187" s="37"/>
      <c r="J187" s="35" t="s">
        <v>151</v>
      </c>
      <c r="K187" s="36" t="s">
        <v>186</v>
      </c>
      <c r="L187" s="36"/>
      <c r="M187" s="27"/>
      <c r="N187" s="36" t="s">
        <v>192</v>
      </c>
      <c r="O187" s="27"/>
      <c r="P187" s="27"/>
      <c r="Q187" s="37"/>
      <c r="S187" s="35" t="s">
        <v>151</v>
      </c>
      <c r="T187" s="36" t="s">
        <v>186</v>
      </c>
      <c r="U187" s="36"/>
      <c r="V187" s="27"/>
      <c r="W187" s="36" t="s">
        <v>192</v>
      </c>
      <c r="X187" s="27"/>
      <c r="Y187" s="27"/>
      <c r="Z187" s="37"/>
      <c r="AB187" s="35" t="s">
        <v>151</v>
      </c>
      <c r="AC187" s="36" t="s">
        <v>186</v>
      </c>
      <c r="AD187" s="36"/>
      <c r="AE187" s="27"/>
      <c r="AF187" s="36" t="s">
        <v>192</v>
      </c>
      <c r="AG187" s="27"/>
      <c r="AH187" s="27"/>
      <c r="AI187" s="37"/>
    </row>
    <row r="188" customFormat="false" ht="18.75" hidden="false" customHeight="false" outlineLevel="0" collapsed="false">
      <c r="A188" s="113" t="n">
        <f aca="false">B185+E185</f>
        <v>0</v>
      </c>
      <c r="B188" s="42" t="n">
        <f aca="false">G163</f>
        <v>0</v>
      </c>
      <c r="C188" s="42"/>
      <c r="D188" s="27"/>
      <c r="E188" s="42" t="n">
        <f aca="false">G167</f>
        <v>56128.79608</v>
      </c>
      <c r="F188" s="27"/>
      <c r="G188" s="27"/>
      <c r="H188" s="107"/>
      <c r="J188" s="113" t="n">
        <f aca="false">K185+N185</f>
        <v>1000</v>
      </c>
      <c r="K188" s="42" t="n">
        <f aca="false">P163</f>
        <v>-2000</v>
      </c>
      <c r="L188" s="42"/>
      <c r="M188" s="27"/>
      <c r="N188" s="42" t="n">
        <f aca="false">J185-J188-K188</f>
        <v>36630.004</v>
      </c>
      <c r="O188" s="27"/>
      <c r="P188" s="27"/>
      <c r="Q188" s="107"/>
      <c r="S188" s="113" t="n">
        <f aca="false">T185+W185</f>
        <v>1000</v>
      </c>
      <c r="T188" s="42" t="n">
        <f aca="false">Y163</f>
        <v>-2000</v>
      </c>
      <c r="U188" s="42"/>
      <c r="V188" s="27"/>
      <c r="W188" s="42" t="n">
        <f aca="false">S185-S188-T188</f>
        <v>41882.497</v>
      </c>
      <c r="X188" s="27"/>
      <c r="Y188" s="27"/>
      <c r="Z188" s="107"/>
      <c r="AB188" s="113" t="n">
        <f aca="false">AC185+AF185</f>
        <v>1000</v>
      </c>
      <c r="AC188" s="42" t="n">
        <f aca="false">AH163</f>
        <v>-2000</v>
      </c>
      <c r="AD188" s="42"/>
      <c r="AE188" s="27"/>
      <c r="AF188" s="42" t="n">
        <f aca="false">AB185-AB188-AC188</f>
        <v>41882.497</v>
      </c>
      <c r="AG188" s="27"/>
      <c r="AH188" s="27"/>
      <c r="AI188" s="107"/>
    </row>
    <row r="189" customFormat="false" ht="18.75" hidden="false" customHeight="false" outlineLevel="0" collapsed="false">
      <c r="A189" s="35"/>
      <c r="B189" s="36"/>
      <c r="C189" s="36"/>
      <c r="D189" s="27"/>
      <c r="E189" s="36"/>
      <c r="F189" s="27"/>
      <c r="G189" s="27"/>
      <c r="H189" s="37"/>
      <c r="J189" s="35"/>
      <c r="K189" s="36"/>
      <c r="L189" s="36"/>
      <c r="M189" s="27"/>
      <c r="N189" s="36"/>
      <c r="O189" s="27"/>
      <c r="P189" s="27"/>
      <c r="Q189" s="37"/>
      <c r="S189" s="35"/>
      <c r="T189" s="36"/>
      <c r="U189" s="36"/>
      <c r="V189" s="27"/>
      <c r="W189" s="36"/>
      <c r="X189" s="27"/>
      <c r="Y189" s="27"/>
      <c r="Z189" s="37"/>
      <c r="AB189" s="35"/>
      <c r="AC189" s="36"/>
      <c r="AD189" s="36"/>
      <c r="AE189" s="27"/>
      <c r="AF189" s="36"/>
      <c r="AG189" s="27"/>
      <c r="AH189" s="27"/>
      <c r="AI189" s="37"/>
    </row>
    <row r="190" customFormat="false" ht="18.75" hidden="false" customHeight="false" outlineLevel="0" collapsed="false">
      <c r="A190" s="35" t="s">
        <v>204</v>
      </c>
      <c r="B190" s="36" t="s">
        <v>66</v>
      </c>
      <c r="C190" s="36"/>
      <c r="D190" s="27"/>
      <c r="E190" s="36" t="s">
        <v>205</v>
      </c>
      <c r="F190" s="27"/>
      <c r="G190" s="27"/>
      <c r="H190" s="37"/>
      <c r="J190" s="35" t="s">
        <v>204</v>
      </c>
      <c r="K190" s="36" t="s">
        <v>66</v>
      </c>
      <c r="L190" s="36"/>
      <c r="M190" s="27"/>
      <c r="N190" s="36" t="s">
        <v>205</v>
      </c>
      <c r="O190" s="27"/>
      <c r="P190" s="27"/>
      <c r="Q190" s="37"/>
      <c r="S190" s="35" t="s">
        <v>204</v>
      </c>
      <c r="T190" s="36" t="s">
        <v>66</v>
      </c>
      <c r="U190" s="36"/>
      <c r="V190" s="27"/>
      <c r="W190" s="36" t="s">
        <v>205</v>
      </c>
      <c r="X190" s="27"/>
      <c r="Y190" s="27"/>
      <c r="Z190" s="37"/>
      <c r="AB190" s="35" t="s">
        <v>204</v>
      </c>
      <c r="AC190" s="36" t="s">
        <v>66</v>
      </c>
      <c r="AD190" s="36"/>
      <c r="AE190" s="27"/>
      <c r="AF190" s="36" t="s">
        <v>205</v>
      </c>
      <c r="AG190" s="27"/>
      <c r="AH190" s="27"/>
      <c r="AI190" s="37"/>
    </row>
    <row r="191" customFormat="false" ht="18.75" hidden="false" customHeight="false" outlineLevel="0" collapsed="false">
      <c r="A191" s="113" t="n">
        <f aca="false">(A176*B68)+E194-E188-A194</f>
        <v>5425.34571728869</v>
      </c>
      <c r="B191" s="42" t="n">
        <f aca="false">B123</f>
        <v>239.99</v>
      </c>
      <c r="C191" s="42"/>
      <c r="D191" s="27"/>
      <c r="E191" s="42" t="n">
        <f aca="false">E188+A191+B191+A194</f>
        <v>61819.1317972887</v>
      </c>
      <c r="F191" s="27"/>
      <c r="G191" s="27"/>
      <c r="H191" s="107"/>
      <c r="J191" s="113" t="n">
        <f aca="false">(J176*K68)+N194-N188-J194</f>
        <v>12245.2856008064</v>
      </c>
      <c r="K191" s="42" t="n">
        <f aca="false">K123</f>
        <v>239.99</v>
      </c>
      <c r="L191" s="42"/>
      <c r="M191" s="27"/>
      <c r="N191" s="42" t="n">
        <f aca="false">N188+J191+K191+J194</f>
        <v>49135.2796008064</v>
      </c>
      <c r="O191" s="27"/>
      <c r="P191" s="27"/>
      <c r="Q191" s="107"/>
      <c r="S191" s="113" t="n">
        <f aca="false">(S176*T68)+W194-W188-S194</f>
        <v>7489.65690631922</v>
      </c>
      <c r="T191" s="42" t="n">
        <f aca="false">T123</f>
        <v>199.99</v>
      </c>
      <c r="U191" s="42"/>
      <c r="V191" s="27"/>
      <c r="W191" s="42" t="n">
        <f aca="false">W188+S191+T191+S194</f>
        <v>49582.1439063192</v>
      </c>
      <c r="X191" s="27"/>
      <c r="Y191" s="27"/>
      <c r="Z191" s="107"/>
      <c r="AB191" s="113" t="n">
        <f aca="false">(AB176*AC68)+AF194-AF188-AB194</f>
        <v>7489.65690631922</v>
      </c>
      <c r="AC191" s="42" t="n">
        <f aca="false">AC123</f>
        <v>239.99</v>
      </c>
      <c r="AD191" s="42"/>
      <c r="AE191" s="27"/>
      <c r="AF191" s="42" t="n">
        <f aca="false">AF188+AB191+AC191+AB194</f>
        <v>49622.1439063192</v>
      </c>
      <c r="AG191" s="27"/>
      <c r="AH191" s="27"/>
      <c r="AI191" s="107"/>
    </row>
    <row r="192" customFormat="false" ht="18.75" hidden="false" customHeight="false" outlineLevel="0" collapsed="false">
      <c r="A192" s="35"/>
      <c r="B192" s="36"/>
      <c r="C192" s="36"/>
      <c r="D192" s="27"/>
      <c r="E192" s="36"/>
      <c r="F192" s="27"/>
      <c r="G192" s="27"/>
      <c r="H192" s="37"/>
      <c r="J192" s="35"/>
      <c r="K192" s="36"/>
      <c r="L192" s="36"/>
      <c r="M192" s="27"/>
      <c r="N192" s="36"/>
      <c r="O192" s="27"/>
      <c r="P192" s="27"/>
      <c r="Q192" s="37"/>
      <c r="S192" s="35"/>
      <c r="T192" s="36"/>
      <c r="U192" s="36"/>
      <c r="V192" s="27"/>
      <c r="W192" s="36"/>
      <c r="X192" s="27"/>
      <c r="Y192" s="27"/>
      <c r="Z192" s="37"/>
      <c r="AB192" s="35"/>
      <c r="AC192" s="36"/>
      <c r="AD192" s="36"/>
      <c r="AE192" s="27"/>
      <c r="AF192" s="36"/>
      <c r="AG192" s="27"/>
      <c r="AH192" s="27"/>
      <c r="AI192" s="37"/>
    </row>
    <row r="193" customFormat="false" ht="18.75" hidden="false" customHeight="false" outlineLevel="0" collapsed="false">
      <c r="A193" s="35" t="s">
        <v>206</v>
      </c>
      <c r="B193" s="36" t="s">
        <v>207</v>
      </c>
      <c r="C193" s="36"/>
      <c r="D193" s="27"/>
      <c r="E193" s="36" t="s">
        <v>208</v>
      </c>
      <c r="F193" s="27"/>
      <c r="G193" s="27"/>
      <c r="H193" s="37"/>
      <c r="J193" s="35" t="s">
        <v>206</v>
      </c>
      <c r="K193" s="36" t="s">
        <v>207</v>
      </c>
      <c r="L193" s="36"/>
      <c r="M193" s="27"/>
      <c r="N193" s="36" t="s">
        <v>208</v>
      </c>
      <c r="O193" s="27"/>
      <c r="P193" s="27"/>
      <c r="Q193" s="37"/>
      <c r="S193" s="35" t="s">
        <v>206</v>
      </c>
      <c r="T193" s="36" t="s">
        <v>207</v>
      </c>
      <c r="U193" s="36"/>
      <c r="V193" s="27"/>
      <c r="W193" s="36" t="s">
        <v>208</v>
      </c>
      <c r="X193" s="27"/>
      <c r="Y193" s="27"/>
      <c r="Z193" s="37"/>
      <c r="AB193" s="35" t="s">
        <v>206</v>
      </c>
      <c r="AC193" s="36" t="s">
        <v>207</v>
      </c>
      <c r="AD193" s="36"/>
      <c r="AE193" s="27"/>
      <c r="AF193" s="36" t="s">
        <v>208</v>
      </c>
      <c r="AG193" s="27"/>
      <c r="AH193" s="27"/>
      <c r="AI193" s="37"/>
    </row>
    <row r="194" customFormat="false" ht="18.75" hidden="false" customHeight="false" outlineLevel="0" collapsed="false">
      <c r="A194" s="113" t="n">
        <f aca="false">B69</f>
        <v>25</v>
      </c>
      <c r="B194" s="42" t="n">
        <f aca="false">A188+B191</f>
        <v>239.99</v>
      </c>
      <c r="C194" s="42"/>
      <c r="D194" s="27"/>
      <c r="E194" s="42" t="n">
        <f aca="false">IF( E179=0, A194+E176, E179+A194)</f>
        <v>6025</v>
      </c>
      <c r="F194" s="27"/>
      <c r="G194" s="27"/>
      <c r="H194" s="107"/>
      <c r="J194" s="113" t="n">
        <f aca="false">K69</f>
        <v>20</v>
      </c>
      <c r="K194" s="42" t="n">
        <f aca="false">J188+K191</f>
        <v>1239.99</v>
      </c>
      <c r="L194" s="42"/>
      <c r="M194" s="27"/>
      <c r="N194" s="42" t="n">
        <f aca="false">N179+J194</f>
        <v>32</v>
      </c>
      <c r="O194" s="27"/>
      <c r="P194" s="27"/>
      <c r="Q194" s="107"/>
      <c r="S194" s="113" t="n">
        <f aca="false">T69</f>
        <v>10</v>
      </c>
      <c r="T194" s="42" t="n">
        <f aca="false">S188+T191</f>
        <v>1199.99</v>
      </c>
      <c r="U194" s="42"/>
      <c r="V194" s="27"/>
      <c r="W194" s="42" t="n">
        <f aca="false">W179+S194</f>
        <v>22</v>
      </c>
      <c r="X194" s="27"/>
      <c r="Y194" s="27"/>
      <c r="Z194" s="107"/>
      <c r="AB194" s="113" t="n">
        <f aca="false">AC69</f>
        <v>10</v>
      </c>
      <c r="AC194" s="42" t="n">
        <f aca="false">AB188+AC191</f>
        <v>1239.99</v>
      </c>
      <c r="AD194" s="42"/>
      <c r="AE194" s="27"/>
      <c r="AF194" s="42" t="n">
        <f aca="false">AF179+AB194</f>
        <v>22</v>
      </c>
      <c r="AG194" s="27"/>
      <c r="AH194" s="27"/>
      <c r="AI194" s="107"/>
    </row>
    <row r="195" customFormat="false" ht="18.75" hidden="false" customHeight="false" outlineLevel="0" collapsed="false">
      <c r="A195" s="35"/>
      <c r="B195" s="36"/>
      <c r="C195" s="36"/>
      <c r="D195" s="36"/>
      <c r="E195" s="27"/>
      <c r="F195" s="27"/>
      <c r="G195" s="27"/>
      <c r="H195" s="37"/>
      <c r="J195" s="35"/>
      <c r="K195" s="36"/>
      <c r="L195" s="36"/>
      <c r="M195" s="36"/>
      <c r="N195" s="27"/>
      <c r="O195" s="27"/>
      <c r="P195" s="27"/>
      <c r="Q195" s="37"/>
      <c r="S195" s="35"/>
      <c r="T195" s="36"/>
      <c r="U195" s="36"/>
      <c r="V195" s="36"/>
      <c r="W195" s="27"/>
      <c r="X195" s="36"/>
      <c r="Y195" s="36"/>
      <c r="Z195" s="37"/>
      <c r="AB195" s="35"/>
      <c r="AC195" s="36"/>
      <c r="AD195" s="36"/>
      <c r="AE195" s="36"/>
      <c r="AF195" s="27"/>
      <c r="AG195" s="27"/>
      <c r="AH195" s="27"/>
      <c r="AI195" s="37"/>
    </row>
    <row r="196" customFormat="false" ht="18.75" hidden="false" customHeight="false" outlineLevel="0" collapsed="false">
      <c r="A196" s="35" t="s">
        <v>209</v>
      </c>
      <c r="B196" s="36" t="s">
        <v>210</v>
      </c>
      <c r="C196" s="36"/>
      <c r="D196" s="36"/>
      <c r="E196" s="43" t="s">
        <v>211</v>
      </c>
      <c r="F196" s="27"/>
      <c r="G196" s="27"/>
      <c r="H196" s="37"/>
      <c r="J196" s="35" t="s">
        <v>209</v>
      </c>
      <c r="K196" s="36" t="s">
        <v>210</v>
      </c>
      <c r="L196" s="36"/>
      <c r="M196" s="36"/>
      <c r="N196" s="43" t="s">
        <v>211</v>
      </c>
      <c r="O196" s="27"/>
      <c r="P196" s="27"/>
      <c r="Q196" s="37"/>
      <c r="S196" s="35" t="s">
        <v>209</v>
      </c>
      <c r="T196" s="36" t="s">
        <v>210</v>
      </c>
      <c r="U196" s="36"/>
      <c r="V196" s="36"/>
      <c r="W196" s="43" t="s">
        <v>211</v>
      </c>
      <c r="X196" s="36"/>
      <c r="Y196" s="36"/>
      <c r="Z196" s="37"/>
      <c r="AB196" s="35" t="s">
        <v>209</v>
      </c>
      <c r="AC196" s="36" t="s">
        <v>210</v>
      </c>
      <c r="AD196" s="36"/>
      <c r="AE196" s="36"/>
      <c r="AF196" s="43" t="s">
        <v>211</v>
      </c>
      <c r="AG196" s="36"/>
      <c r="AH196" s="36"/>
      <c r="AI196" s="37"/>
    </row>
    <row r="197" customFormat="false" ht="18.75" hidden="false" customHeight="false" outlineLevel="0" collapsed="false">
      <c r="A197" s="113" t="n">
        <f aca="false">J18*0.000002*100*1.2</f>
        <v>12.71759904</v>
      </c>
      <c r="B197" s="42" t="n">
        <f aca="false">(G167*B76)</f>
        <v>841.9319412</v>
      </c>
      <c r="C197" s="36"/>
      <c r="D197" s="36"/>
      <c r="E197" s="42" t="n">
        <f aca="false">IF(E114="YES",(K55*A117*0.1),0)</f>
        <v>0</v>
      </c>
      <c r="F197" s="27"/>
      <c r="G197" s="27"/>
      <c r="H197" s="37"/>
      <c r="J197" s="113" t="n">
        <f aca="false">IF(N114="YES",H15*0.000002,0)</f>
        <v>0.10605759216</v>
      </c>
      <c r="K197" s="42" t="n">
        <f aca="false">(P167*K76)/1.2</f>
        <v>2193.98461458333</v>
      </c>
      <c r="L197" s="36"/>
      <c r="M197" s="36"/>
      <c r="N197" s="42" t="n">
        <f aca="false">(E40*J117)*0.1</f>
        <v>0</v>
      </c>
      <c r="O197" s="27"/>
      <c r="P197" s="27"/>
      <c r="Q197" s="37"/>
      <c r="S197" s="113" t="n">
        <f aca="false">IF(W114="YES",Z15*0.000002,0)</f>
        <v>0</v>
      </c>
      <c r="T197" s="42" t="n">
        <f aca="false">(Y167*T76)/1.2</f>
        <v>327.2070078125</v>
      </c>
      <c r="U197" s="36"/>
      <c r="V197" s="36"/>
      <c r="W197" s="42" t="n">
        <f aca="false">(E40*S117)*0.1</f>
        <v>0</v>
      </c>
      <c r="X197" s="36"/>
      <c r="Y197" s="36"/>
      <c r="Z197" s="37"/>
      <c r="AB197" s="113" t="n">
        <f aca="false">IF(AF114="YES",AI15*0.000002,0)</f>
        <v>0</v>
      </c>
      <c r="AC197" s="42" t="n">
        <f aca="false">(AH167*AC76)/1.2</f>
        <v>327.2070078125</v>
      </c>
      <c r="AD197" s="36"/>
      <c r="AE197" s="36"/>
      <c r="AF197" s="42" t="n">
        <f aca="false">(E40*AB117)*0.1</f>
        <v>0</v>
      </c>
      <c r="AG197" s="36"/>
      <c r="AH197" s="36"/>
      <c r="AI197" s="37"/>
    </row>
    <row r="198" customFormat="false" ht="18.75" hidden="false" customHeight="false" outlineLevel="0" collapsed="false">
      <c r="A198" s="113"/>
      <c r="B198" s="42"/>
      <c r="C198" s="36"/>
      <c r="D198" s="36"/>
      <c r="E198" s="27"/>
      <c r="F198" s="27"/>
      <c r="G198" s="27"/>
      <c r="H198" s="37"/>
      <c r="J198" s="113"/>
      <c r="K198" s="42"/>
      <c r="L198" s="36"/>
      <c r="M198" s="36"/>
      <c r="N198" s="27"/>
      <c r="O198" s="27"/>
      <c r="P198" s="27"/>
      <c r="Q198" s="37"/>
      <c r="S198" s="113"/>
      <c r="T198" s="42"/>
      <c r="U198" s="36"/>
      <c r="V198" s="36"/>
      <c r="W198" s="27"/>
      <c r="X198" s="36"/>
      <c r="Y198" s="36"/>
      <c r="Z198" s="37"/>
      <c r="AB198" s="113"/>
      <c r="AC198" s="42"/>
      <c r="AD198" s="36"/>
      <c r="AE198" s="36"/>
      <c r="AF198" s="27"/>
      <c r="AG198" s="36"/>
      <c r="AH198" s="36"/>
      <c r="AI198" s="37"/>
    </row>
    <row r="199" customFormat="false" ht="18.75" hidden="false" customHeight="false" outlineLevel="0" collapsed="false">
      <c r="A199" s="64" t="s">
        <v>212</v>
      </c>
      <c r="B199" s="43" t="s">
        <v>213</v>
      </c>
      <c r="C199" s="36"/>
      <c r="D199" s="36"/>
      <c r="E199" s="43" t="s">
        <v>214</v>
      </c>
      <c r="F199" s="27"/>
      <c r="G199" s="27"/>
      <c r="H199" s="37"/>
      <c r="J199" s="64" t="s">
        <v>212</v>
      </c>
      <c r="K199" s="43" t="s">
        <v>213</v>
      </c>
      <c r="L199" s="36"/>
      <c r="M199" s="36"/>
      <c r="N199" s="43" t="s">
        <v>214</v>
      </c>
      <c r="O199" s="27"/>
      <c r="P199" s="27"/>
      <c r="Q199" s="37"/>
      <c r="S199" s="64" t="s">
        <v>212</v>
      </c>
      <c r="T199" s="43" t="s">
        <v>213</v>
      </c>
      <c r="U199" s="36"/>
      <c r="V199" s="36"/>
      <c r="W199" s="43" t="s">
        <v>214</v>
      </c>
      <c r="X199" s="36"/>
      <c r="Y199" s="36"/>
      <c r="Z199" s="37"/>
      <c r="AB199" s="64" t="s">
        <v>212</v>
      </c>
      <c r="AC199" s="43" t="s">
        <v>213</v>
      </c>
      <c r="AD199" s="36"/>
      <c r="AE199" s="36"/>
      <c r="AF199" s="43" t="s">
        <v>214</v>
      </c>
      <c r="AG199" s="36"/>
      <c r="AH199" s="36"/>
      <c r="AI199" s="37"/>
    </row>
    <row r="200" customFormat="false" ht="18.75" hidden="false" customHeight="false" outlineLevel="0" collapsed="false">
      <c r="A200" s="113" t="n">
        <v>20</v>
      </c>
      <c r="B200" s="42" t="n">
        <f aca="false">B197+E197+A200</f>
        <v>861.9319412</v>
      </c>
      <c r="C200" s="36"/>
      <c r="D200" s="36"/>
      <c r="E200" s="42" t="n">
        <f aca="false">H157</f>
        <v>0</v>
      </c>
      <c r="F200" s="27"/>
      <c r="G200" s="27"/>
      <c r="H200" s="37"/>
      <c r="J200" s="113" t="n">
        <f aca="false">K194-100</f>
        <v>1139.99</v>
      </c>
      <c r="K200" s="42" t="n">
        <f aca="false">K197+N197+J200</f>
        <v>3333.97461458333</v>
      </c>
      <c r="L200" s="36"/>
      <c r="M200" s="36"/>
      <c r="N200" s="42" t="n">
        <f aca="false">Q157</f>
        <v>-17398.79208</v>
      </c>
      <c r="O200" s="27"/>
      <c r="P200" s="27"/>
      <c r="Q200" s="37"/>
      <c r="S200" s="113" t="n">
        <f aca="false">T194-100</f>
        <v>1099.99</v>
      </c>
      <c r="T200" s="42" t="n">
        <f aca="false">T197+W197+S200</f>
        <v>1427.1970078125</v>
      </c>
      <c r="U200" s="36"/>
      <c r="V200" s="36"/>
      <c r="W200" s="42" t="n">
        <f aca="false">Z157</f>
        <v>-12146.29908</v>
      </c>
      <c r="X200" s="36"/>
      <c r="Y200" s="36"/>
      <c r="Z200" s="37"/>
      <c r="AB200" s="113" t="n">
        <f aca="false">AC194-100</f>
        <v>1139.99</v>
      </c>
      <c r="AC200" s="42" t="n">
        <f aca="false">AC197+AF197+AB200</f>
        <v>1467.1970078125</v>
      </c>
      <c r="AD200" s="36"/>
      <c r="AE200" s="36"/>
      <c r="AF200" s="42" t="n">
        <f aca="false">AI157</f>
        <v>-12146.29908</v>
      </c>
      <c r="AG200" s="36"/>
      <c r="AH200" s="36"/>
      <c r="AI200" s="37"/>
    </row>
    <row r="201" customFormat="false" ht="18.75" hidden="false" customHeight="false" outlineLevel="0" collapsed="false">
      <c r="A201" s="35"/>
      <c r="B201" s="36"/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70" t="s">
        <v>215</v>
      </c>
      <c r="B202" s="36"/>
      <c r="C202" s="36"/>
      <c r="D202" s="71"/>
      <c r="E202" s="71"/>
      <c r="F202" s="71"/>
      <c r="G202" s="71"/>
      <c r="H202" s="72"/>
      <c r="J202" s="70" t="s">
        <v>215</v>
      </c>
      <c r="K202" s="36"/>
      <c r="L202" s="36"/>
      <c r="M202" s="71"/>
      <c r="N202" s="71"/>
      <c r="O202" s="71"/>
      <c r="P202" s="71"/>
      <c r="Q202" s="72"/>
      <c r="S202" s="70" t="s">
        <v>215</v>
      </c>
      <c r="T202" s="36"/>
      <c r="U202" s="36"/>
      <c r="V202" s="71"/>
      <c r="W202" s="71"/>
      <c r="X202" s="71"/>
      <c r="Y202" s="71"/>
      <c r="Z202" s="72"/>
      <c r="AB202" s="70" t="s">
        <v>215</v>
      </c>
      <c r="AC202" s="36"/>
      <c r="AD202" s="36"/>
      <c r="AE202" s="71"/>
      <c r="AF202" s="71"/>
      <c r="AG202" s="71"/>
      <c r="AH202" s="71"/>
      <c r="AI202" s="72"/>
    </row>
    <row r="203" customFormat="false" ht="18.75" hidden="false" customHeight="false" outlineLevel="0" collapsed="false">
      <c r="A203" s="35"/>
      <c r="B203" s="73"/>
      <c r="C203" s="73"/>
      <c r="D203" s="36"/>
      <c r="E203" s="27"/>
      <c r="F203" s="27"/>
      <c r="G203" s="27"/>
      <c r="H203" s="37"/>
      <c r="J203" s="35"/>
      <c r="K203" s="73"/>
      <c r="L203" s="73"/>
      <c r="M203" s="36"/>
      <c r="N203" s="27"/>
      <c r="O203" s="27"/>
      <c r="P203" s="27"/>
      <c r="Q203" s="37"/>
      <c r="S203" s="35"/>
      <c r="T203" s="73"/>
      <c r="U203" s="73"/>
      <c r="V203" s="36"/>
      <c r="W203" s="27"/>
      <c r="X203" s="27"/>
      <c r="Y203" s="27"/>
      <c r="Z203" s="37"/>
      <c r="AB203" s="35"/>
      <c r="AC203" s="73"/>
      <c r="AD203" s="73"/>
      <c r="AE203" s="36"/>
      <c r="AF203" s="27"/>
      <c r="AG203" s="27"/>
      <c r="AH203" s="27"/>
      <c r="AI203" s="37"/>
    </row>
    <row r="204" customFormat="false" ht="19.7" hidden="false" customHeight="false" outlineLevel="0" collapsed="false">
      <c r="A204" s="172" t="s">
        <v>95</v>
      </c>
      <c r="B204" s="75" t="s">
        <v>96</v>
      </c>
      <c r="C204" s="75"/>
      <c r="D204" s="75"/>
      <c r="E204" s="27"/>
      <c r="F204" s="27"/>
      <c r="G204" s="27"/>
      <c r="H204" s="37"/>
      <c r="J204" s="172" t="s">
        <v>95</v>
      </c>
      <c r="K204" s="173" t="s">
        <v>96</v>
      </c>
      <c r="L204" s="173"/>
      <c r="M204" s="173"/>
      <c r="N204" s="27"/>
      <c r="O204" s="27"/>
      <c r="P204" s="27"/>
      <c r="Q204" s="37"/>
      <c r="S204" s="172" t="s">
        <v>95</v>
      </c>
      <c r="T204" s="75" t="s">
        <v>96</v>
      </c>
      <c r="U204" s="75"/>
      <c r="V204" s="75"/>
      <c r="W204" s="27"/>
      <c r="X204" s="27"/>
      <c r="Y204" s="27"/>
      <c r="Z204" s="37"/>
      <c r="AB204" s="172" t="s">
        <v>95</v>
      </c>
      <c r="AC204" s="75" t="s">
        <v>96</v>
      </c>
      <c r="AD204" s="75"/>
      <c r="AE204" s="75"/>
      <c r="AF204" s="27"/>
      <c r="AG204" s="27"/>
      <c r="AH204" s="27"/>
      <c r="AI204" s="37"/>
    </row>
    <row r="205" customFormat="false" ht="19.5" hidden="false" customHeight="true" outlineLevel="0" collapsed="false">
      <c r="A205" s="172"/>
      <c r="B205" s="76" t="str">
        <f aca="false">K30</f>
        <v>5000</v>
      </c>
      <c r="C205" s="76"/>
      <c r="D205" s="76"/>
      <c r="E205" s="27"/>
      <c r="F205" s="27"/>
      <c r="G205" s="27"/>
      <c r="H205" s="37"/>
      <c r="J205" s="172"/>
      <c r="K205" s="174" t="str">
        <f aca="false">K30</f>
        <v>5000</v>
      </c>
      <c r="L205" s="174"/>
      <c r="M205" s="174"/>
      <c r="N205" s="27"/>
      <c r="O205" s="27"/>
      <c r="P205" s="27"/>
      <c r="Q205" s="37"/>
      <c r="S205" s="172"/>
      <c r="T205" s="76" t="str">
        <f aca="false">K30</f>
        <v>5000</v>
      </c>
      <c r="U205" s="76"/>
      <c r="V205" s="76"/>
      <c r="W205" s="27"/>
      <c r="X205" s="27"/>
      <c r="Y205" s="27"/>
      <c r="Z205" s="37"/>
      <c r="AB205" s="172"/>
      <c r="AC205" s="76" t="str">
        <f aca="false">K30</f>
        <v>5000</v>
      </c>
      <c r="AD205" s="76"/>
      <c r="AE205" s="76"/>
      <c r="AF205" s="27"/>
      <c r="AG205" s="27"/>
      <c r="AH205" s="27"/>
      <c r="AI205" s="37"/>
    </row>
    <row r="206" customFormat="false" ht="18.75" hidden="false" customHeight="false" outlineLevel="0" collapsed="false">
      <c r="A206" s="77" t="str">
        <f aca="false">K29</f>
        <v>33</v>
      </c>
      <c r="B206" s="78" t="n">
        <f aca="false">B105</f>
        <v>1736.06693116527</v>
      </c>
      <c r="C206" s="78"/>
      <c r="D206" s="78"/>
      <c r="E206" s="27"/>
      <c r="F206" s="27"/>
      <c r="G206" s="27"/>
      <c r="H206" s="37"/>
      <c r="J206" s="77" t="str">
        <f aca="false">K29</f>
        <v>33</v>
      </c>
      <c r="K206" s="78" t="n">
        <f aca="false">K105</f>
        <v>1526.9778000252</v>
      </c>
      <c r="L206" s="78"/>
      <c r="M206" s="78"/>
      <c r="N206" s="27"/>
      <c r="O206" s="27"/>
      <c r="P206" s="27"/>
      <c r="Q206" s="37"/>
      <c r="S206" s="77" t="str">
        <f aca="false">K29</f>
        <v>33</v>
      </c>
      <c r="T206" s="78" t="n">
        <f aca="false">T105</f>
        <v>1542.50480957248</v>
      </c>
      <c r="U206" s="78"/>
      <c r="V206" s="78"/>
      <c r="W206" s="27"/>
      <c r="X206" s="27"/>
      <c r="Y206" s="27"/>
      <c r="Z206" s="37"/>
      <c r="AB206" s="77" t="str">
        <f aca="false">K29</f>
        <v>33</v>
      </c>
      <c r="AC206" s="78" t="n">
        <f aca="false">AC105</f>
        <v>1542.50480957248</v>
      </c>
      <c r="AD206" s="78"/>
      <c r="AE206" s="78"/>
      <c r="AF206" s="27"/>
      <c r="AG206" s="27"/>
      <c r="AH206" s="27"/>
      <c r="AI206" s="37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  <c r="J207" s="35"/>
      <c r="K207" s="36"/>
      <c r="L207" s="36"/>
      <c r="M207" s="36"/>
      <c r="N207" s="27"/>
      <c r="O207" s="27"/>
      <c r="P207" s="27"/>
      <c r="Q207" s="37"/>
      <c r="S207" s="35"/>
      <c r="T207" s="36"/>
      <c r="U207" s="36"/>
      <c r="V207" s="36"/>
      <c r="W207" s="27"/>
      <c r="X207" s="27"/>
      <c r="Y207" s="27"/>
      <c r="Z207" s="37"/>
      <c r="AB207" s="35"/>
      <c r="AC207" s="36"/>
      <c r="AD207" s="36"/>
      <c r="AE207" s="36"/>
      <c r="AF207" s="27"/>
      <c r="AG207" s="27"/>
      <c r="AH207" s="27"/>
      <c r="AI207" s="37"/>
    </row>
    <row r="208" customFormat="false" ht="18.75" hidden="false" customHeight="false" outlineLevel="0" collapsed="false">
      <c r="A208" s="35"/>
      <c r="B208" s="36"/>
      <c r="C208" s="36"/>
      <c r="D208" s="36"/>
      <c r="E208" s="27"/>
      <c r="F208" s="27"/>
      <c r="G208" s="27"/>
      <c r="H208" s="37"/>
      <c r="J208" s="35"/>
      <c r="K208" s="36"/>
      <c r="L208" s="36"/>
      <c r="M208" s="36"/>
      <c r="N208" s="27"/>
      <c r="O208" s="27"/>
      <c r="P208" s="27"/>
      <c r="Q208" s="37"/>
      <c r="S208" s="35"/>
      <c r="T208" s="36"/>
      <c r="U208" s="36"/>
      <c r="V208" s="36"/>
      <c r="W208" s="27"/>
      <c r="X208" s="27"/>
      <c r="Y208" s="27"/>
      <c r="Z208" s="37"/>
      <c r="AB208" s="35"/>
      <c r="AC208" s="36"/>
      <c r="AD208" s="36"/>
      <c r="AE208" s="36"/>
      <c r="AF208" s="27"/>
      <c r="AG208" s="27"/>
      <c r="AH208" s="27"/>
      <c r="AI208" s="37"/>
    </row>
    <row r="209" customFormat="false" ht="18.75" hidden="false" customHeight="false" outlineLevel="0" collapsed="false">
      <c r="A209" s="35" t="s">
        <v>216</v>
      </c>
      <c r="B209" s="36" t="s">
        <v>217</v>
      </c>
      <c r="C209" s="36"/>
      <c r="D209" s="36"/>
      <c r="E209" s="27"/>
      <c r="F209" s="27"/>
      <c r="G209" s="27"/>
      <c r="H209" s="37"/>
      <c r="J209" s="35"/>
      <c r="K209" s="36"/>
      <c r="L209" s="36"/>
      <c r="M209" s="36"/>
      <c r="N209" s="27"/>
      <c r="O209" s="27"/>
      <c r="P209" s="27"/>
      <c r="Q209" s="37"/>
      <c r="S209" s="35"/>
      <c r="T209" s="36"/>
      <c r="U209" s="36"/>
      <c r="V209" s="36"/>
      <c r="W209" s="27"/>
      <c r="X209" s="27"/>
      <c r="Y209" s="27"/>
      <c r="Z209" s="37"/>
      <c r="AB209" s="35"/>
      <c r="AC209" s="36"/>
      <c r="AD209" s="36"/>
      <c r="AE209" s="36"/>
      <c r="AF209" s="27"/>
      <c r="AG209" s="27"/>
      <c r="AH209" s="27"/>
      <c r="AI209" s="37"/>
    </row>
    <row r="210" customFormat="false" ht="18.75" hidden="false" customHeight="false" outlineLevel="0" collapsed="false">
      <c r="A210" s="40" t="n">
        <f aca="false">IF(A49=0,((G176*(B68+1))-E188),((G176*B68)+E194-E188-A194))</f>
        <v>1198.24391999999</v>
      </c>
      <c r="B210" s="47" t="n">
        <f aca="false">E188+A210+B191+A194</f>
        <v>57592.03</v>
      </c>
      <c r="C210" s="36"/>
      <c r="D210" s="36"/>
      <c r="E210" s="27"/>
      <c r="F210" s="27"/>
      <c r="G210" s="27"/>
      <c r="H210" s="37"/>
      <c r="J210" s="35"/>
      <c r="K210" s="36"/>
      <c r="L210" s="36"/>
      <c r="M210" s="36"/>
      <c r="N210" s="27"/>
      <c r="O210" s="27"/>
      <c r="P210" s="27"/>
      <c r="Q210" s="37"/>
      <c r="S210" s="35"/>
      <c r="T210" s="36"/>
      <c r="U210" s="36"/>
      <c r="V210" s="36"/>
      <c r="W210" s="27"/>
      <c r="X210" s="27"/>
      <c r="Y210" s="27"/>
      <c r="Z210" s="37"/>
      <c r="AB210" s="35"/>
      <c r="AC210" s="36"/>
      <c r="AD210" s="36"/>
      <c r="AE210" s="36"/>
      <c r="AF210" s="27"/>
      <c r="AG210" s="27"/>
      <c r="AH210" s="27"/>
      <c r="AI210" s="37"/>
    </row>
    <row r="211" customFormat="false" ht="18.75" hidden="false" customHeight="false" outlineLevel="0" collapsed="false">
      <c r="A211" s="60"/>
      <c r="B211" s="61"/>
      <c r="C211" s="61"/>
      <c r="D211" s="61"/>
      <c r="E211" s="61"/>
      <c r="F211" s="61"/>
      <c r="G211" s="61"/>
      <c r="H211" s="69"/>
      <c r="J211" s="60"/>
      <c r="K211" s="61"/>
      <c r="L211" s="61"/>
      <c r="M211" s="61"/>
      <c r="N211" s="61"/>
      <c r="O211" s="61"/>
      <c r="P211" s="61"/>
      <c r="Q211" s="69"/>
      <c r="S211" s="60"/>
      <c r="T211" s="61"/>
      <c r="U211" s="61"/>
      <c r="V211" s="61"/>
      <c r="W211" s="61"/>
      <c r="X211" s="61"/>
      <c r="Y211" s="61"/>
      <c r="Z211" s="69"/>
      <c r="AB211" s="60"/>
      <c r="AC211" s="61"/>
      <c r="AD211" s="61"/>
      <c r="AE211" s="61"/>
      <c r="AF211" s="61"/>
      <c r="AG211" s="61"/>
      <c r="AH211" s="61"/>
      <c r="AI211" s="69"/>
    </row>
    <row r="215" customFormat="false" ht="22.05" hidden="false" customHeight="false" outlineLevel="0" collapsed="false">
      <c r="A215" s="175" t="s">
        <v>193</v>
      </c>
      <c r="B215" s="175"/>
      <c r="C215" s="175"/>
      <c r="D215" s="175"/>
      <c r="E215" s="175"/>
      <c r="F215" s="175"/>
      <c r="G215" s="175"/>
      <c r="H215" s="175"/>
    </row>
    <row r="216" customFormat="false" ht="18.75" hidden="false" customHeight="false" outlineLevel="0" collapsed="false">
      <c r="A216" s="35"/>
      <c r="B216" s="36"/>
      <c r="C216" s="36"/>
      <c r="D216" s="36"/>
      <c r="E216" s="27"/>
      <c r="F216" s="27"/>
      <c r="G216" s="27"/>
      <c r="H216" s="37"/>
    </row>
    <row r="217" customFormat="false" ht="18.75" hidden="false" customHeight="false" outlineLevel="0" collapsed="false">
      <c r="A217" s="176" t="s">
        <v>138</v>
      </c>
      <c r="B217" s="177" t="s">
        <v>52</v>
      </c>
      <c r="C217" s="177"/>
      <c r="D217" s="177"/>
      <c r="E217" s="177" t="s">
        <v>53</v>
      </c>
      <c r="F217" s="178"/>
      <c r="G217" s="27"/>
      <c r="H217" s="37"/>
    </row>
    <row r="218" customFormat="false" ht="18.75" hidden="false" customHeight="false" outlineLevel="0" collapsed="false">
      <c r="A218" s="179" t="s">
        <v>218</v>
      </c>
      <c r="B218" s="164" t="str">
        <f aca="false">A206</f>
        <v>33</v>
      </c>
      <c r="C218" s="164"/>
      <c r="D218" s="164"/>
      <c r="E218" s="164" t="str">
        <f aca="false">B205</f>
        <v>5000</v>
      </c>
      <c r="F218" s="178"/>
      <c r="G218" s="27"/>
      <c r="H218" s="37"/>
    </row>
    <row r="219" customFormat="false" ht="18.75" hidden="false" customHeight="false" outlineLevel="0" collapsed="false">
      <c r="A219" s="35"/>
      <c r="B219" s="36"/>
      <c r="C219" s="36"/>
      <c r="D219" s="36"/>
      <c r="E219" s="27"/>
      <c r="F219" s="27"/>
      <c r="G219" s="27"/>
      <c r="H219" s="37"/>
    </row>
    <row r="220" customFormat="false" ht="18.75" hidden="false" customHeight="false" outlineLevel="0" collapsed="false">
      <c r="A220" s="176" t="s">
        <v>195</v>
      </c>
      <c r="B220" s="177" t="s">
        <v>196</v>
      </c>
      <c r="C220" s="177"/>
      <c r="D220" s="177"/>
      <c r="E220" s="177" t="s">
        <v>197</v>
      </c>
      <c r="F220" s="27"/>
      <c r="G220" s="27"/>
      <c r="H220" s="37"/>
    </row>
    <row r="221" customFormat="false" ht="18.75" hidden="false" customHeight="false" outlineLevel="0" collapsed="false">
      <c r="A221" s="165" t="n">
        <f aca="false">A176</f>
        <v>1736.06693116527</v>
      </c>
      <c r="B221" s="166" t="n">
        <f aca="false">B176</f>
        <v>0</v>
      </c>
      <c r="C221" s="164"/>
      <c r="D221" s="164"/>
      <c r="E221" s="166" t="n">
        <f aca="false">E176</f>
        <v>1736.06693116527</v>
      </c>
      <c r="F221" s="27"/>
      <c r="G221" s="27"/>
      <c r="H221" s="37"/>
    </row>
    <row r="222" customFormat="false" ht="18.75" hidden="false" customHeight="false" outlineLevel="0" collapsed="false">
      <c r="A222" s="35"/>
      <c r="B222" s="36"/>
      <c r="C222" s="36"/>
      <c r="D222" s="36"/>
      <c r="E222" s="27"/>
      <c r="F222" s="27"/>
      <c r="G222" s="27"/>
      <c r="H222" s="37"/>
    </row>
    <row r="223" customFormat="false" ht="18.75" hidden="false" customHeight="false" outlineLevel="0" collapsed="false">
      <c r="A223" s="35" t="s">
        <v>200</v>
      </c>
      <c r="B223" s="36" t="s">
        <v>201</v>
      </c>
      <c r="C223" s="36"/>
      <c r="D223" s="27"/>
      <c r="E223" s="36" t="s">
        <v>202</v>
      </c>
      <c r="F223" s="27"/>
      <c r="G223" s="27"/>
      <c r="H223" s="37"/>
    </row>
    <row r="224" customFormat="false" ht="18.75" hidden="false" customHeight="false" outlineLevel="0" collapsed="false">
      <c r="A224" s="171" t="n">
        <f aca="false">A182</f>
        <v>43278.1634</v>
      </c>
      <c r="B224" s="42" t="n">
        <f aca="false">B182</f>
        <v>8655.63268</v>
      </c>
      <c r="C224" s="47"/>
      <c r="D224" s="27"/>
      <c r="E224" s="170" t="n">
        <f aca="false">E182</f>
        <v>1095</v>
      </c>
      <c r="F224" s="27"/>
      <c r="G224" s="27"/>
      <c r="H224" s="3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203</v>
      </c>
      <c r="B226" s="36" t="s">
        <v>149</v>
      </c>
      <c r="C226" s="36"/>
      <c r="D226" s="27"/>
      <c r="E226" s="36" t="s">
        <v>150</v>
      </c>
      <c r="F226" s="27"/>
      <c r="G226" s="27"/>
      <c r="H226" s="37"/>
    </row>
    <row r="227" customFormat="false" ht="18.75" hidden="false" customHeight="false" outlineLevel="0" collapsed="false">
      <c r="A227" s="171" t="n">
        <f aca="false">A185</f>
        <v>53028.79608</v>
      </c>
      <c r="B227" s="42" t="n">
        <f aca="false">B185</f>
        <v>0</v>
      </c>
      <c r="C227" s="42"/>
      <c r="D227" s="27"/>
      <c r="E227" s="42" t="n">
        <f aca="false">E185</f>
        <v>0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27"/>
      <c r="E228" s="36"/>
      <c r="F228" s="27"/>
      <c r="G228" s="27"/>
      <c r="H228" s="37"/>
    </row>
    <row r="229" customFormat="false" ht="18.75" hidden="false" customHeight="false" outlineLevel="0" collapsed="false">
      <c r="A229" s="35" t="s">
        <v>151</v>
      </c>
      <c r="B229" s="36" t="s">
        <v>186</v>
      </c>
      <c r="C229" s="36"/>
      <c r="D229" s="27"/>
      <c r="E229" s="36" t="s">
        <v>192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A188</f>
        <v>0</v>
      </c>
      <c r="B230" s="42" t="n">
        <f aca="false">B188</f>
        <v>0</v>
      </c>
      <c r="C230" s="42"/>
      <c r="D230" s="27"/>
      <c r="E230" s="42" t="n">
        <f aca="false">E188</f>
        <v>56128.79608</v>
      </c>
      <c r="F230" s="27"/>
      <c r="G230" s="27"/>
      <c r="H230" s="107"/>
    </row>
    <row r="231" customFormat="false" ht="18.75" hidden="false" customHeight="false" outlineLevel="0" collapsed="false">
      <c r="A231" s="35"/>
      <c r="B231" s="36"/>
      <c r="C231" s="36"/>
      <c r="D231" s="27"/>
      <c r="E231" s="36"/>
      <c r="F231" s="27"/>
      <c r="G231" s="27"/>
      <c r="H231" s="37"/>
    </row>
    <row r="232" customFormat="false" ht="18.75" hidden="false" customHeight="false" outlineLevel="0" collapsed="false">
      <c r="A232" s="35" t="s">
        <v>204</v>
      </c>
      <c r="B232" s="36" t="s">
        <v>66</v>
      </c>
      <c r="C232" s="36"/>
      <c r="D232" s="27"/>
      <c r="E232" s="36" t="s">
        <v>205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A191</f>
        <v>5425.34571728869</v>
      </c>
      <c r="B233" s="42" t="n">
        <f aca="false">B191</f>
        <v>239.99</v>
      </c>
      <c r="C233" s="42"/>
      <c r="D233" s="27"/>
      <c r="E233" s="42" t="n">
        <f aca="false">E191</f>
        <v>61819.1317972887</v>
      </c>
      <c r="F233" s="27"/>
      <c r="G233" s="27"/>
      <c r="H233" s="107"/>
    </row>
    <row r="234" customFormat="false" ht="18.75" hidden="false" customHeight="false" outlineLevel="0" collapsed="false">
      <c r="A234" s="35"/>
      <c r="B234" s="36"/>
      <c r="C234" s="36"/>
      <c r="D234" s="27"/>
      <c r="E234" s="36"/>
      <c r="F234" s="27"/>
      <c r="G234" s="27"/>
      <c r="H234" s="37"/>
    </row>
    <row r="235" customFormat="false" ht="18.75" hidden="false" customHeight="false" outlineLevel="0" collapsed="false">
      <c r="A235" s="35" t="s">
        <v>206</v>
      </c>
      <c r="B235" s="36" t="s">
        <v>207</v>
      </c>
      <c r="C235" s="36"/>
      <c r="D235" s="27"/>
      <c r="E235" s="36" t="s">
        <v>219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A194</f>
        <v>25</v>
      </c>
      <c r="B236" s="42" t="n">
        <f aca="false">B194</f>
        <v>239.99</v>
      </c>
      <c r="C236" s="42"/>
      <c r="D236" s="27"/>
      <c r="E236" s="42" t="n">
        <f aca="false">B68</f>
        <v>32</v>
      </c>
      <c r="F236" s="27"/>
      <c r="G236" s="27"/>
      <c r="H236" s="107"/>
    </row>
    <row r="237" customFormat="false" ht="18.75" hidden="false" customHeight="false" outlineLevel="0" collapsed="false">
      <c r="A237" s="35"/>
      <c r="B237" s="36"/>
      <c r="C237" s="36"/>
      <c r="D237" s="36"/>
      <c r="E237" s="27"/>
      <c r="F237" s="27"/>
      <c r="G237" s="27"/>
      <c r="H237" s="37"/>
    </row>
    <row r="238" customFormat="false" ht="18.75" hidden="false" customHeight="false" outlineLevel="0" collapsed="false">
      <c r="A238" s="35" t="s">
        <v>195</v>
      </c>
      <c r="B238" s="36" t="s">
        <v>196</v>
      </c>
      <c r="C238" s="36"/>
      <c r="D238" s="36"/>
      <c r="E238" s="36" t="s">
        <v>197</v>
      </c>
      <c r="F238" s="27"/>
      <c r="G238" s="27"/>
      <c r="H238" s="37"/>
    </row>
    <row r="239" customFormat="false" ht="18.75" hidden="false" customHeight="false" outlineLevel="0" collapsed="false">
      <c r="A239" s="113" t="n">
        <f aca="false">A176</f>
        <v>1736.06693116527</v>
      </c>
      <c r="B239" s="42" t="n">
        <f aca="false">B176</f>
        <v>0</v>
      </c>
      <c r="C239" s="47"/>
      <c r="D239" s="47"/>
      <c r="E239" s="42" t="n">
        <f aca="false">E176</f>
        <v>1736.06693116527</v>
      </c>
      <c r="F239" s="27"/>
      <c r="G239" s="27"/>
      <c r="H239" s="37"/>
    </row>
    <row r="240" customFormat="false" ht="18.75" hidden="false" customHeight="false" outlineLevel="0" collapsed="false">
      <c r="A240" s="35"/>
      <c r="B240" s="36"/>
      <c r="C240" s="36"/>
      <c r="D240" s="36"/>
      <c r="E240" s="27"/>
      <c r="F240" s="27"/>
      <c r="G240" s="27"/>
      <c r="H240" s="37"/>
    </row>
    <row r="241" customFormat="false" ht="18.75" hidden="false" customHeight="false" outlineLevel="0" collapsed="false">
      <c r="A241" s="35" t="s">
        <v>220</v>
      </c>
      <c r="B241" s="36" t="s">
        <v>221</v>
      </c>
      <c r="C241" s="36"/>
      <c r="D241" s="36"/>
      <c r="E241" s="36" t="s">
        <v>80</v>
      </c>
      <c r="F241" s="27"/>
      <c r="G241" s="27"/>
      <c r="H241" s="37"/>
    </row>
    <row r="242" customFormat="false" ht="18.75" hidden="false" customHeight="false" outlineLevel="0" collapsed="false">
      <c r="A242" s="113" t="n">
        <f aca="false">E179</f>
        <v>6000</v>
      </c>
      <c r="B242" s="42" t="n">
        <f aca="false">E194</f>
        <v>6025</v>
      </c>
      <c r="C242" s="36"/>
      <c r="D242" s="36"/>
      <c r="E242" s="42" t="n">
        <f aca="false">J18*0.000006*100*1.2</f>
        <v>38.15279712</v>
      </c>
      <c r="F242" s="27"/>
      <c r="G242" s="27"/>
      <c r="H242" s="37"/>
    </row>
    <row r="243" customFormat="false" ht="18.75" hidden="false" customHeight="false" outlineLevel="0" collapsed="false">
      <c r="A243" s="113"/>
      <c r="B243" s="42"/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64" t="s">
        <v>222</v>
      </c>
      <c r="B244" s="43" t="s">
        <v>85</v>
      </c>
      <c r="C244" s="36"/>
      <c r="D244" s="36"/>
      <c r="E244" s="43" t="s">
        <v>143</v>
      </c>
      <c r="F244" s="27"/>
      <c r="G244" s="27"/>
      <c r="H244" s="37"/>
    </row>
    <row r="245" customFormat="false" ht="18.75" hidden="false" customHeight="false" outlineLevel="0" collapsed="false">
      <c r="A245" s="113" t="n">
        <f aca="false">A197</f>
        <v>12.71759904</v>
      </c>
      <c r="B245" s="42" t="n">
        <f aca="false">E242+A245</f>
        <v>50.87039616</v>
      </c>
      <c r="C245" s="36"/>
      <c r="D245" s="36"/>
      <c r="E245" s="42"/>
      <c r="F245" s="27"/>
      <c r="G245" s="27"/>
      <c r="H245" s="37"/>
    </row>
    <row r="246" customFormat="false" ht="18.75" hidden="false" customHeight="false" outlineLevel="0" collapsed="false">
      <c r="A246" s="113"/>
      <c r="B246" s="42"/>
      <c r="C246" s="36"/>
      <c r="D246" s="36"/>
      <c r="E246" s="42"/>
      <c r="F246" s="27"/>
      <c r="G246" s="27"/>
      <c r="H246" s="37"/>
    </row>
    <row r="247" customFormat="false" ht="22.05" hidden="false" customHeight="false" outlineLevel="0" collapsed="false">
      <c r="A247" s="180" t="s">
        <v>223</v>
      </c>
      <c r="B247" s="180"/>
      <c r="C247" s="180"/>
      <c r="D247" s="180"/>
      <c r="E247" s="180"/>
      <c r="F247" s="180"/>
      <c r="G247" s="180"/>
      <c r="H247" s="180"/>
    </row>
    <row r="248" customFormat="false" ht="18.75" hidden="false" customHeight="false" outlineLevel="0" collapsed="false">
      <c r="A248" s="35" t="s">
        <v>224</v>
      </c>
      <c r="B248" s="36" t="s">
        <v>210</v>
      </c>
      <c r="C248" s="36"/>
      <c r="D248" s="36"/>
      <c r="E248" s="43" t="s">
        <v>211</v>
      </c>
      <c r="F248" s="27"/>
      <c r="G248" s="27"/>
      <c r="H248" s="37"/>
    </row>
    <row r="249" customFormat="false" ht="18.75" hidden="false" customHeight="false" outlineLevel="0" collapsed="false">
      <c r="A249" s="113" t="n">
        <f aca="false">H157</f>
        <v>0</v>
      </c>
      <c r="B249" s="42" t="n">
        <f aca="false">B197</f>
        <v>841.9319412</v>
      </c>
      <c r="C249" s="36"/>
      <c r="D249" s="36"/>
      <c r="E249" s="42" t="n">
        <f aca="false">E197</f>
        <v>0</v>
      </c>
      <c r="F249" s="27"/>
      <c r="G249" s="27"/>
      <c r="H249" s="37"/>
    </row>
    <row r="250" customFormat="false" ht="18.75" hidden="false" customHeight="false" outlineLevel="0" collapsed="false">
      <c r="A250" s="113"/>
      <c r="B250" s="42"/>
      <c r="C250" s="36"/>
      <c r="D250" s="36"/>
      <c r="E250" s="27"/>
      <c r="F250" s="27"/>
      <c r="G250" s="27"/>
      <c r="H250" s="37"/>
    </row>
    <row r="251" customFormat="false" ht="18.75" hidden="false" customHeight="false" outlineLevel="0" collapsed="false">
      <c r="A251" s="64" t="s">
        <v>212</v>
      </c>
      <c r="B251" s="43" t="s">
        <v>213</v>
      </c>
      <c r="C251" s="36"/>
      <c r="D251" s="36"/>
      <c r="E251" s="43"/>
      <c r="F251" s="27"/>
      <c r="G251" s="27"/>
      <c r="H251" s="37"/>
    </row>
    <row r="252" customFormat="false" ht="18.75" hidden="false" customHeight="false" outlineLevel="0" collapsed="false">
      <c r="A252" s="113" t="n">
        <f aca="false">A200</f>
        <v>20</v>
      </c>
      <c r="B252" s="42" t="n">
        <f aca="false">B249+E249+A252+A249-H165</f>
        <v>-2238.0680588</v>
      </c>
      <c r="C252" s="36"/>
      <c r="D252" s="36"/>
      <c r="E252" s="42"/>
      <c r="F252" s="27"/>
      <c r="G252" s="27"/>
      <c r="H252" s="37"/>
    </row>
    <row r="253" customFormat="false" ht="18.75" hidden="false" customHeight="false" outlineLevel="0" collapsed="false">
      <c r="A253" s="35"/>
      <c r="B253" s="36"/>
      <c r="C253" s="36"/>
      <c r="D253" s="36"/>
      <c r="E253" s="27"/>
      <c r="F253" s="27"/>
      <c r="G253" s="27"/>
      <c r="H253" s="37"/>
    </row>
    <row r="254" customFormat="false" ht="18.75" hidden="false" customHeight="false" outlineLevel="0" collapsed="false">
      <c r="A254" s="60"/>
      <c r="B254" s="61"/>
      <c r="C254" s="61"/>
      <c r="D254" s="61"/>
      <c r="E254" s="61"/>
      <c r="F254" s="61"/>
      <c r="G254" s="61"/>
      <c r="H254" s="69"/>
    </row>
    <row r="260" customFormat="false" ht="22.05" hidden="false" customHeight="false" outlineLevel="0" collapsed="false">
      <c r="A260" s="175" t="s">
        <v>225</v>
      </c>
      <c r="B260" s="175"/>
      <c r="C260" s="175"/>
      <c r="D260" s="175"/>
      <c r="E260" s="175"/>
      <c r="F260" s="175"/>
      <c r="G260" s="175"/>
      <c r="H260" s="175"/>
    </row>
    <row r="261" customFormat="false" ht="18.75" hidden="false" customHeight="false" outlineLevel="0" collapsed="false">
      <c r="A261" s="35"/>
      <c r="B261" s="36"/>
      <c r="C261" s="36"/>
      <c r="D261" s="36"/>
      <c r="E261" s="27"/>
      <c r="F261" s="27"/>
      <c r="G261" s="27"/>
      <c r="H261" s="37"/>
    </row>
    <row r="262" customFormat="false" ht="18.75" hidden="false" customHeight="false" outlineLevel="0" collapsed="false">
      <c r="A262" s="176" t="s">
        <v>226</v>
      </c>
      <c r="B262" s="181" t="n">
        <f aca="false">B72</f>
        <v>0.065</v>
      </c>
      <c r="C262" s="182"/>
      <c r="D262" s="183" t="s">
        <v>227</v>
      </c>
      <c r="E262" s="183"/>
      <c r="F262" s="181" t="n">
        <f aca="false">B92</f>
        <v>0.115</v>
      </c>
      <c r="G262" s="27"/>
      <c r="H262" s="37"/>
    </row>
    <row r="263" customFormat="false" ht="18.75" hidden="false" customHeight="false" outlineLevel="0" collapsed="false">
      <c r="A263" s="176" t="s">
        <v>228</v>
      </c>
      <c r="B263" s="184" t="n">
        <f aca="false">(E191-B191)-(B210-B191-A194)</f>
        <v>4252.1017972887</v>
      </c>
      <c r="C263" s="182"/>
      <c r="D263" s="183" t="s">
        <v>229</v>
      </c>
      <c r="E263" s="183"/>
      <c r="F263" s="185" t="n">
        <f aca="false">F270+F276+F278+B279+B280</f>
        <v>841.9319412</v>
      </c>
      <c r="G263" s="27"/>
      <c r="H263" s="37"/>
    </row>
    <row r="264" customFormat="false" ht="18.75" hidden="false" customHeight="false" outlineLevel="0" collapsed="false">
      <c r="A264" s="176" t="s">
        <v>230</v>
      </c>
      <c r="B264" s="185" t="n">
        <f aca="false">F271+B272</f>
        <v>20</v>
      </c>
      <c r="C264" s="182"/>
      <c r="D264" s="183" t="s">
        <v>231</v>
      </c>
      <c r="E264" s="183"/>
      <c r="F264" s="185" t="n">
        <f aca="false">(B263-F263)+B264</f>
        <v>3430.1698560887</v>
      </c>
      <c r="G264" s="27"/>
      <c r="H264" s="37"/>
    </row>
    <row r="265" customFormat="false" ht="18.75" hidden="false" customHeight="false" outlineLevel="0" collapsed="false">
      <c r="A265" s="186"/>
      <c r="B265" s="182"/>
      <c r="C265" s="187"/>
      <c r="D265" s="187"/>
      <c r="E265" s="187"/>
      <c r="F265" s="187"/>
      <c r="G265" s="188"/>
      <c r="H265" s="189"/>
    </row>
    <row r="266" customFormat="false" ht="18.75" hidden="false" customHeight="false" outlineLevel="0" collapsed="false">
      <c r="A266" s="35" t="s">
        <v>226</v>
      </c>
      <c r="B266" s="190" t="n">
        <f aca="false">B262</f>
        <v>0.065</v>
      </c>
      <c r="C266" s="182"/>
      <c r="D266" s="182"/>
      <c r="E266" s="182"/>
      <c r="F266" s="182"/>
      <c r="G266" s="27"/>
      <c r="H266" s="37"/>
    </row>
    <row r="267" customFormat="false" ht="18.75" hidden="false" customHeight="false" outlineLevel="0" collapsed="false">
      <c r="A267" s="191"/>
      <c r="B267" s="192"/>
      <c r="C267" s="193"/>
      <c r="D267" s="193"/>
      <c r="E267" s="188"/>
      <c r="F267" s="188"/>
      <c r="G267" s="188"/>
      <c r="H267" s="189"/>
    </row>
    <row r="268" customFormat="false" ht="18.75" hidden="false" customHeight="false" outlineLevel="0" collapsed="false">
      <c r="A268" s="35" t="s">
        <v>232</v>
      </c>
      <c r="B268" s="190" t="n">
        <f aca="false">B73</f>
        <v>0.05</v>
      </c>
      <c r="C268" s="36"/>
      <c r="D268" s="156" t="s">
        <v>233</v>
      </c>
      <c r="E268" s="156"/>
      <c r="F268" s="190" t="n">
        <v>0</v>
      </c>
      <c r="G268" s="27"/>
      <c r="H268" s="37"/>
    </row>
    <row r="269" customFormat="false" ht="18.75" hidden="false" customHeight="false" outlineLevel="0" collapsed="false">
      <c r="A269" s="112" t="s">
        <v>227</v>
      </c>
      <c r="B269" s="194" t="n">
        <f aca="false">B92</f>
        <v>0.115</v>
      </c>
      <c r="C269" s="47"/>
      <c r="D269" s="156" t="s">
        <v>228</v>
      </c>
      <c r="E269" s="156"/>
      <c r="F269" s="135" t="n">
        <f aca="false">B263</f>
        <v>4252.1017972887</v>
      </c>
      <c r="G269" s="27"/>
      <c r="H269" s="37"/>
    </row>
    <row r="270" customFormat="false" ht="18.75" hidden="false" customHeight="false" outlineLevel="0" collapsed="false">
      <c r="A270" s="35" t="s">
        <v>234</v>
      </c>
      <c r="B270" s="194" t="n">
        <f aca="false">B76</f>
        <v>0.015</v>
      </c>
      <c r="C270" s="36"/>
      <c r="D270" s="156" t="s">
        <v>234</v>
      </c>
      <c r="E270" s="156"/>
      <c r="F270" s="142" t="n">
        <f aca="false">B77</f>
        <v>841.9319412</v>
      </c>
      <c r="G270" s="27"/>
      <c r="H270" s="37"/>
    </row>
    <row r="271" customFormat="false" ht="18.75" hidden="false" customHeight="false" outlineLevel="0" collapsed="false">
      <c r="A271" s="35" t="s">
        <v>235</v>
      </c>
      <c r="B271" s="190" t="n">
        <f aca="false">A117</f>
        <v>0.2</v>
      </c>
      <c r="C271" s="36"/>
      <c r="D271" s="156" t="s">
        <v>235</v>
      </c>
      <c r="E271" s="156"/>
      <c r="F271" s="135" t="n">
        <f aca="false">E249*10</f>
        <v>0</v>
      </c>
      <c r="G271" s="27"/>
      <c r="H271" s="37"/>
    </row>
    <row r="272" customFormat="false" ht="18.75" hidden="false" customHeight="false" outlineLevel="0" collapsed="false">
      <c r="A272" s="35" t="s">
        <v>236</v>
      </c>
      <c r="B272" s="135" t="n">
        <f aca="false">A252</f>
        <v>20</v>
      </c>
      <c r="C272" s="36"/>
      <c r="D272" s="43" t="s">
        <v>231</v>
      </c>
      <c r="E272" s="43"/>
      <c r="F272" s="135" t="n">
        <f aca="false">(B263-F263)+B264</f>
        <v>3430.1698560887</v>
      </c>
      <c r="G272" s="27"/>
      <c r="H272" s="37"/>
    </row>
    <row r="273" customFormat="false" ht="18.75" hidden="false" customHeight="false" outlineLevel="0" collapsed="false">
      <c r="A273" s="113"/>
      <c r="B273" s="42"/>
      <c r="C273" s="36"/>
      <c r="D273" s="36"/>
      <c r="E273" s="42"/>
      <c r="F273" s="27"/>
      <c r="G273" s="27"/>
      <c r="H273" s="37"/>
    </row>
    <row r="274" customFormat="false" ht="22.05" hidden="false" customHeight="false" outlineLevel="0" collapsed="false">
      <c r="A274" s="180" t="s">
        <v>237</v>
      </c>
      <c r="B274" s="180"/>
      <c r="C274" s="180"/>
      <c r="D274" s="180"/>
      <c r="E274" s="180"/>
      <c r="F274" s="180"/>
      <c r="G274" s="180"/>
      <c r="H274" s="180"/>
    </row>
    <row r="275" customFormat="false" ht="18.75" hidden="false" customHeight="false" outlineLevel="0" collapsed="false">
      <c r="A275" s="35" t="s">
        <v>238</v>
      </c>
      <c r="B275" s="142" t="n">
        <v>0</v>
      </c>
      <c r="C275" s="36"/>
      <c r="D275" s="195" t="s">
        <v>239</v>
      </c>
      <c r="E275" s="195"/>
      <c r="F275" s="142" t="n">
        <v>0</v>
      </c>
      <c r="G275" s="27"/>
      <c r="H275" s="37"/>
    </row>
    <row r="276" customFormat="false" ht="18.75" hidden="false" customHeight="false" outlineLevel="0" collapsed="false">
      <c r="A276" s="113"/>
      <c r="B276" s="135"/>
      <c r="C276" s="36"/>
      <c r="D276" s="156" t="s">
        <v>240</v>
      </c>
      <c r="E276" s="156"/>
      <c r="F276" s="135" t="n">
        <f aca="false">B275+F275*B218</f>
        <v>0</v>
      </c>
      <c r="G276" s="27"/>
      <c r="H276" s="37"/>
    </row>
    <row r="277" customFormat="false" ht="18.75" hidden="false" customHeight="false" outlineLevel="0" collapsed="false">
      <c r="A277" s="64" t="s">
        <v>241</v>
      </c>
      <c r="B277" s="196" t="s">
        <v>10</v>
      </c>
      <c r="C277" s="36"/>
      <c r="D277" s="156" t="s">
        <v>242</v>
      </c>
      <c r="E277" s="156"/>
      <c r="F277" s="196" t="n">
        <f aca="false">B79</f>
        <v>0</v>
      </c>
      <c r="G277" s="27"/>
      <c r="H277" s="37"/>
    </row>
    <row r="278" customFormat="false" ht="18.75" hidden="false" customHeight="false" outlineLevel="0" collapsed="false">
      <c r="A278" s="64"/>
      <c r="B278" s="146"/>
      <c r="C278" s="36"/>
      <c r="D278" s="156" t="s">
        <v>243</v>
      </c>
      <c r="E278" s="156"/>
      <c r="F278" s="135" t="n">
        <f aca="false">B100</f>
        <v>0</v>
      </c>
      <c r="G278" s="27"/>
      <c r="H278" s="37"/>
    </row>
    <row r="279" customFormat="false" ht="18.75" hidden="false" customHeight="false" outlineLevel="0" collapsed="false">
      <c r="A279" s="64" t="s">
        <v>244</v>
      </c>
      <c r="B279" s="142" t="n">
        <v>0</v>
      </c>
      <c r="C279" s="36"/>
      <c r="D279" s="36"/>
      <c r="E279" s="42"/>
      <c r="F279" s="27"/>
      <c r="G279" s="27"/>
      <c r="H279" s="37"/>
    </row>
    <row r="280" customFormat="false" ht="18.75" hidden="false" customHeight="false" outlineLevel="0" collapsed="false">
      <c r="A280" s="35" t="s">
        <v>245</v>
      </c>
      <c r="B280" s="142" t="n">
        <v>0</v>
      </c>
      <c r="C280" s="36"/>
      <c r="D280" s="36"/>
      <c r="E280" s="27"/>
      <c r="F280" s="27"/>
      <c r="G280" s="27"/>
      <c r="H280" s="37"/>
    </row>
    <row r="281" customFormat="false" ht="18.75" hidden="false" customHeight="false" outlineLevel="0" collapsed="false">
      <c r="A281" s="60"/>
      <c r="B281" s="61"/>
      <c r="C281" s="61"/>
      <c r="D281" s="61"/>
      <c r="E281" s="61"/>
      <c r="F281" s="61"/>
      <c r="G281" s="61"/>
      <c r="H281" s="69"/>
    </row>
  </sheetData>
  <mergeCells count="294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H24"/>
    <mergeCell ref="A26:H26"/>
    <mergeCell ref="C31:D31"/>
    <mergeCell ref="F31:G31"/>
    <mergeCell ref="C34:D34"/>
    <mergeCell ref="F34:G34"/>
    <mergeCell ref="C37:D37"/>
    <mergeCell ref="J38:K38"/>
    <mergeCell ref="C40:D40"/>
    <mergeCell ref="F40:G40"/>
    <mergeCell ref="C43:D43"/>
    <mergeCell ref="F43:G43"/>
    <mergeCell ref="C46:D46"/>
    <mergeCell ref="F46:G46"/>
    <mergeCell ref="C53:E53"/>
    <mergeCell ref="A58:A59"/>
    <mergeCell ref="B58:D58"/>
    <mergeCell ref="B59:D59"/>
    <mergeCell ref="B60:D60"/>
    <mergeCell ref="A109:H109"/>
    <mergeCell ref="J109:Q109"/>
    <mergeCell ref="S109:Z109"/>
    <mergeCell ref="AB109:AI109"/>
    <mergeCell ref="A111:H111"/>
    <mergeCell ref="J111:Q111"/>
    <mergeCell ref="S111:Z111"/>
    <mergeCell ref="AB111:AI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B117:D117"/>
    <mergeCell ref="E117:G117"/>
    <mergeCell ref="K117:M117"/>
    <mergeCell ref="N117:P117"/>
    <mergeCell ref="T117:V117"/>
    <mergeCell ref="W117:Y117"/>
    <mergeCell ref="AC117:AE117"/>
    <mergeCell ref="AF117:AH117"/>
    <mergeCell ref="B120:D120"/>
    <mergeCell ref="E120:G120"/>
    <mergeCell ref="K120:M120"/>
    <mergeCell ref="N120:P120"/>
    <mergeCell ref="T120:V120"/>
    <mergeCell ref="W120:Y120"/>
    <mergeCell ref="AC120:AE120"/>
    <mergeCell ref="AF120:AH120"/>
    <mergeCell ref="B123:D123"/>
    <mergeCell ref="E123:G123"/>
    <mergeCell ref="K123:M123"/>
    <mergeCell ref="N123:P123"/>
    <mergeCell ref="T123:V123"/>
    <mergeCell ref="W123:Y123"/>
    <mergeCell ref="AC123:AE123"/>
    <mergeCell ref="AF123:AH123"/>
    <mergeCell ref="A126:H126"/>
    <mergeCell ref="J126:Q126"/>
    <mergeCell ref="S126:Z126"/>
    <mergeCell ref="AB126:AI126"/>
    <mergeCell ref="B128:C128"/>
    <mergeCell ref="D128:E128"/>
    <mergeCell ref="F128:G128"/>
    <mergeCell ref="K128:L128"/>
    <mergeCell ref="M128:N128"/>
    <mergeCell ref="O128:P128"/>
    <mergeCell ref="T128:U128"/>
    <mergeCell ref="V128:W128"/>
    <mergeCell ref="X128:Y128"/>
    <mergeCell ref="AC128:AD128"/>
    <mergeCell ref="AE128:AF128"/>
    <mergeCell ref="AG128:AH128"/>
    <mergeCell ref="B139:C139"/>
    <mergeCell ref="D139:E139"/>
    <mergeCell ref="F139:G139"/>
    <mergeCell ref="K139:L139"/>
    <mergeCell ref="M139:N139"/>
    <mergeCell ref="O139:P139"/>
    <mergeCell ref="T139:U139"/>
    <mergeCell ref="V139:W139"/>
    <mergeCell ref="X139:Y139"/>
    <mergeCell ref="AC139:AD139"/>
    <mergeCell ref="AE139:AF139"/>
    <mergeCell ref="AG139:AH139"/>
    <mergeCell ref="B140:C140"/>
    <mergeCell ref="D140:E140"/>
    <mergeCell ref="F140:G140"/>
    <mergeCell ref="K140:L140"/>
    <mergeCell ref="M140:N140"/>
    <mergeCell ref="O140:P140"/>
    <mergeCell ref="T140:U140"/>
    <mergeCell ref="V140:W140"/>
    <mergeCell ref="X140:Y140"/>
    <mergeCell ref="AC140:AD140"/>
    <mergeCell ref="AE140:AF140"/>
    <mergeCell ref="AG140:AH140"/>
    <mergeCell ref="B141:C141"/>
    <mergeCell ref="D141:E141"/>
    <mergeCell ref="F141:G141"/>
    <mergeCell ref="K141:L141"/>
    <mergeCell ref="M141:N141"/>
    <mergeCell ref="O141:P141"/>
    <mergeCell ref="T141:U141"/>
    <mergeCell ref="V141:W141"/>
    <mergeCell ref="X141:Y141"/>
    <mergeCell ref="AC141:AD141"/>
    <mergeCell ref="AE141:AF141"/>
    <mergeCell ref="AG141:AH141"/>
    <mergeCell ref="B142:C142"/>
    <mergeCell ref="D142:E142"/>
    <mergeCell ref="F142:G142"/>
    <mergeCell ref="K142:L142"/>
    <mergeCell ref="M142:N142"/>
    <mergeCell ref="O142:P142"/>
    <mergeCell ref="T142:U142"/>
    <mergeCell ref="V142:W142"/>
    <mergeCell ref="X142:Y142"/>
    <mergeCell ref="AC142:AD142"/>
    <mergeCell ref="AE142:AF142"/>
    <mergeCell ref="AG142:AH142"/>
    <mergeCell ref="A144:F144"/>
    <mergeCell ref="J144:O144"/>
    <mergeCell ref="S144:X144"/>
    <mergeCell ref="AB144:AG144"/>
    <mergeCell ref="A145:F145"/>
    <mergeCell ref="J145:O145"/>
    <mergeCell ref="S145:X145"/>
    <mergeCell ref="AB145:AG145"/>
    <mergeCell ref="A146:F146"/>
    <mergeCell ref="J146:O146"/>
    <mergeCell ref="S146:X146"/>
    <mergeCell ref="AB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49:F149"/>
    <mergeCell ref="J149:O149"/>
    <mergeCell ref="S149:X149"/>
    <mergeCell ref="AB149:AG149"/>
    <mergeCell ref="A150:F150"/>
    <mergeCell ref="J150:O150"/>
    <mergeCell ref="S150:X150"/>
    <mergeCell ref="AB150:AG150"/>
    <mergeCell ref="A151:F151"/>
    <mergeCell ref="J151:O151"/>
    <mergeCell ref="S151:X151"/>
    <mergeCell ref="AB151:AG151"/>
    <mergeCell ref="A152:F152"/>
    <mergeCell ref="J152:O152"/>
    <mergeCell ref="S152:X152"/>
    <mergeCell ref="AB152:AG152"/>
    <mergeCell ref="B153:F153"/>
    <mergeCell ref="K153:O153"/>
    <mergeCell ref="T153:X153"/>
    <mergeCell ref="AC153:AG153"/>
    <mergeCell ref="B154:F154"/>
    <mergeCell ref="K154:O154"/>
    <mergeCell ref="T154:X154"/>
    <mergeCell ref="AC154:AG154"/>
    <mergeCell ref="B155:F155"/>
    <mergeCell ref="K155:O155"/>
    <mergeCell ref="T155:X155"/>
    <mergeCell ref="AC155:AG155"/>
    <mergeCell ref="A156:F156"/>
    <mergeCell ref="J156:O156"/>
    <mergeCell ref="S156:X156"/>
    <mergeCell ref="AB156:AG156"/>
    <mergeCell ref="A157:F157"/>
    <mergeCell ref="J157:O157"/>
    <mergeCell ref="S157:X157"/>
    <mergeCell ref="AB157:AG157"/>
    <mergeCell ref="A159:H159"/>
    <mergeCell ref="J159:Q159"/>
    <mergeCell ref="S159:Z159"/>
    <mergeCell ref="AB159:AI159"/>
    <mergeCell ref="E161:F161"/>
    <mergeCell ref="G161:H161"/>
    <mergeCell ref="N161:O161"/>
    <mergeCell ref="P161:Q161"/>
    <mergeCell ref="W161:X161"/>
    <mergeCell ref="Y161:Z161"/>
    <mergeCell ref="AF161:AG161"/>
    <mergeCell ref="AH161:AI161"/>
    <mergeCell ref="E162:F162"/>
    <mergeCell ref="G162:H162"/>
    <mergeCell ref="N162:O162"/>
    <mergeCell ref="P162:Q162"/>
    <mergeCell ref="W162:X162"/>
    <mergeCell ref="Y162:Z162"/>
    <mergeCell ref="AF162:AG162"/>
    <mergeCell ref="AH162:AI162"/>
    <mergeCell ref="E163:F163"/>
    <mergeCell ref="G163:H163"/>
    <mergeCell ref="N163:O163"/>
    <mergeCell ref="P163:Q163"/>
    <mergeCell ref="W163:X163"/>
    <mergeCell ref="Y163:Z163"/>
    <mergeCell ref="AF163:AG163"/>
    <mergeCell ref="AH163:AI163"/>
    <mergeCell ref="E164:F164"/>
    <mergeCell ref="N164:O164"/>
    <mergeCell ref="W164:X164"/>
    <mergeCell ref="AF164:AG164"/>
    <mergeCell ref="G166:H166"/>
    <mergeCell ref="P166:Q166"/>
    <mergeCell ref="Y166:Z166"/>
    <mergeCell ref="AH166:AI166"/>
    <mergeCell ref="G167:H167"/>
    <mergeCell ref="P167:Q167"/>
    <mergeCell ref="Y167:Z167"/>
    <mergeCell ref="AH167:AI167"/>
    <mergeCell ref="G168:H168"/>
    <mergeCell ref="P168:Q168"/>
    <mergeCell ref="Y168:Z168"/>
    <mergeCell ref="AH168:AI168"/>
    <mergeCell ref="A171:H171"/>
    <mergeCell ref="J171:Q171"/>
    <mergeCell ref="S171:Z171"/>
    <mergeCell ref="AB171:AI171"/>
    <mergeCell ref="B173:C173"/>
    <mergeCell ref="K173:L173"/>
    <mergeCell ref="T173:U173"/>
    <mergeCell ref="AC173:AD173"/>
    <mergeCell ref="A204:A205"/>
    <mergeCell ref="B204:D204"/>
    <mergeCell ref="J204:J205"/>
    <mergeCell ref="K204:M204"/>
    <mergeCell ref="S204:S205"/>
    <mergeCell ref="T204:V204"/>
    <mergeCell ref="AB204:AB205"/>
    <mergeCell ref="AC204:AE204"/>
    <mergeCell ref="B205:D205"/>
    <mergeCell ref="K205:M205"/>
    <mergeCell ref="T205:V205"/>
    <mergeCell ref="AC205:AE205"/>
    <mergeCell ref="B206:D206"/>
    <mergeCell ref="K206:M206"/>
    <mergeCell ref="T206:V206"/>
    <mergeCell ref="AC206:AE206"/>
    <mergeCell ref="A215:H215"/>
    <mergeCell ref="A247:H247"/>
    <mergeCell ref="A260:H260"/>
    <mergeCell ref="D262:E262"/>
    <mergeCell ref="D263:E263"/>
    <mergeCell ref="D264:E264"/>
    <mergeCell ref="D268:E268"/>
    <mergeCell ref="D269:E269"/>
    <mergeCell ref="D270:E270"/>
    <mergeCell ref="D271:E271"/>
    <mergeCell ref="A274:H274"/>
    <mergeCell ref="D275:E275"/>
    <mergeCell ref="D276:E276"/>
    <mergeCell ref="D277:E277"/>
    <mergeCell ref="D278:E278"/>
  </mergeCells>
  <dataValidations count="4">
    <dataValidation allowBlank="true" errorStyle="stop" operator="between" showDropDown="false" showErrorMessage="true" showInputMessage="true" sqref="B114 K114 T114 AC114" type="list">
      <formula1>$Y$136:$Y$145</formula1>
      <formula2>0</formula2>
    </dataValidation>
    <dataValidation allowBlank="true" errorStyle="stop" operator="between" showDropDown="false" showErrorMessage="true" showInputMessage="true" sqref="E114 N114 W114 AF114 A120 J120 S120 AB120" type="list">
      <formula1>$Z$19:$Z$20</formula1>
      <formula2>0</formula2>
    </dataValidation>
    <dataValidation allowBlank="true" errorStyle="stop" operator="between" showDropDown="false" showErrorMessage="true" showInputMessage="true" sqref="B117:D117 K117:M117 T117:V117 AC117:AE117" type="list">
      <formula1>$AP$117:$AP$118</formula1>
      <formula2>0</formula2>
    </dataValidation>
    <dataValidation allowBlank="true" errorStyle="stop" operator="between" showDropDown="false" showErrorMessage="true" showInputMessage="true" sqref="A18:A20 A153:A155 J153:J155 S153:S155 AB153:AB155" type="list">
      <formula1>$AB$16:$AB$18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37" colorId="64" zoomScale="100" zoomScaleNormal="100" zoomScalePageLayoutView="100" workbookViewId="0">
      <selection pane="topLeft" activeCell="B189" activeCellId="0" sqref="B189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20945</v>
      </c>
      <c r="C3" s="398" t="n">
        <v>0</v>
      </c>
      <c r="D3" s="398" t="n">
        <v>0</v>
      </c>
      <c r="E3" s="398"/>
      <c r="F3" s="398" t="n">
        <v>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123" t="n">
        <v>0</v>
      </c>
      <c r="C4" s="123" t="n">
        <v>0</v>
      </c>
      <c r="D4" s="123" t="n">
        <v>0</v>
      </c>
      <c r="E4" s="123"/>
      <c r="F4" s="123" t="n">
        <v>0</v>
      </c>
      <c r="G4" s="123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0</v>
      </c>
      <c r="C5" s="398" t="n">
        <v>0</v>
      </c>
      <c r="D5" s="398" t="n">
        <v>0</v>
      </c>
      <c r="E5" s="398"/>
      <c r="F5" s="398" t="n">
        <v>0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880.1666</v>
      </c>
      <c r="C6" s="209" t="n">
        <f aca="false">(C3*C4/100)+C5</f>
        <v>0</v>
      </c>
      <c r="D6" s="209" t="n">
        <f aca="false">(D3*D4/100)+D5</f>
        <v>0</v>
      </c>
      <c r="E6" s="209"/>
      <c r="F6" s="209" t="n">
        <f aca="false">(F3*F4/100)+F5</f>
        <v>0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43128.1634</v>
      </c>
      <c r="C7" s="209" t="n">
        <f aca="false">C3-C6</f>
        <v>0</v>
      </c>
      <c r="D7" s="209" t="n">
        <f aca="false">D3-D6</f>
        <v>0</v>
      </c>
      <c r="E7" s="209"/>
      <c r="F7" s="209" t="n">
        <f aca="false">F3-F6</f>
        <v>0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1095</v>
      </c>
    </row>
    <row r="9" customFormat="false" ht="19.7" hidden="false" customHeight="false" outlineLevel="0" collapsed="false">
      <c r="A9" s="143" t="s">
        <v>173</v>
      </c>
      <c r="B9" s="143" t="n">
        <v>23125</v>
      </c>
      <c r="C9" s="143"/>
      <c r="D9" s="143"/>
      <c r="E9" s="143" t="n">
        <f aca="false">(B7+C7+D7+E3)</f>
        <v>43128.1634</v>
      </c>
      <c r="F9" s="143"/>
      <c r="G9" s="129"/>
      <c r="H9" s="355" t="n">
        <f aca="false">B7+D7+F7+H3</f>
        <v>43128.1634</v>
      </c>
      <c r="I9" s="7"/>
      <c r="J9" s="7"/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 t="n">
        <v>50</v>
      </c>
      <c r="F10" s="145"/>
      <c r="G10" s="146"/>
      <c r="H10" s="354" t="n">
        <v>995</v>
      </c>
      <c r="I10" s="7"/>
      <c r="J10" s="7"/>
      <c r="L10" s="20" t="s">
        <v>15</v>
      </c>
      <c r="M10" s="14" t="n">
        <f aca="false">H15-H11-M8</f>
        <v>43278.1634</v>
      </c>
    </row>
    <row r="11" customFormat="false" ht="18.75" hidden="false" customHeight="false" outlineLevel="0" collapsed="false">
      <c r="A11" s="145" t="s">
        <v>175</v>
      </c>
      <c r="B11" s="145" t="n">
        <v>0</v>
      </c>
      <c r="C11" s="145"/>
      <c r="D11" s="145"/>
      <c r="E11" s="145"/>
      <c r="F11" s="145"/>
      <c r="G11" s="146"/>
      <c r="H11" s="37" t="n">
        <f aca="false">(H9+H10)*20%</f>
        <v>8655.63268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 t="n">
        <v>0</v>
      </c>
      <c r="C13" s="145"/>
      <c r="D13" s="145"/>
      <c r="E13" s="145" t="n">
        <v>585</v>
      </c>
      <c r="F13" s="145"/>
      <c r="G13" s="146"/>
      <c r="H13" s="354" t="n">
        <v>290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 t="n">
        <v>55</v>
      </c>
      <c r="F14" s="145"/>
      <c r="G14" s="146"/>
      <c r="H14" s="354" t="n">
        <v>55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53028.79608</v>
      </c>
      <c r="I15" s="7"/>
      <c r="J15" s="21" t="n">
        <f aca="false">H15</f>
        <v>53028.79608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 t="n">
        <v>120</v>
      </c>
      <c r="F16" s="145"/>
      <c r="G16" s="146"/>
      <c r="H16" s="354" t="n">
        <v>0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52989.996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/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53028.79608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33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49" t="s">
        <v>395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259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0.095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s">
        <v>394</v>
      </c>
      <c r="J36" s="48" t="s">
        <v>64</v>
      </c>
      <c r="K36" s="56" t="n">
        <f aca="false">K32-K34</f>
        <v>52028.79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13750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500.363636363636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500.363636363636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500.363636363636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236" t="s">
        <v>10</v>
      </c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33</v>
      </c>
      <c r="B53" s="78" t="n">
        <f aca="false">H45</f>
        <v>500.363636363636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32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52989.996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0.095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0.0725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57652.610597684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0.015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0.015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832.9319412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500.363636363636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52028.79</v>
      </c>
      <c r="C81" s="36"/>
      <c r="D81" s="36"/>
      <c r="E81" s="27"/>
      <c r="F81" s="29" t="s">
        <v>118</v>
      </c>
      <c r="G81" s="31" t="n">
        <f aca="false">B81</f>
        <v>52028.79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IF(A111="YES",D41,0)*1.2</f>
        <v>6000</v>
      </c>
      <c r="C82" s="36"/>
      <c r="D82" s="36"/>
      <c r="E82" s="27"/>
      <c r="F82" s="35" t="s">
        <v>119</v>
      </c>
      <c r="G82" s="37" t="n">
        <f aca="false">IF(A111="YES",D41,0)*1.2</f>
        <v>6000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0.145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0.0120833333333333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32</v>
      </c>
      <c r="C85" s="36"/>
      <c r="D85" s="36"/>
      <c r="E85" s="27"/>
      <c r="F85" s="35" t="s">
        <v>122</v>
      </c>
      <c r="G85" s="37" t="n">
        <f aca="false">IF(G82=0,(B59+B58),(B59))</f>
        <v>32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4036.58626654823</v>
      </c>
      <c r="C86" s="36" t="n">
        <f aca="false">(B82/((1+B84)^(B85+1)))</f>
        <v>4036.58626654823</v>
      </c>
      <c r="D86" s="36"/>
      <c r="E86" s="27"/>
      <c r="F86" s="35" t="s">
        <v>123</v>
      </c>
      <c r="G86" s="37" t="n">
        <f aca="false">(G82/((1+G84)^(G85+1)))</f>
        <v>4625.28577473023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26.4088043595077</v>
      </c>
      <c r="C87" s="36" t="n">
        <f aca="false">((1-(1/((1+B84)^B85)))/B84)</f>
        <v>26.4088043595077</v>
      </c>
      <c r="D87" s="36"/>
      <c r="E87" s="27"/>
      <c r="F87" s="35" t="s">
        <v>124</v>
      </c>
      <c r="G87" s="37" t="n">
        <f aca="false">((1-(1/((1+G84)^G85)))/G84)</f>
        <v>28.1704711484875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47992.2037334518</v>
      </c>
      <c r="C88" s="36" t="n">
        <f aca="false">B81-B86</f>
        <v>47992.2037334518</v>
      </c>
      <c r="D88" s="36"/>
      <c r="E88" s="27"/>
      <c r="F88" s="35" t="s">
        <v>125</v>
      </c>
      <c r="G88" s="37" t="n">
        <f aca="false">G81-G86</f>
        <v>47403.5042252698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1817.28044481399</v>
      </c>
      <c r="C89" s="36" t="n">
        <f aca="false">(B88/B87)</f>
        <v>1817.28044481399</v>
      </c>
      <c r="D89" s="36"/>
      <c r="E89" s="27"/>
      <c r="F89" s="35" t="s">
        <v>126</v>
      </c>
      <c r="G89" s="37" t="n">
        <f aca="false">(G88/G87)</f>
        <v>1682.73735910927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58152.9742340476</v>
      </c>
      <c r="C90" s="36"/>
      <c r="D90" s="36"/>
      <c r="E90" s="27"/>
      <c r="F90" s="35" t="s">
        <v>127</v>
      </c>
      <c r="G90" s="37" t="n">
        <f aca="false">((G89*(G85))+G77)</f>
        <v>53847.5954914967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58152.9742340476</v>
      </c>
      <c r="C92" s="36"/>
      <c r="D92" s="36"/>
      <c r="E92" s="27"/>
      <c r="F92" s="60" t="s">
        <v>129</v>
      </c>
      <c r="G92" s="69" t="n">
        <f aca="false">(G90+G91)</f>
        <v>53847.5954914967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IF(B38="YES",((H36/B85)*(1+A108)*1.2),"0")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1817.28044481399</v>
      </c>
      <c r="C95" s="36"/>
      <c r="D95" s="36"/>
      <c r="E95" s="27"/>
      <c r="F95" s="97" t="s">
        <v>131</v>
      </c>
      <c r="G95" s="98" t="n">
        <f aca="false">G92/(G85)</f>
        <v>1682.73735910927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1817.28044481399</v>
      </c>
      <c r="C96" s="36"/>
      <c r="D96" s="36"/>
      <c r="E96" s="27"/>
      <c r="F96" s="99" t="s">
        <v>132</v>
      </c>
      <c r="G96" s="100" t="n">
        <f aca="false">G94+G95</f>
        <v>1682.73735910927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135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31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12</v>
      </c>
      <c r="C108" s="109"/>
      <c r="D108" s="109" t="n">
        <v>0</v>
      </c>
      <c r="E108" s="110" t="n">
        <f aca="false">B83</f>
        <v>0.145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B3</f>
        <v>44008.33</v>
      </c>
      <c r="C121" s="44" t="n">
        <f aca="false">B121</f>
        <v>44008.33</v>
      </c>
      <c r="D121" s="29" t="n">
        <f aca="false">D3</f>
        <v>0</v>
      </c>
      <c r="E121" s="44" t="n">
        <f aca="false">D121</f>
        <v>0</v>
      </c>
      <c r="F121" s="29" t="n">
        <f aca="false">F3</f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f aca="false">B4</f>
        <v>2</v>
      </c>
      <c r="C122" s="123" t="n">
        <f aca="false">B122</f>
        <v>2</v>
      </c>
      <c r="D122" s="122" t="n">
        <f aca="false">D4</f>
        <v>0</v>
      </c>
      <c r="E122" s="123" t="n">
        <f aca="false">D122</f>
        <v>0</v>
      </c>
      <c r="F122" s="122" t="n">
        <f aca="false">F4</f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f aca="false">B5</f>
        <v>0</v>
      </c>
      <c r="C123" s="44" t="n">
        <f aca="false">B123</f>
        <v>0</v>
      </c>
      <c r="D123" s="35" t="n">
        <f aca="false">D5</f>
        <v>0</v>
      </c>
      <c r="E123" s="44" t="n">
        <f aca="false">D123</f>
        <v>0</v>
      </c>
      <c r="F123" s="35" t="n">
        <f aca="false">F5</f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88016.66</v>
      </c>
      <c r="C124" s="31" t="n">
        <f aca="false">(C121*C122/100)+C123</f>
        <v>880.1666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-44008.33</v>
      </c>
      <c r="C125" s="69" t="n">
        <f aca="false">C121-C124</f>
        <v>43128.1634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H9</f>
        <v>43128.1634</v>
      </c>
      <c r="H135" s="144" t="n">
        <f aca="false">C125+E125+G125+H128</f>
        <v>43128.1634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150</v>
      </c>
      <c r="H136" s="37" t="n">
        <f aca="false">G136</f>
        <v>150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146" t="n">
        <f aca="false">H11</f>
        <v>8655.63268</v>
      </c>
      <c r="H137" s="37" t="n">
        <f aca="false">(H135+H136)*20%</f>
        <v>8655.63268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1040</v>
      </c>
      <c r="H139" s="37" t="n">
        <f aca="false">G139</f>
        <v>1040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55</v>
      </c>
      <c r="H140" s="37" t="n">
        <f aca="false">G140</f>
        <v>55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8" t="n">
        <f aca="false">H15</f>
        <v>53028.79608</v>
      </c>
      <c r="H141" s="147" t="n">
        <f aca="false">(H135+H136+H139+H140+H137)-H138</f>
        <v>53028.79608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53028.79608</v>
      </c>
      <c r="H147" s="154" t="n">
        <f aca="false">H141-((H144*1.2)+(H145*1.2)+(H146*1.2)+(H142*1.2))</f>
        <v>53028.79608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0</v>
      </c>
      <c r="I148" s="6" t="n">
        <f aca="false">(H148-G81)/1.2</f>
        <v>-43357.325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55528.79608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165" t="n">
        <f aca="false">B95</f>
        <v>1817.28044481399</v>
      </c>
      <c r="B167" s="166" t="str">
        <f aca="false">B94</f>
        <v>0</v>
      </c>
      <c r="C167" s="164"/>
      <c r="D167" s="164"/>
      <c r="E167" s="166" t="n">
        <f aca="false">B96</f>
        <v>1817.28044481399</v>
      </c>
      <c r="F167" s="27"/>
      <c r="G167" s="27" t="n">
        <f aca="false">ROUND(G95,2)</f>
        <v>1682.74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n">
        <f aca="false">B29</f>
        <v>12345</v>
      </c>
      <c r="B170" s="168" t="n">
        <f aca="false">B30</f>
        <v>0</v>
      </c>
      <c r="C170" s="169"/>
      <c r="D170" s="27"/>
      <c r="E170" s="170" t="n">
        <f aca="false">B82</f>
        <v>7200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43278.1634</v>
      </c>
      <c r="B173" s="42" t="n">
        <f aca="false">H137</f>
        <v>8655.63268</v>
      </c>
      <c r="C173" s="47"/>
      <c r="D173" s="27"/>
      <c r="E173" s="170" t="n">
        <f aca="false">H139+H140</f>
        <v>1095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H141</f>
        <v>53028.79608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55528.79608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8624.17815404761</v>
      </c>
      <c r="B182" s="42" t="n">
        <f aca="false">B114</f>
        <v>239.99</v>
      </c>
      <c r="C182" s="42"/>
      <c r="D182" s="27"/>
      <c r="E182" s="42" t="n">
        <f aca="false">E179+A182+B182+A185</f>
        <v>64417.9642340476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A179+B182</f>
        <v>239.99</v>
      </c>
      <c r="C185" s="42"/>
      <c r="D185" s="27"/>
      <c r="E185" s="42" t="n">
        <f aca="false">IF( E170=0, A185+E167, E170+A185)</f>
        <v>6025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J18*0.000002*100*1.2</f>
        <v>12.71759904</v>
      </c>
      <c r="B188" s="42" t="n">
        <f aca="false">(G158*B67)</f>
        <v>832.9319412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B188+E188+A191-H156</f>
        <v>-1647.0680588</v>
      </c>
      <c r="C191" s="36"/>
      <c r="D191" s="36"/>
      <c r="E191" s="42" t="n">
        <f aca="false">H148</f>
        <v>0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33</v>
      </c>
      <c r="B197" s="78" t="n">
        <f aca="false">B96</f>
        <v>1817.28044481399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4318.88391999999</v>
      </c>
      <c r="B201" s="47" t="n">
        <f aca="false">E179+A201+B182+A185</f>
        <v>60112.67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str">
        <f aca="false">A197</f>
        <v>33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1817.28044481399</v>
      </c>
      <c r="B212" s="166" t="str">
        <f aca="false">B167</f>
        <v>0</v>
      </c>
      <c r="C212" s="164"/>
      <c r="D212" s="164"/>
      <c r="E212" s="166" t="n">
        <f aca="false">E167</f>
        <v>1817.28044481399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43278.1634</v>
      </c>
      <c r="B215" s="42" t="n">
        <f aca="false">B173</f>
        <v>8655.63268</v>
      </c>
      <c r="C215" s="47"/>
      <c r="D215" s="27"/>
      <c r="E215" s="170" t="n">
        <f aca="false">E173</f>
        <v>1095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53028.79608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55528.79608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8624.17815404761</v>
      </c>
      <c r="B224" s="42" t="n">
        <f aca="false">B182</f>
        <v>239.99</v>
      </c>
      <c r="C224" s="42"/>
      <c r="D224" s="27"/>
      <c r="E224" s="42" t="n">
        <f aca="false">E182</f>
        <v>64417.9642340476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239.99</v>
      </c>
      <c r="C227" s="42"/>
      <c r="D227" s="27"/>
      <c r="E227" s="42" t="n">
        <f aca="false">B59</f>
        <v>32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1817.28044481399</v>
      </c>
      <c r="B230" s="42" t="str">
        <f aca="false">B167</f>
        <v>0</v>
      </c>
      <c r="C230" s="47"/>
      <c r="D230" s="47"/>
      <c r="E230" s="42" t="n">
        <f aca="false">E167</f>
        <v>1817.28044481399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6000</v>
      </c>
      <c r="B233" s="42" t="n">
        <f aca="false">E185</f>
        <v>6025</v>
      </c>
      <c r="C233" s="36"/>
      <c r="D233" s="36"/>
      <c r="E233" s="42" t="n">
        <f aca="false">J18*0.000006*100*1.2</f>
        <v>38.15279712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A188</f>
        <v>12.71759904</v>
      </c>
      <c r="B236" s="42" t="n">
        <f aca="false">E233+A236</f>
        <v>50.87039616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0</v>
      </c>
      <c r="B240" s="42" t="n">
        <f aca="false">B188</f>
        <v>832.9319412</v>
      </c>
      <c r="C240" s="36"/>
      <c r="D240" s="36"/>
      <c r="E240" s="42" t="n">
        <f aca="false">IF(E105="YES",(H36*A108)*0.1,0)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B191</f>
        <v>-1647.0680588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0.095</v>
      </c>
      <c r="C253" s="182"/>
      <c r="D253" s="183" t="s">
        <v>227</v>
      </c>
      <c r="E253" s="183"/>
      <c r="F253" s="181" t="n">
        <f aca="false">B83</f>
        <v>0.145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4330.29423404762</v>
      </c>
      <c r="C254" s="182"/>
      <c r="D254" s="183" t="s">
        <v>229</v>
      </c>
      <c r="E254" s="183"/>
      <c r="F254" s="185" t="n">
        <f aca="false">F261+F267+F269+B270+B271</f>
        <v>832.9319412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3517.36229284761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0.145</v>
      </c>
      <c r="C260" s="47"/>
      <c r="D260" s="156" t="s">
        <v>228</v>
      </c>
      <c r="E260" s="156"/>
      <c r="F260" s="135" t="n">
        <f aca="false">B254</f>
        <v>4330.29423404762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0.015</v>
      </c>
      <c r="C261" s="36"/>
      <c r="D261" s="156" t="s">
        <v>234</v>
      </c>
      <c r="E261" s="156"/>
      <c r="F261" s="142" t="n">
        <f aca="false">B68</f>
        <v>832.9319412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3517.36229284761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98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true" sqref="A18:A20 B105 C108:D108 A144:A146" type="list">
      <formula1>#ref!</formula1>
      <formula2>0</formula2>
    </dataValidation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43" colorId="64" zoomScale="100" zoomScaleNormal="100" zoomScalePageLayoutView="100" workbookViewId="0">
      <selection pane="topLeft" activeCell="F261" activeCellId="0" sqref="F261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20945</v>
      </c>
      <c r="C3" s="398" t="n">
        <v>0</v>
      </c>
      <c r="D3" s="398" t="n">
        <v>0</v>
      </c>
      <c r="E3" s="398"/>
      <c r="F3" s="398" t="n">
        <v>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123" t="n">
        <v>0</v>
      </c>
      <c r="C4" s="123" t="n">
        <v>0</v>
      </c>
      <c r="D4" s="123" t="n">
        <v>0</v>
      </c>
      <c r="E4" s="123"/>
      <c r="F4" s="123" t="n">
        <v>0</v>
      </c>
      <c r="G4" s="123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0</v>
      </c>
      <c r="C5" s="398" t="n">
        <v>0</v>
      </c>
      <c r="D5" s="398" t="n">
        <v>0</v>
      </c>
      <c r="E5" s="398"/>
      <c r="F5" s="398" t="n">
        <v>0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880.1666</v>
      </c>
      <c r="C6" s="209" t="n">
        <f aca="false">(C3*C4/100)+C5</f>
        <v>0</v>
      </c>
      <c r="D6" s="209" t="n">
        <f aca="false">(D3*D4/100)+D5</f>
        <v>0</v>
      </c>
      <c r="E6" s="209"/>
      <c r="F6" s="209" t="n">
        <f aca="false">(F3*F4/100)+F5</f>
        <v>0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43128.1634</v>
      </c>
      <c r="C7" s="209" t="n">
        <f aca="false">C3-C6</f>
        <v>0</v>
      </c>
      <c r="D7" s="209" t="n">
        <f aca="false">D3-D6</f>
        <v>0</v>
      </c>
      <c r="E7" s="209"/>
      <c r="F7" s="209" t="n">
        <f aca="false">F3-F6</f>
        <v>0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1095</v>
      </c>
    </row>
    <row r="9" customFormat="false" ht="19.7" hidden="false" customHeight="false" outlineLevel="0" collapsed="false">
      <c r="A9" s="143" t="s">
        <v>173</v>
      </c>
      <c r="B9" s="143"/>
      <c r="C9" s="143"/>
      <c r="D9" s="143"/>
      <c r="E9" s="143" t="n">
        <f aca="false">(B7+C7+D7+E3)</f>
        <v>43128.1634</v>
      </c>
      <c r="F9" s="143"/>
      <c r="G9" s="129"/>
      <c r="H9" s="355" t="n">
        <f aca="false">B7+D7+F7+H3</f>
        <v>43128.1634</v>
      </c>
      <c r="I9" s="7"/>
      <c r="J9" s="7"/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 t="n">
        <v>50</v>
      </c>
      <c r="F10" s="145"/>
      <c r="G10" s="146"/>
      <c r="H10" s="354" t="n">
        <v>995</v>
      </c>
      <c r="I10" s="7"/>
      <c r="J10" s="7"/>
      <c r="L10" s="20" t="s">
        <v>15</v>
      </c>
      <c r="M10" s="14" t="n">
        <f aca="false">H15-H11-M8</f>
        <v>43278.1634</v>
      </c>
    </row>
    <row r="11" customFormat="false" ht="18.75" hidden="false" customHeight="false" outlineLevel="0" collapsed="false">
      <c r="A11" s="145" t="s">
        <v>175</v>
      </c>
      <c r="B11" s="145"/>
      <c r="C11" s="145"/>
      <c r="D11" s="145"/>
      <c r="E11" s="145"/>
      <c r="F11" s="145"/>
      <c r="G11" s="146"/>
      <c r="H11" s="37" t="n">
        <f aca="false">(H9+H10)*20%</f>
        <v>8655.63268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/>
      <c r="C13" s="145"/>
      <c r="D13" s="145"/>
      <c r="E13" s="145" t="n">
        <v>585</v>
      </c>
      <c r="F13" s="145"/>
      <c r="G13" s="146"/>
      <c r="H13" s="354" t="n">
        <v>290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 t="n">
        <v>55</v>
      </c>
      <c r="F14" s="145"/>
      <c r="G14" s="146"/>
      <c r="H14" s="354" t="n">
        <v>55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53028.79608</v>
      </c>
      <c r="I15" s="7"/>
      <c r="J15" s="21" t="n">
        <f aca="false">H15</f>
        <v>53028.79608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 t="n">
        <v>120</v>
      </c>
      <c r="F16" s="145"/>
      <c r="G16" s="146"/>
      <c r="H16" s="354" t="n">
        <v>0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52989.996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/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53028.79608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33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49" t="s">
        <v>395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259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0.065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n">
        <v>0</v>
      </c>
      <c r="J36" s="48" t="s">
        <v>64</v>
      </c>
      <c r="K36" s="56" t="n">
        <f aca="false">K32-K34</f>
        <v>52028.79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13750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500.363636363636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500.363636363636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500.363636363636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199"/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33</v>
      </c>
      <c r="B53" s="78" t="n">
        <f aca="false">H45</f>
        <v>500.363636363636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32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52989.996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0.065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55053.7710722225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0.015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0.015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832.9319412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500.363636363636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52028.79</v>
      </c>
      <c r="C81" s="36"/>
      <c r="D81" s="36"/>
      <c r="E81" s="27"/>
      <c r="F81" s="29" t="s">
        <v>118</v>
      </c>
      <c r="G81" s="31" t="n">
        <f aca="false">B81</f>
        <v>52028.79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IF(A111="YES",D41,0)*1.2</f>
        <v>6000</v>
      </c>
      <c r="C82" s="36"/>
      <c r="D82" s="36"/>
      <c r="E82" s="27"/>
      <c r="F82" s="35" t="s">
        <v>119</v>
      </c>
      <c r="G82" s="37" t="n">
        <f aca="false">IF(A111="YES",D41,0)*1.2</f>
        <v>6000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0.115</v>
      </c>
      <c r="C83" s="36"/>
      <c r="D83" s="36"/>
      <c r="E83" s="27"/>
      <c r="F83" s="35" t="s">
        <v>120</v>
      </c>
      <c r="G83" s="95" t="n">
        <f aca="false">B63</f>
        <v>0.065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0.00958333333333333</v>
      </c>
      <c r="C84" s="36"/>
      <c r="D84" s="36"/>
      <c r="E84" s="27"/>
      <c r="F84" s="35" t="s">
        <v>121</v>
      </c>
      <c r="G84" s="88" t="n">
        <f aca="false">G83/12</f>
        <v>0.00541666666666667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32</v>
      </c>
      <c r="C85" s="36"/>
      <c r="D85" s="36"/>
      <c r="E85" s="27"/>
      <c r="F85" s="35" t="s">
        <v>122</v>
      </c>
      <c r="G85" s="37" t="n">
        <f aca="false">IF(G82=0,(B59+B58),(B59))</f>
        <v>32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4379.8532592462</v>
      </c>
      <c r="C86" s="36" t="n">
        <f aca="false">(B82/((1+B84)^(B85+1)))</f>
        <v>4379.8532592462</v>
      </c>
      <c r="D86" s="36"/>
      <c r="E86" s="27"/>
      <c r="F86" s="35" t="s">
        <v>123</v>
      </c>
      <c r="G86" s="37" t="n">
        <f aca="false">(G82/((1+G84)^(G85+1)))</f>
        <v>5020.31079273804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27.4464895133802</v>
      </c>
      <c r="C87" s="36" t="n">
        <f aca="false">((1-(1/((1+B84)^B85)))/B84)</f>
        <v>27.4464895133802</v>
      </c>
      <c r="D87" s="36"/>
      <c r="E87" s="27"/>
      <c r="F87" s="35" t="s">
        <v>124</v>
      </c>
      <c r="G87" s="37" t="n">
        <f aca="false">((1-(1/((1+G84)^G85)))/G84)</f>
        <v>29.3075648349115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47648.9367407538</v>
      </c>
      <c r="C88" s="36" t="n">
        <f aca="false">B81-B86</f>
        <v>47648.9367407538</v>
      </c>
      <c r="D88" s="36"/>
      <c r="E88" s="27"/>
      <c r="F88" s="35" t="s">
        <v>125</v>
      </c>
      <c r="G88" s="37" t="n">
        <f aca="false">G81-G86</f>
        <v>47008.479207262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1736.06670964332</v>
      </c>
      <c r="C89" s="36" t="n">
        <f aca="false">(B88/B87)</f>
        <v>1736.06670964332</v>
      </c>
      <c r="D89" s="36"/>
      <c r="E89" s="27"/>
      <c r="F89" s="35" t="s">
        <v>126</v>
      </c>
      <c r="G89" s="37" t="n">
        <f aca="false">(G88/G87)</f>
        <v>1603.97083388057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55554.1347085862</v>
      </c>
      <c r="C90" s="36"/>
      <c r="D90" s="36"/>
      <c r="E90" s="27"/>
      <c r="F90" s="35" t="s">
        <v>127</v>
      </c>
      <c r="G90" s="37" t="n">
        <f aca="false">((G89*(G85))+G77)</f>
        <v>51327.0666841783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55554.1347085862</v>
      </c>
      <c r="C92" s="36"/>
      <c r="D92" s="36"/>
      <c r="E92" s="27"/>
      <c r="F92" s="60" t="s">
        <v>129</v>
      </c>
      <c r="G92" s="69" t="n">
        <f aca="false">(G90+G91)</f>
        <v>51327.0666841783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1736.06670964332</v>
      </c>
      <c r="C95" s="36"/>
      <c r="D95" s="36"/>
      <c r="E95" s="27"/>
      <c r="F95" s="97" t="s">
        <v>131</v>
      </c>
      <c r="G95" s="98" t="n">
        <f aca="false">G92/(G85)</f>
        <v>1603.97083388057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1736.06670964332</v>
      </c>
      <c r="C96" s="36"/>
      <c r="D96" s="36"/>
      <c r="E96" s="27"/>
      <c r="F96" s="99" t="s">
        <v>132</v>
      </c>
      <c r="G96" s="100" t="n">
        <f aca="false">G94+G95</f>
        <v>1603.97083388057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135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32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12</v>
      </c>
      <c r="C108" s="109"/>
      <c r="D108" s="109"/>
      <c r="E108" s="110" t="n">
        <f aca="false">B83</f>
        <v>0.115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199.991666666667</v>
      </c>
      <c r="C114" s="109"/>
      <c r="D114" s="109"/>
      <c r="E114" s="109" t="s">
        <v>31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 t="s">
        <v>31</v>
      </c>
      <c r="B120" s="117" t="n">
        <v>0</v>
      </c>
      <c r="C120" s="118" t="s">
        <v>160</v>
      </c>
      <c r="D120" s="117" t="s">
        <v>159</v>
      </c>
      <c r="E120" s="119" t="n">
        <v>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B3</f>
        <v>44008.33</v>
      </c>
      <c r="C121" s="44" t="n">
        <f aca="false">B121</f>
        <v>44008.33</v>
      </c>
      <c r="D121" s="29" t="n">
        <f aca="false">D3</f>
        <v>0</v>
      </c>
      <c r="E121" s="44" t="n">
        <f aca="false">D121</f>
        <v>0</v>
      </c>
      <c r="F121" s="29" t="n">
        <f aca="false">F3</f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f aca="false">B4</f>
        <v>2</v>
      </c>
      <c r="C122" s="123" t="n">
        <f aca="false">B122</f>
        <v>2</v>
      </c>
      <c r="D122" s="122" t="n">
        <f aca="false">D4</f>
        <v>0</v>
      </c>
      <c r="E122" s="123" t="n">
        <f aca="false">D122</f>
        <v>0</v>
      </c>
      <c r="F122" s="122" t="n">
        <f aca="false">F4</f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f aca="false">B5</f>
        <v>0</v>
      </c>
      <c r="C123" s="44" t="n">
        <f aca="false">B123</f>
        <v>0</v>
      </c>
      <c r="D123" s="35" t="n">
        <f aca="false">D5</f>
        <v>0</v>
      </c>
      <c r="E123" s="44" t="n">
        <f aca="false">D123</f>
        <v>0</v>
      </c>
      <c r="F123" s="35" t="n">
        <f aca="false">F5</f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88016.66</v>
      </c>
      <c r="C124" s="31" t="n">
        <f aca="false">(C121*C122/100)+C123</f>
        <v>880.1666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-44008.33</v>
      </c>
      <c r="C125" s="69" t="n">
        <f aca="false">C121-C124</f>
        <v>43128.1634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H9</f>
        <v>43128.1634</v>
      </c>
      <c r="H135" s="144" t="n">
        <f aca="false">C125+E125+G125+H128</f>
        <v>43128.1634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150</v>
      </c>
      <c r="H136" s="37" t="n">
        <f aca="false">G136</f>
        <v>150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146" t="n">
        <f aca="false">H11</f>
        <v>8655.63268</v>
      </c>
      <c r="H137" s="37" t="n">
        <f aca="false">(H135+H136)*20%</f>
        <v>8655.63268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1040</v>
      </c>
      <c r="H139" s="37" t="n">
        <f aca="false">G139</f>
        <v>1040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55</v>
      </c>
      <c r="H140" s="37" t="n">
        <f aca="false">G140</f>
        <v>55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8" t="n">
        <f aca="false">H15</f>
        <v>53028.79608</v>
      </c>
      <c r="H141" s="147" t="n">
        <f aca="false">(H135+H136+H139+H140+H137)-H138</f>
        <v>53028.79608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53028.79608</v>
      </c>
      <c r="H147" s="154" t="n">
        <f aca="false">H141-((H144*1.2)+(H145*1.2)+(H146*1.2)+(H142*1.2))</f>
        <v>53028.79608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0</v>
      </c>
      <c r="I148" s="6" t="n">
        <f aca="false">(H148-G81)/1.2</f>
        <v>-43357.325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55528.79608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 t="n">
        <v>0</v>
      </c>
      <c r="F161" s="27"/>
      <c r="G161" s="27" t="n">
        <v>0</v>
      </c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 t="n">
        <v>0</v>
      </c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165" t="n">
        <f aca="false">B95</f>
        <v>1736.06670964332</v>
      </c>
      <c r="B167" s="166" t="str">
        <f aca="false">B94</f>
        <v>0</v>
      </c>
      <c r="C167" s="164"/>
      <c r="D167" s="164"/>
      <c r="E167" s="166" t="n">
        <f aca="false">B96</f>
        <v>1736.06670964332</v>
      </c>
      <c r="F167" s="27"/>
      <c r="G167" s="27" t="n">
        <f aca="false">ROUND(G95,2)</f>
        <v>1603.97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str">
        <f aca="false">H29</f>
        <v>33</v>
      </c>
      <c r="B170" s="168" t="str">
        <f aca="false">H30</f>
        <v>5000</v>
      </c>
      <c r="C170" s="169"/>
      <c r="D170" s="27"/>
      <c r="E170" s="170" t="n">
        <f aca="false">B82</f>
        <v>7200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43278.1634</v>
      </c>
      <c r="B173" s="42" t="n">
        <f aca="false">H137</f>
        <v>8655.63268</v>
      </c>
      <c r="C173" s="47"/>
      <c r="D173" s="27"/>
      <c r="E173" s="170" t="n">
        <f aca="false">H139+H140</f>
        <v>1095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H141</f>
        <v>53028.79608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55528.79608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6025.33862858614</v>
      </c>
      <c r="B182" s="42" t="n">
        <f aca="false">B114</f>
        <v>199.991666666667</v>
      </c>
      <c r="C182" s="42"/>
      <c r="D182" s="27"/>
      <c r="E182" s="42" t="n">
        <f aca="false">E179+A182+(B182*1.2)+A185</f>
        <v>61819.1247085862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A179+B182*1.2</f>
        <v>239.99</v>
      </c>
      <c r="C185" s="42"/>
      <c r="D185" s="27"/>
      <c r="E185" s="42" t="n">
        <f aca="false">IF( E170=0, A185+E167, E170+A185)</f>
        <v>6025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</f>
        <v>10.5979992</v>
      </c>
      <c r="B188" s="42" t="n">
        <f aca="false">(G158*B67)</f>
        <v>832.9319412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B188+E188+A191-H156</f>
        <v>-1647.0680588</v>
      </c>
      <c r="C191" s="36"/>
      <c r="D191" s="36"/>
      <c r="E191" s="42" t="n">
        <f aca="false">H148</f>
        <v>0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33</v>
      </c>
      <c r="B197" s="78" t="n">
        <f aca="false">B96</f>
        <v>1736.06670964332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1798.24391999999</v>
      </c>
      <c r="B201" s="47" t="n">
        <f aca="false">E179+A201+(B182*1.2)+A185</f>
        <v>57592.03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str">
        <f aca="false">A197</f>
        <v>33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1736.06670964332</v>
      </c>
      <c r="B212" s="166" t="str">
        <f aca="false">B167</f>
        <v>0</v>
      </c>
      <c r="C212" s="164"/>
      <c r="D212" s="164"/>
      <c r="E212" s="166" t="n">
        <f aca="false">E167</f>
        <v>1736.06670964332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43278.1634</v>
      </c>
      <c r="B215" s="42" t="n">
        <f aca="false">B173</f>
        <v>8655.63268</v>
      </c>
      <c r="C215" s="47"/>
      <c r="D215" s="27"/>
      <c r="E215" s="170" t="n">
        <f aca="false">E173</f>
        <v>1095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53028.79608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55528.79608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6025.33862858614</v>
      </c>
      <c r="B224" s="42" t="n">
        <f aca="false">B182</f>
        <v>199.991666666667</v>
      </c>
      <c r="C224" s="42"/>
      <c r="D224" s="27"/>
      <c r="E224" s="42" t="n">
        <f aca="false">E182</f>
        <v>61819.1247085862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239.99</v>
      </c>
      <c r="C227" s="42"/>
      <c r="D227" s="27"/>
      <c r="E227" s="42" t="n">
        <f aca="false">B59</f>
        <v>32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1736.06670964332</v>
      </c>
      <c r="B230" s="42" t="str">
        <f aca="false">B167</f>
        <v>0</v>
      </c>
      <c r="C230" s="47"/>
      <c r="D230" s="47"/>
      <c r="E230" s="42" t="n">
        <f aca="false">E167</f>
        <v>1736.06670964332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6000</v>
      </c>
      <c r="B233" s="42" t="n">
        <f aca="false">E185</f>
        <v>6025</v>
      </c>
      <c r="C233" s="36"/>
      <c r="D233" s="36"/>
      <c r="E233" s="42" t="n">
        <f aca="false">J18*0.000006*100</f>
        <v>31.7939976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A188</f>
        <v>10.5979992</v>
      </c>
      <c r="B236" s="42" t="n">
        <f aca="false">E233+A236</f>
        <v>42.3919968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0</v>
      </c>
      <c r="B240" s="42" t="n">
        <f aca="false">B188</f>
        <v>832.9319412</v>
      </c>
      <c r="C240" s="36"/>
      <c r="D240" s="36"/>
      <c r="E240" s="42" t="n">
        <f aca="false">IF(E105="YES",(H36*A108)*0.1,0)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B191</f>
        <v>-1647.0680588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0.065</v>
      </c>
      <c r="C253" s="182"/>
      <c r="D253" s="183" t="s">
        <v>227</v>
      </c>
      <c r="E253" s="183"/>
      <c r="F253" s="181" t="n">
        <f aca="false">B83</f>
        <v>0.115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5" t="n">
        <f aca="false">(E182-B182)-(B201-B182-A185)</f>
        <v>4252.09470858615</v>
      </c>
      <c r="C254" s="182"/>
      <c r="D254" s="183" t="s">
        <v>229</v>
      </c>
      <c r="E254" s="183"/>
      <c r="F254" s="185" t="n">
        <f aca="false">F261+F267+F269+B270+B271</f>
        <v>832.9319412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3439.16276738615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0.065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0.115</v>
      </c>
      <c r="C260" s="47"/>
      <c r="D260" s="156" t="s">
        <v>228</v>
      </c>
      <c r="E260" s="156"/>
      <c r="F260" s="135" t="n">
        <f aca="false">B254</f>
        <v>4252.09470858615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0.015</v>
      </c>
      <c r="C261" s="36"/>
      <c r="D261" s="156" t="s">
        <v>234</v>
      </c>
      <c r="E261" s="156"/>
      <c r="F261" s="142" t="n">
        <f aca="false">B68</f>
        <v>832.9319412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3439.16276738615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98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A18:A20 B105 C108:D108 A144:A146" type="list">
      <formula1>#ref!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170" colorId="64" zoomScale="100" zoomScaleNormal="100" zoomScalePageLayoutView="100" workbookViewId="0">
      <selection pane="topLeft" activeCell="B189" activeCellId="0" sqref="B189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20945</v>
      </c>
      <c r="C3" s="398" t="n">
        <v>0</v>
      </c>
      <c r="D3" s="398" t="n">
        <v>0</v>
      </c>
      <c r="E3" s="398"/>
      <c r="F3" s="398" t="n">
        <v>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123" t="n">
        <v>0</v>
      </c>
      <c r="C4" s="123" t="n">
        <v>0</v>
      </c>
      <c r="D4" s="123" t="n">
        <v>0</v>
      </c>
      <c r="E4" s="123"/>
      <c r="F4" s="123" t="n">
        <v>0</v>
      </c>
      <c r="G4" s="123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0</v>
      </c>
      <c r="C5" s="398" t="n">
        <v>0</v>
      </c>
      <c r="D5" s="398" t="n">
        <v>0</v>
      </c>
      <c r="E5" s="398"/>
      <c r="F5" s="398" t="n">
        <v>0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880.1666</v>
      </c>
      <c r="C6" s="209" t="n">
        <f aca="false">(C3*C4/100)+C5</f>
        <v>0</v>
      </c>
      <c r="D6" s="209" t="n">
        <f aca="false">(D3*D4/100)+D5</f>
        <v>0</v>
      </c>
      <c r="E6" s="209"/>
      <c r="F6" s="209" t="n">
        <f aca="false">(F3*F4/100)+F5</f>
        <v>0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43128.1634</v>
      </c>
      <c r="C7" s="209" t="n">
        <f aca="false">C3-C6</f>
        <v>0</v>
      </c>
      <c r="D7" s="209" t="n">
        <f aca="false">D3-D6</f>
        <v>0</v>
      </c>
      <c r="E7" s="209"/>
      <c r="F7" s="209" t="n">
        <f aca="false">F3-F6</f>
        <v>0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1095</v>
      </c>
    </row>
    <row r="9" customFormat="false" ht="19.7" hidden="false" customHeight="false" outlineLevel="0" collapsed="false">
      <c r="A9" s="143" t="s">
        <v>173</v>
      </c>
      <c r="B9" s="143"/>
      <c r="C9" s="143"/>
      <c r="D9" s="143"/>
      <c r="E9" s="143" t="n">
        <f aca="false">(B7+C7+D7+E3)</f>
        <v>43128.1634</v>
      </c>
      <c r="F9" s="143"/>
      <c r="G9" s="129"/>
      <c r="H9" s="355" t="n">
        <f aca="false">B7+D7+F7+H3</f>
        <v>43128.1634</v>
      </c>
      <c r="I9" s="7"/>
      <c r="J9" s="7"/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 t="n">
        <v>50</v>
      </c>
      <c r="F10" s="145"/>
      <c r="G10" s="146"/>
      <c r="H10" s="354" t="n">
        <v>995</v>
      </c>
      <c r="I10" s="7"/>
      <c r="J10" s="7"/>
      <c r="L10" s="20" t="s">
        <v>15</v>
      </c>
      <c r="M10" s="14" t="n">
        <f aca="false">H15-H11-M8</f>
        <v>43278.1634</v>
      </c>
    </row>
    <row r="11" customFormat="false" ht="18.75" hidden="false" customHeight="false" outlineLevel="0" collapsed="false">
      <c r="A11" s="145" t="s">
        <v>175</v>
      </c>
      <c r="B11" s="145"/>
      <c r="C11" s="145"/>
      <c r="D11" s="145"/>
      <c r="E11" s="145"/>
      <c r="F11" s="145"/>
      <c r="G11" s="146"/>
      <c r="H11" s="37" t="n">
        <f aca="false">(H9+H10)*20%</f>
        <v>8655.63268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/>
      <c r="C13" s="145"/>
      <c r="D13" s="145"/>
      <c r="E13" s="145" t="n">
        <v>585</v>
      </c>
      <c r="F13" s="145"/>
      <c r="G13" s="146"/>
      <c r="H13" s="354" t="n">
        <v>290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 t="n">
        <v>55</v>
      </c>
      <c r="F14" s="145"/>
      <c r="G14" s="146"/>
      <c r="H14" s="354" t="n">
        <v>55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53028.79608</v>
      </c>
      <c r="I15" s="7"/>
      <c r="J15" s="21" t="n">
        <f aca="false">H15</f>
        <v>53028.79608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 t="n">
        <v>120</v>
      </c>
      <c r="F16" s="145"/>
      <c r="G16" s="146"/>
      <c r="H16" s="354" t="n">
        <v>0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52989.996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/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53028.79608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33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49" t="s">
        <v>395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259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0.095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s">
        <v>394</v>
      </c>
      <c r="J36" s="48" t="s">
        <v>64</v>
      </c>
      <c r="K36" s="56" t="n">
        <f aca="false">K32-K34</f>
        <v>52028.79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13750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500.363636363636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500.363636363636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500.363636363636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199"/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33</v>
      </c>
      <c r="B53" s="78" t="n">
        <f aca="false">H45</f>
        <v>500.363636363636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32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52989.996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0.095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0.0725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57652.610597684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0.015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0.0075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408.9659706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500.363636363636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52028.79</v>
      </c>
      <c r="C81" s="36"/>
      <c r="D81" s="36"/>
      <c r="E81" s="27"/>
      <c r="F81" s="29" t="s">
        <v>118</v>
      </c>
      <c r="G81" s="31" t="n">
        <f aca="false">B81</f>
        <v>52028.79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IF(A111="YES",D41,0)*1.2</f>
        <v>6000</v>
      </c>
      <c r="C82" s="36"/>
      <c r="D82" s="36"/>
      <c r="E82" s="27"/>
      <c r="F82" s="35" t="s">
        <v>119</v>
      </c>
      <c r="G82" s="37" t="n">
        <f aca="false">IF(A111="YES",D41,0)*1.2</f>
        <v>6000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0.145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0.0120833333333333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32</v>
      </c>
      <c r="C85" s="36"/>
      <c r="D85" s="36"/>
      <c r="E85" s="27"/>
      <c r="F85" s="35" t="s">
        <v>122</v>
      </c>
      <c r="G85" s="37" t="n">
        <f aca="false">IF(G82=0,(B59+B58),(B59))</f>
        <v>32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4036.58626654823</v>
      </c>
      <c r="C86" s="36" t="n">
        <f aca="false">(B82/((1+B84)^(B85+1)))</f>
        <v>4036.58626654823</v>
      </c>
      <c r="D86" s="36"/>
      <c r="E86" s="27"/>
      <c r="F86" s="35" t="s">
        <v>123</v>
      </c>
      <c r="G86" s="37" t="n">
        <f aca="false">(G82/((1+G84)^(G85+1)))</f>
        <v>4625.28577473023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26.4088043595077</v>
      </c>
      <c r="C87" s="36" t="n">
        <f aca="false">((1-(1/((1+B84)^B85)))/B84)</f>
        <v>26.4088043595077</v>
      </c>
      <c r="D87" s="36"/>
      <c r="E87" s="27"/>
      <c r="F87" s="35" t="s">
        <v>124</v>
      </c>
      <c r="G87" s="37" t="n">
        <f aca="false">((1-(1/((1+G84)^G85)))/G84)</f>
        <v>28.1704711484875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47992.2037334518</v>
      </c>
      <c r="C88" s="36" t="n">
        <f aca="false">B81-B86</f>
        <v>47992.2037334518</v>
      </c>
      <c r="D88" s="36"/>
      <c r="E88" s="27"/>
      <c r="F88" s="35" t="s">
        <v>125</v>
      </c>
      <c r="G88" s="37" t="n">
        <f aca="false">G81-G86</f>
        <v>47403.5042252698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1817.28044481399</v>
      </c>
      <c r="C89" s="36" t="n">
        <f aca="false">(B88/B87)</f>
        <v>1817.28044481399</v>
      </c>
      <c r="D89" s="36"/>
      <c r="E89" s="27"/>
      <c r="F89" s="35" t="s">
        <v>126</v>
      </c>
      <c r="G89" s="37" t="n">
        <f aca="false">(G88/G87)</f>
        <v>1682.73735910927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58152.9742340476</v>
      </c>
      <c r="C90" s="36"/>
      <c r="D90" s="36"/>
      <c r="E90" s="27"/>
      <c r="F90" s="35" t="s">
        <v>127</v>
      </c>
      <c r="G90" s="37" t="n">
        <f aca="false">((G89*(G85))+G77)</f>
        <v>53847.5954914967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58152.9742340476</v>
      </c>
      <c r="C92" s="36"/>
      <c r="D92" s="36"/>
      <c r="E92" s="27"/>
      <c r="F92" s="60" t="s">
        <v>129</v>
      </c>
      <c r="G92" s="69" t="n">
        <f aca="false">(G90+G91)</f>
        <v>53847.5954914967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IF(B38="YES",((H36/B85)*(1+A108)*1.2),"0")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1817.28044481399</v>
      </c>
      <c r="C95" s="36"/>
      <c r="D95" s="36"/>
      <c r="E95" s="27"/>
      <c r="F95" s="97" t="s">
        <v>131</v>
      </c>
      <c r="G95" s="98" t="n">
        <f aca="false">G92/(G85)</f>
        <v>1682.73735910927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1817.28044481399</v>
      </c>
      <c r="C96" s="36"/>
      <c r="D96" s="36"/>
      <c r="E96" s="27"/>
      <c r="F96" s="99" t="s">
        <v>132</v>
      </c>
      <c r="G96" s="100" t="n">
        <f aca="false">G94+G95</f>
        <v>1682.73735910927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281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31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12</v>
      </c>
      <c r="C108" s="109"/>
      <c r="D108" s="109"/>
      <c r="E108" s="110" t="n">
        <f aca="false">B83</f>
        <v>0.145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B3</f>
        <v>44008.33</v>
      </c>
      <c r="C121" s="44" t="n">
        <f aca="false">B121</f>
        <v>44008.33</v>
      </c>
      <c r="D121" s="29" t="n">
        <f aca="false">D3</f>
        <v>0</v>
      </c>
      <c r="E121" s="44" t="n">
        <f aca="false">D121</f>
        <v>0</v>
      </c>
      <c r="F121" s="29" t="n">
        <f aca="false">F3</f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f aca="false">B4</f>
        <v>2</v>
      </c>
      <c r="C122" s="123" t="n">
        <f aca="false">B122</f>
        <v>2</v>
      </c>
      <c r="D122" s="122" t="n">
        <f aca="false">D4</f>
        <v>0</v>
      </c>
      <c r="E122" s="123" t="n">
        <f aca="false">D122</f>
        <v>0</v>
      </c>
      <c r="F122" s="122" t="n">
        <f aca="false">F4</f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f aca="false">B5</f>
        <v>0</v>
      </c>
      <c r="C123" s="44" t="n">
        <f aca="false">B123</f>
        <v>0</v>
      </c>
      <c r="D123" s="35" t="n">
        <f aca="false">D5</f>
        <v>0</v>
      </c>
      <c r="E123" s="44" t="n">
        <f aca="false">D123</f>
        <v>0</v>
      </c>
      <c r="F123" s="35" t="n">
        <f aca="false">F5</f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88016.66</v>
      </c>
      <c r="C124" s="31" t="n">
        <f aca="false">(C121*C122/100)+C123</f>
        <v>880.1666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-44008.33</v>
      </c>
      <c r="C125" s="69" t="n">
        <f aca="false">C121-C124</f>
        <v>43128.1634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H9</f>
        <v>43128.1634</v>
      </c>
      <c r="H135" s="144" t="n">
        <f aca="false">C125+E125+G125+H128</f>
        <v>43128.1634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150</v>
      </c>
      <c r="H136" s="37" t="n">
        <f aca="false">G136</f>
        <v>150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146" t="n">
        <f aca="false">H11</f>
        <v>8655.63268</v>
      </c>
      <c r="H137" s="37" t="n">
        <f aca="false">(H135+H136)*20%</f>
        <v>8655.63268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1040</v>
      </c>
      <c r="H139" s="37" t="n">
        <f aca="false">G139</f>
        <v>1040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55</v>
      </c>
      <c r="H140" s="37" t="n">
        <f aca="false">G140</f>
        <v>55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8" t="n">
        <f aca="false">H15</f>
        <v>53028.79608</v>
      </c>
      <c r="H141" s="147" t="n">
        <f aca="false">(H135+H136+H139+H140+H137)-H138</f>
        <v>53028.79608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53028.79608</v>
      </c>
      <c r="H147" s="154" t="n">
        <f aca="false">H141-((H144*1.2)+(H145*1.2)+(H146*1.2)+(H142*1.2))</f>
        <v>53028.79608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0</v>
      </c>
      <c r="I148" s="6" t="n">
        <f aca="false">(H148-G81)/1.2</f>
        <v>-43357.325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54528.79608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241" t="n">
        <f aca="false">B95</f>
        <v>1817.28044481399</v>
      </c>
      <c r="B167" s="166" t="str">
        <f aca="false">B94</f>
        <v>0</v>
      </c>
      <c r="C167" s="164"/>
      <c r="D167" s="164"/>
      <c r="E167" s="166" t="n">
        <f aca="false">B96</f>
        <v>1817.28044481399</v>
      </c>
      <c r="F167" s="27"/>
      <c r="G167" s="27" t="n">
        <f aca="false">ROUND(G95,2)</f>
        <v>1682.74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str">
        <f aca="false">H29</f>
        <v>33</v>
      </c>
      <c r="B170" s="214" t="str">
        <f aca="false">H30</f>
        <v>5000</v>
      </c>
      <c r="C170" s="169"/>
      <c r="D170" s="27"/>
      <c r="E170" s="170" t="n">
        <v>7200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43278.1634</v>
      </c>
      <c r="B173" s="42" t="n">
        <f aca="false">H137</f>
        <v>8655.63268</v>
      </c>
      <c r="C173" s="47"/>
      <c r="D173" s="27"/>
      <c r="E173" s="170" t="n">
        <f aca="false">H139+H140</f>
        <v>1095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H147</f>
        <v>53028.79608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54528.79608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(A167*B59)+E185-E179-A185</f>
        <v>9624.17815404761</v>
      </c>
      <c r="B182" s="42" t="n">
        <f aca="false">B114</f>
        <v>239.99</v>
      </c>
      <c r="C182" s="42"/>
      <c r="D182" s="27"/>
      <c r="E182" s="42" t="n">
        <f aca="false">E179+A182+B182+A185</f>
        <v>64417.9642340476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A179+B182</f>
        <v>239.99</v>
      </c>
      <c r="C185" s="42"/>
      <c r="D185" s="27"/>
      <c r="E185" s="42" t="n">
        <f aca="false">IF( E170=0, A185+E167, E170+A185)</f>
        <v>6025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J18*0.000002*100*1.2</f>
        <v>12.71759904</v>
      </c>
      <c r="B188" s="42" t="n">
        <f aca="false">(G158*B67)</f>
        <v>408.9659706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B188+E188+A191-H156</f>
        <v>-1071.0340294</v>
      </c>
      <c r="C191" s="36"/>
      <c r="D191" s="36"/>
      <c r="E191" s="42" t="n">
        <f aca="false">H148</f>
        <v>0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33</v>
      </c>
      <c r="B197" s="78" t="n">
        <f aca="false">B96</f>
        <v>1817.28044481399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5318.88391999999</v>
      </c>
      <c r="B201" s="47" t="n">
        <f aca="false">E179+A201+B182+A185</f>
        <v>60112.67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str">
        <f aca="false">A197</f>
        <v>33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1817.28044481399</v>
      </c>
      <c r="B212" s="166" t="str">
        <f aca="false">B167</f>
        <v>0</v>
      </c>
      <c r="C212" s="164"/>
      <c r="D212" s="164"/>
      <c r="E212" s="166" t="n">
        <f aca="false">E167</f>
        <v>1817.28044481399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43278.1634</v>
      </c>
      <c r="B215" s="42" t="n">
        <f aca="false">B173</f>
        <v>8655.63268</v>
      </c>
      <c r="C215" s="47"/>
      <c r="D215" s="27"/>
      <c r="E215" s="170" t="n">
        <f aca="false">E173</f>
        <v>1095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53028.79608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54528.79608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9624.17815404761</v>
      </c>
      <c r="B224" s="42" t="n">
        <f aca="false">B182</f>
        <v>239.99</v>
      </c>
      <c r="C224" s="42"/>
      <c r="D224" s="27"/>
      <c r="E224" s="42" t="n">
        <f aca="false">E182</f>
        <v>64417.9642340476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239.99</v>
      </c>
      <c r="C227" s="42"/>
      <c r="D227" s="27"/>
      <c r="E227" s="42" t="n">
        <f aca="false">B59</f>
        <v>32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1817.28044481399</v>
      </c>
      <c r="B230" s="42" t="str">
        <f aca="false">B167</f>
        <v>0</v>
      </c>
      <c r="C230" s="47"/>
      <c r="D230" s="47"/>
      <c r="E230" s="42" t="n">
        <f aca="false">E167</f>
        <v>1817.28044481399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6000</v>
      </c>
      <c r="B233" s="42" t="n">
        <f aca="false">E185</f>
        <v>6025</v>
      </c>
      <c r="C233" s="36"/>
      <c r="D233" s="36"/>
      <c r="E233" s="42" t="n">
        <f aca="false">A188</f>
        <v>12.71759904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0</v>
      </c>
      <c r="B240" s="42" t="n">
        <f aca="false">B188</f>
        <v>408.9659706</v>
      </c>
      <c r="C240" s="36"/>
      <c r="D240" s="36"/>
      <c r="E240" s="42" t="n">
        <f aca="false">E188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B191</f>
        <v>-1071.0340294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0.095</v>
      </c>
      <c r="C253" s="182"/>
      <c r="D253" s="183" t="s">
        <v>227</v>
      </c>
      <c r="E253" s="183"/>
      <c r="F253" s="181" t="n">
        <f aca="false">B83</f>
        <v>0.145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4330.29423404762</v>
      </c>
      <c r="C254" s="182"/>
      <c r="D254" s="183" t="s">
        <v>229</v>
      </c>
      <c r="E254" s="183"/>
      <c r="F254" s="185" t="n">
        <f aca="false">F261+F267+F269+B270+B271</f>
        <v>408.9659706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3941.32826344761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0.145</v>
      </c>
      <c r="C260" s="47"/>
      <c r="D260" s="156" t="s">
        <v>228</v>
      </c>
      <c r="E260" s="156"/>
      <c r="F260" s="135" t="n">
        <f aca="false">B254</f>
        <v>4330.29423404762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0.0075</v>
      </c>
      <c r="C261" s="36"/>
      <c r="D261" s="156" t="s">
        <v>234</v>
      </c>
      <c r="E261" s="156"/>
      <c r="F261" s="142" t="n">
        <f aca="false">B68</f>
        <v>408.9659706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3941.32826344761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98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true" sqref="A18:A20 B105 C108:D108 A144:A146" type="list">
      <formula1>#ref!</formula1>
      <formula2>0</formula2>
    </dataValidation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17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20945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43128.1634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995</v>
      </c>
      <c r="F10" s="67"/>
      <c r="G10" s="67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8655.63268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290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53028.79608</v>
      </c>
      <c r="F15" s="67"/>
      <c r="G15" s="21" t="n">
        <f aca="false">E15</f>
        <v>53028.79608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6.11</v>
      </c>
      <c r="E32" s="211"/>
      <c r="F32" s="67"/>
      <c r="G32" s="212" t="s">
        <v>254</v>
      </c>
      <c r="H32" s="210" t="str">
        <f aca="false">A41</f>
        <v>6.11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506.11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92</v>
      </c>
      <c r="B41" s="224" t="n">
        <f aca="false">IF(B38="YES",D38+A41,D38)</f>
        <v>506.11</v>
      </c>
      <c r="C41" s="224"/>
      <c r="D41" s="228" t="n">
        <v>6000</v>
      </c>
      <c r="E41" s="228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str">
        <f aca="false">H32</f>
        <v>6.11</v>
      </c>
      <c r="I44" s="336" t="n">
        <f aca="false">((A41*(B35-1))+D32)/B35</f>
        <v>6.11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507.11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507.11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/>
      <c r="B66" s="199"/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52989.996</v>
      </c>
      <c r="C67" s="199"/>
      <c r="D67" s="199"/>
      <c r="E67" s="200"/>
      <c r="F67" s="67"/>
      <c r="G67" s="198" t="s">
        <v>27</v>
      </c>
      <c r="H67" s="36" t="n">
        <f aca="false">G18</f>
        <v>52989.996</v>
      </c>
      <c r="I67" s="199"/>
      <c r="J67" s="199"/>
      <c r="K67" s="200"/>
      <c r="L67" s="67"/>
      <c r="M67" s="198" t="s">
        <v>27</v>
      </c>
      <c r="N67" s="36" t="n">
        <f aca="false">G18</f>
        <v>52989.996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3709.29972</v>
      </c>
      <c r="C70" s="199" t="n">
        <v>10000</v>
      </c>
      <c r="D70" s="36" t="n">
        <f aca="false">B70-A149</f>
        <v>3709.29972</v>
      </c>
      <c r="E70" s="200" t="n">
        <f aca="false">D70/12</f>
        <v>309.10831</v>
      </c>
      <c r="F70" s="67"/>
      <c r="G70" s="262" t="s">
        <v>103</v>
      </c>
      <c r="H70" s="69" t="n">
        <f aca="false">H67*H69</f>
        <v>3709.29972</v>
      </c>
      <c r="I70" s="199"/>
      <c r="J70" s="36" t="n">
        <f aca="false">H70-G151</f>
        <v>3709.29972</v>
      </c>
      <c r="K70" s="200"/>
      <c r="L70" s="67"/>
      <c r="M70" s="262" t="s">
        <v>103</v>
      </c>
      <c r="N70" s="69" t="n">
        <f aca="false">N67*N69</f>
        <v>3709.29972</v>
      </c>
      <c r="O70" s="199"/>
      <c r="P70" s="36" t="n">
        <f aca="false">N70-M151</f>
        <v>3709.29972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264.94998</v>
      </c>
      <c r="I73" s="199"/>
      <c r="J73" s="36"/>
      <c r="K73" s="200"/>
      <c r="L73" s="67"/>
      <c r="M73" s="262" t="s">
        <v>106</v>
      </c>
      <c r="N73" s="69" t="n">
        <f aca="false">N67*N72</f>
        <v>264.94998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339" t="s">
        <v>289</v>
      </c>
      <c r="B80" s="340" t="n">
        <v>0</v>
      </c>
      <c r="C80" s="199"/>
      <c r="D80" s="199"/>
      <c r="E80" s="333" t="n">
        <f aca="false">E79+D82</f>
        <v>614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341" t="s">
        <v>290</v>
      </c>
      <c r="B81" s="342" t="n">
        <v>0</v>
      </c>
      <c r="C81" s="199"/>
      <c r="D81" s="199"/>
      <c r="E81" s="200" t="n">
        <f aca="false">E80/12</f>
        <v>51.1666666666667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0</v>
      </c>
      <c r="C82" s="199"/>
      <c r="D82" s="36" t="n">
        <f aca="false">IF(A50="YES",0,B82)</f>
        <v>0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5029.18207294118</v>
      </c>
      <c r="C87" s="199"/>
      <c r="D87" s="199"/>
      <c r="E87" s="200"/>
      <c r="F87" s="67"/>
      <c r="G87" s="276" t="s">
        <v>115</v>
      </c>
      <c r="H87" s="277" t="n">
        <f aca="false">SUM(J70:J86)</f>
        <v>6862.88305333333</v>
      </c>
      <c r="I87" s="199"/>
      <c r="J87" s="199"/>
      <c r="K87" s="200"/>
      <c r="L87" s="67"/>
      <c r="M87" s="276" t="s">
        <v>115</v>
      </c>
      <c r="N87" s="277" t="n">
        <f aca="false">SUM(P70:P86)</f>
        <v>6823.29972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419.098506078431</v>
      </c>
      <c r="C88" s="199"/>
      <c r="D88" s="199"/>
      <c r="E88" s="200"/>
      <c r="F88" s="67"/>
      <c r="G88" s="198" t="s">
        <v>116</v>
      </c>
      <c r="H88" s="37" t="n">
        <f aca="false">H87/H29</f>
        <v>571.906921111111</v>
      </c>
      <c r="I88" s="199"/>
      <c r="J88" s="199"/>
      <c r="K88" s="200"/>
      <c r="L88" s="67"/>
      <c r="M88" s="198" t="s">
        <v>116</v>
      </c>
      <c r="N88" s="37" t="n">
        <f aca="false">N87/H29</f>
        <v>568.60831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11041.1820729412</v>
      </c>
      <c r="C91" s="199"/>
      <c r="D91" s="199"/>
      <c r="E91" s="200"/>
      <c r="F91" s="67"/>
      <c r="G91" s="265" t="s">
        <v>127</v>
      </c>
      <c r="H91" s="31" t="n">
        <f aca="false">((H89*H29)+H87)*1.2</f>
        <v>15449.859664</v>
      </c>
      <c r="I91" s="199"/>
      <c r="J91" s="199"/>
      <c r="K91" s="200"/>
      <c r="L91" s="67"/>
      <c r="M91" s="265" t="s">
        <v>127</v>
      </c>
      <c r="N91" s="31" t="n">
        <f aca="false">((N89*H29)+N87)</f>
        <v>12835.29972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96.0587016811173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109.065165034288</v>
      </c>
      <c r="I92" s="199"/>
      <c r="J92" s="199"/>
      <c r="K92" s="200"/>
      <c r="L92" s="67"/>
      <c r="M92" s="198" t="s">
        <v>128</v>
      </c>
      <c r="N92" s="37" t="n">
        <f aca="false">(N91/(1-N76))*N76</f>
        <v>108.729848374345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11137.2407746223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17558.9248290343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14944.0295683743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7.943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928.103397885191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936.046397885191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 t="s">
        <v>141</v>
      </c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352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n">
        <v>199.99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 t="s">
        <v>31</v>
      </c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32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 t="n">
        <v>0</v>
      </c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928.103397885191</v>
      </c>
      <c r="B134" s="290" t="n">
        <f aca="false">IF(A111="YES",B95,0)</f>
        <v>7.943</v>
      </c>
      <c r="C134" s="295"/>
      <c r="D134" s="290" t="n">
        <f aca="false">B97</f>
        <v>936.046397885191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928.103397885191</v>
      </c>
      <c r="C137" s="199"/>
      <c r="D137" s="42" t="n">
        <f aca="false">IF(A111="YES",B95*B63,0)</f>
        <v>7.943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936.046397885191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0.31817277648</v>
      </c>
      <c r="H142" s="42" t="n">
        <f aca="false">IF(G111="YES",E15*0.000002,0)</f>
        <v>0.10605759216</v>
      </c>
      <c r="I142" s="42"/>
      <c r="J142" s="42" t="n">
        <f aca="false">G142+H142</f>
        <v>0.42423036864</v>
      </c>
      <c r="K142" s="107"/>
      <c r="L142" s="67"/>
      <c r="M142" s="113" t="n">
        <f aca="false">E15*0.000006</f>
        <v>0.31817277648</v>
      </c>
      <c r="N142" s="42" t="n">
        <f aca="false">IF(M111="YES",E15*0.000002,0)</f>
        <v>0.10605759216</v>
      </c>
      <c r="O142" s="42"/>
      <c r="P142" s="42" t="n">
        <f aca="false">M142+N142</f>
        <v>0.42423036864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928.103397885191</v>
      </c>
      <c r="B143" s="42" t="n">
        <f aca="false">IF(A111="YES",B95,0)</f>
        <v>7.943</v>
      </c>
      <c r="C143" s="199"/>
      <c r="D143" s="42" t="n">
        <f aca="false">B97</f>
        <v>936.046397885191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220.79165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220.79165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31.7939976</v>
      </c>
      <c r="B146" s="309" t="n">
        <f aca="false">G18*0.000002*100</f>
        <v>10.5979992</v>
      </c>
      <c r="C146" s="310"/>
      <c r="D146" s="309" t="n">
        <f aca="false">A146+B146</f>
        <v>42.3919968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1.4664</v>
      </c>
      <c r="H148" s="42" t="n">
        <f aca="false">G108-100</f>
        <v>139.988</v>
      </c>
      <c r="I148" s="42"/>
      <c r="J148" s="42" t="n">
        <f aca="false">(H145+J145+G148+H148)-H151</f>
        <v>1442.24605</v>
      </c>
      <c r="K148" s="107"/>
      <c r="L148" s="67"/>
      <c r="M148" s="113" t="n">
        <f aca="false">IF(M111="YES",((A41*N111)*0.1)*(M133),0)</f>
        <v>1.4664</v>
      </c>
      <c r="N148" s="42" t="n">
        <f aca="false">M108-100</f>
        <v>99.99</v>
      </c>
      <c r="O148" s="42"/>
      <c r="P148" s="42" t="n">
        <f aca="false">(N145+P145+M148+N148)-N151</f>
        <v>1402.24805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2.1996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702.1996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936.046397885191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928.103397885191</v>
      </c>
      <c r="B177" s="290" t="n">
        <f aca="false">IF(A111="YES",B95,0)</f>
        <v>7.943</v>
      </c>
      <c r="C177" s="295"/>
      <c r="D177" s="290" t="n">
        <f aca="false">B91</f>
        <v>11041.1820729412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928.103397885191</v>
      </c>
      <c r="C180" s="199"/>
      <c r="D180" s="42" t="n">
        <f aca="false">IF(A111="YES",B95*B63,0)</f>
        <v>7.943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936.046397885191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928.103397885191</v>
      </c>
      <c r="B186" s="42" t="n">
        <f aca="false">IF(A111="YES",B95,0)</f>
        <v>7.943</v>
      </c>
      <c r="C186" s="199"/>
      <c r="D186" s="42" t="n">
        <f aca="false">B97</f>
        <v>936.046397885191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31.7939976</v>
      </c>
      <c r="B189" s="309" t="n">
        <f aca="false">G18*0.000002*100</f>
        <v>10.5979992</v>
      </c>
      <c r="C189" s="310"/>
      <c r="D189" s="309" t="n">
        <f aca="false">A189+B189</f>
        <v>42.3919968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2.1996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702.1996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3709.29972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531.996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3991.29572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3709.29972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3991.29572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21.996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96.0587016811173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3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5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A18:A20" type="list">
      <formula1>$Y$16:$Y$18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65 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20945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43128.1634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995</v>
      </c>
      <c r="F10" s="67"/>
      <c r="G10" s="67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8655.63268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290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53028.79608</v>
      </c>
      <c r="F15" s="67"/>
      <c r="G15" s="21" t="n">
        <f aca="false">E15</f>
        <v>53028.79608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6.11</v>
      </c>
      <c r="E32" s="211"/>
      <c r="F32" s="67"/>
      <c r="G32" s="212" t="s">
        <v>254</v>
      </c>
      <c r="H32" s="210" t="str">
        <f aca="false">A41</f>
        <v>6.11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506.11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0</v>
      </c>
      <c r="B41" s="224" t="n">
        <f aca="false">IF(B38="YES",D38+A41,D38)</f>
        <v>506.11</v>
      </c>
      <c r="C41" s="224"/>
      <c r="D41" s="228" t="n">
        <v>6000</v>
      </c>
      <c r="E41" s="228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str">
        <f aca="false">H32</f>
        <v>6.11</v>
      </c>
      <c r="I44" s="336" t="n">
        <f aca="false">((A41*(B35-1))+D32)/B35</f>
        <v>6.11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507.11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507.11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/>
      <c r="B66" s="199"/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52989.996</v>
      </c>
      <c r="C67" s="199"/>
      <c r="D67" s="199"/>
      <c r="E67" s="200"/>
      <c r="F67" s="67"/>
      <c r="G67" s="198" t="s">
        <v>27</v>
      </c>
      <c r="H67" s="36" t="n">
        <f aca="false">G18</f>
        <v>52989.996</v>
      </c>
      <c r="I67" s="199"/>
      <c r="J67" s="199"/>
      <c r="K67" s="200"/>
      <c r="L67" s="67"/>
      <c r="M67" s="198" t="s">
        <v>27</v>
      </c>
      <c r="N67" s="36" t="n">
        <f aca="false">G18</f>
        <v>52989.996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3709.29972</v>
      </c>
      <c r="C70" s="199" t="n">
        <v>10000</v>
      </c>
      <c r="D70" s="36" t="n">
        <f aca="false">B70-A149</f>
        <v>3709.29972</v>
      </c>
      <c r="E70" s="200" t="n">
        <f aca="false">D70/12</f>
        <v>309.10831</v>
      </c>
      <c r="F70" s="67"/>
      <c r="G70" s="262" t="s">
        <v>103</v>
      </c>
      <c r="H70" s="69" t="n">
        <f aca="false">H67*H69</f>
        <v>3709.29972</v>
      </c>
      <c r="I70" s="199"/>
      <c r="J70" s="36" t="n">
        <f aca="false">H70-G151</f>
        <v>3709.29972</v>
      </c>
      <c r="K70" s="200"/>
      <c r="L70" s="67"/>
      <c r="M70" s="262" t="s">
        <v>103</v>
      </c>
      <c r="N70" s="69" t="n">
        <f aca="false">N67*N69</f>
        <v>3709.29972</v>
      </c>
      <c r="O70" s="199"/>
      <c r="P70" s="36" t="n">
        <f aca="false">N70-M151</f>
        <v>3709.29972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264.94998</v>
      </c>
      <c r="I73" s="199"/>
      <c r="J73" s="36"/>
      <c r="K73" s="200"/>
      <c r="L73" s="67"/>
      <c r="M73" s="262" t="s">
        <v>106</v>
      </c>
      <c r="N73" s="69" t="n">
        <f aca="false">N67*N72</f>
        <v>264.94998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659.833333333333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54.9861111111111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45.8333333333333</v>
      </c>
      <c r="C82" s="199"/>
      <c r="D82" s="36" t="n">
        <f aca="false">IF(A50="YES",0,B82)</f>
        <v>45.8333333333333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5075.01540627451</v>
      </c>
      <c r="C87" s="199"/>
      <c r="D87" s="199"/>
      <c r="E87" s="200"/>
      <c r="F87" s="67"/>
      <c r="G87" s="276" t="s">
        <v>115</v>
      </c>
      <c r="H87" s="277" t="n">
        <f aca="false">SUM(J70:J86)</f>
        <v>6862.88305333333</v>
      </c>
      <c r="I87" s="199"/>
      <c r="J87" s="199"/>
      <c r="K87" s="200"/>
      <c r="L87" s="67"/>
      <c r="M87" s="276" t="s">
        <v>115</v>
      </c>
      <c r="N87" s="277" t="n">
        <f aca="false">SUM(P70:P86)</f>
        <v>6823.29972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422.917950522876</v>
      </c>
      <c r="C88" s="199"/>
      <c r="D88" s="199"/>
      <c r="E88" s="200"/>
      <c r="F88" s="67"/>
      <c r="G88" s="198" t="s">
        <v>116</v>
      </c>
      <c r="H88" s="37" t="n">
        <f aca="false">H87/H29</f>
        <v>571.906921111111</v>
      </c>
      <c r="I88" s="199"/>
      <c r="J88" s="199"/>
      <c r="K88" s="200"/>
      <c r="L88" s="67"/>
      <c r="M88" s="198" t="s">
        <v>116</v>
      </c>
      <c r="N88" s="37" t="n">
        <f aca="false">N87/H29</f>
        <v>568.60831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((B89*H29)+B87)*1.2</f>
        <v>13304.4184875294</v>
      </c>
      <c r="C91" s="199"/>
      <c r="D91" s="199"/>
      <c r="E91" s="200"/>
      <c r="F91" s="67"/>
      <c r="G91" s="265" t="s">
        <v>127</v>
      </c>
      <c r="H91" s="31" t="n">
        <f aca="false">((H89*H29)+H87)*1.2</f>
        <v>15449.859664</v>
      </c>
      <c r="I91" s="199"/>
      <c r="J91" s="199"/>
      <c r="K91" s="200"/>
      <c r="L91" s="67"/>
      <c r="M91" s="265" t="s">
        <v>127</v>
      </c>
      <c r="N91" s="31" t="n">
        <f aca="false">((N89*H29)+N87)</f>
        <v>12835.29972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96.4574534148205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109.065165034288</v>
      </c>
      <c r="I92" s="199"/>
      <c r="J92" s="199"/>
      <c r="K92" s="200"/>
      <c r="L92" s="67"/>
      <c r="M92" s="198" t="s">
        <v>128</v>
      </c>
      <c r="N92" s="37" t="n">
        <f aca="false">(N91/(1-N76))*N76</f>
        <v>108.729848374345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13400.8759409442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17558.9248290343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14944.0295683743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IF(B105=Z104,(((H44*B35)+(H44*B35)*(B111/100))/(B64)),(((H44*B35)+(H44*B35)*(B111/100))/(B63+B64)))*1.2</f>
        <v>9.5316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1116.73966174535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1126.27126174535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 t="s">
        <v>141</v>
      </c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294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n">
        <v>239.99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 t="s">
        <v>31</v>
      </c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239.99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32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 t="n">
        <v>0</v>
      </c>
      <c r="C124" s="199"/>
      <c r="D124" s="199"/>
      <c r="E124" s="37" t="n">
        <f aca="false">A108</f>
        <v>239.99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1116.73966174535</v>
      </c>
      <c r="B134" s="290" t="n">
        <f aca="false">IF(A111="YES",B95,0)</f>
        <v>9.5316</v>
      </c>
      <c r="C134" s="295"/>
      <c r="D134" s="290" t="n">
        <f aca="false">B97</f>
        <v>1126.27126174535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1116.73966174535</v>
      </c>
      <c r="C137" s="199"/>
      <c r="D137" s="42" t="n">
        <f aca="false">IF(A111="YES",B95*B63,0)</f>
        <v>9.5316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1126.27126174535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0.31817277648</v>
      </c>
      <c r="H142" s="42" t="n">
        <f aca="false">IF(G111="YES",E15*0.000002,0)</f>
        <v>0.10605759216</v>
      </c>
      <c r="I142" s="42"/>
      <c r="J142" s="42" t="n">
        <f aca="false">G142+H142</f>
        <v>0.42423036864</v>
      </c>
      <c r="K142" s="107"/>
      <c r="L142" s="67"/>
      <c r="M142" s="113" t="n">
        <f aca="false">E15*0.000006</f>
        <v>0.31817277648</v>
      </c>
      <c r="N142" s="42" t="n">
        <f aca="false">IF(M111="YES",E15*0.000002,0)</f>
        <v>0.10605759216</v>
      </c>
      <c r="O142" s="42"/>
      <c r="P142" s="42" t="n">
        <f aca="false">M142+N142</f>
        <v>0.42423036864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1116.73966174535</v>
      </c>
      <c r="B143" s="42" t="n">
        <f aca="false">IF(A111="YES",B95,0)</f>
        <v>9.5316</v>
      </c>
      <c r="C143" s="199"/>
      <c r="D143" s="42" t="n">
        <f aca="false">B97</f>
        <v>1126.27126174535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220.79165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220.79165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(G18*0.000006)*1.2*100</f>
        <v>38.15279712</v>
      </c>
      <c r="B146" s="309" t="n">
        <f aca="false">G18*0.000002*1.2*100</f>
        <v>12.71759904</v>
      </c>
      <c r="C146" s="310"/>
      <c r="D146" s="309" t="n">
        <f aca="false">A146+B146</f>
        <v>50.87039616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1.4664</v>
      </c>
      <c r="H148" s="42" t="n">
        <f aca="false">G108-100</f>
        <v>139.988</v>
      </c>
      <c r="I148" s="42"/>
      <c r="J148" s="42" t="n">
        <f aca="false">(H145+J145+G148+H148)-H151</f>
        <v>1442.24605</v>
      </c>
      <c r="K148" s="107"/>
      <c r="L148" s="67"/>
      <c r="M148" s="113" t="n">
        <f aca="false">IF(M111="YES",((A41*N111)*0.1)*(M133),0)</f>
        <v>1.4664</v>
      </c>
      <c r="N148" s="42" t="n">
        <f aca="false">M108-100</f>
        <v>99.99</v>
      </c>
      <c r="O148" s="42"/>
      <c r="P148" s="42" t="n">
        <f aca="false">(N145+P145+M148+N148)-N151</f>
        <v>1402.24805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239.99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2.1996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702.1996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1126.27126174535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1116.73966174535</v>
      </c>
      <c r="B177" s="290" t="n">
        <f aca="false">IF(A111="YES",B95,0)</f>
        <v>9.5316</v>
      </c>
      <c r="C177" s="295"/>
      <c r="D177" s="290" t="n">
        <f aca="false">B91</f>
        <v>13304.4184875294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1116.73966174535</v>
      </c>
      <c r="C180" s="199"/>
      <c r="D180" s="42" t="n">
        <f aca="false">IF(A111="YES",B95*B63,0)</f>
        <v>9.5316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1126.27126174535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1116.73966174535</v>
      </c>
      <c r="B186" s="42" t="n">
        <f aca="false">IF(A111="YES",B95,0)</f>
        <v>9.5316</v>
      </c>
      <c r="C186" s="199"/>
      <c r="D186" s="42" t="n">
        <f aca="false">B97</f>
        <v>1126.27126174535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38.15279712</v>
      </c>
      <c r="B189" s="309" t="n">
        <f aca="false">G18*0.000002*1.2*100</f>
        <v>12.71759904</v>
      </c>
      <c r="C189" s="310"/>
      <c r="D189" s="309" t="n">
        <f aca="false">A189+B189</f>
        <v>50.87039616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239.99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2.1996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702.1996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3709.29972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531.996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3991.29572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3709.29972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3991.29572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21.996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96.4574534148205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370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3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5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A18:A20" type="list">
      <formula1>$Y$16:$Y$18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B223" activeCellId="0" sqref="B223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20945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 t="n">
        <v>23125</v>
      </c>
      <c r="C9" s="391"/>
      <c r="D9" s="391"/>
      <c r="E9" s="392" t="n">
        <f aca="false">B7+C7+D7+E3</f>
        <v>43128.1634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995</v>
      </c>
      <c r="F10" s="67"/>
      <c r="G10" s="67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 t="n">
        <v>0</v>
      </c>
      <c r="C11" s="393"/>
      <c r="D11" s="393"/>
      <c r="E11" s="37" t="n">
        <f aca="false">(E9+E10)*20%</f>
        <v>8655.63268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 t="n">
        <v>0</v>
      </c>
      <c r="C13" s="393"/>
      <c r="D13" s="393"/>
      <c r="E13" s="354" t="n">
        <v>290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53028.79608</v>
      </c>
      <c r="F15" s="67"/>
      <c r="G15" s="21" t="n">
        <f aca="false">E15</f>
        <v>53028.79608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92</v>
      </c>
      <c r="B41" s="224" t="str">
        <f aca="false">IF(B38="YES",D38+A41,D38)</f>
        <v>500</v>
      </c>
      <c r="C41" s="224"/>
      <c r="D41" s="228" t="n">
        <v>6000</v>
      </c>
      <c r="E41" s="228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I44" s="336" t="n">
        <f aca="false">((A41*(B35-1))+D32)/B35</f>
        <v>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501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9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3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/>
      <c r="B66" s="199"/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52989.996</v>
      </c>
      <c r="C67" s="199"/>
      <c r="D67" s="199"/>
      <c r="E67" s="200"/>
      <c r="F67" s="67"/>
      <c r="G67" s="198" t="s">
        <v>27</v>
      </c>
      <c r="H67" s="36" t="n">
        <f aca="false">G18</f>
        <v>52989.996</v>
      </c>
      <c r="I67" s="199"/>
      <c r="J67" s="199"/>
      <c r="K67" s="200"/>
      <c r="L67" s="67"/>
      <c r="M67" s="198" t="s">
        <v>27</v>
      </c>
      <c r="N67" s="36" t="n">
        <f aca="false">G18</f>
        <v>52989.996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3709.29972</v>
      </c>
      <c r="C70" s="199" t="n">
        <v>10000</v>
      </c>
      <c r="D70" s="36" t="n">
        <f aca="false">B70-A149</f>
        <v>3709.29972</v>
      </c>
      <c r="E70" s="200" t="n">
        <f aca="false">D70/12</f>
        <v>309.10831</v>
      </c>
      <c r="F70" s="67"/>
      <c r="G70" s="262" t="s">
        <v>103</v>
      </c>
      <c r="H70" s="69" t="n">
        <f aca="false">H67*H69</f>
        <v>3709.29972</v>
      </c>
      <c r="I70" s="199"/>
      <c r="J70" s="36" t="n">
        <f aca="false">H70-G151</f>
        <v>3709.29972</v>
      </c>
      <c r="K70" s="200"/>
      <c r="L70" s="67"/>
      <c r="M70" s="262" t="s">
        <v>103</v>
      </c>
      <c r="N70" s="69" t="n">
        <f aca="false">N67*N69</f>
        <v>3709.29972</v>
      </c>
      <c r="O70" s="199"/>
      <c r="P70" s="36" t="n">
        <f aca="false">N70-M151</f>
        <v>3709.29972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264.94998</v>
      </c>
      <c r="I73" s="199"/>
      <c r="J73" s="36"/>
      <c r="K73" s="200"/>
      <c r="L73" s="67"/>
      <c r="M73" s="262" t="s">
        <v>106</v>
      </c>
      <c r="N73" s="69" t="n">
        <f aca="false">N67*N72</f>
        <v>264.94998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659.833333333333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54.9861111111111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45.8333333333333</v>
      </c>
      <c r="C82" s="199"/>
      <c r="D82" s="36" t="n">
        <f aca="false">IF(A50="YES",0,B82)</f>
        <v>45.8333333333333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5075.01540627451</v>
      </c>
      <c r="C87" s="199"/>
      <c r="D87" s="199"/>
      <c r="E87" s="200"/>
      <c r="F87" s="67"/>
      <c r="G87" s="276" t="s">
        <v>115</v>
      </c>
      <c r="H87" s="277" t="n">
        <f aca="false">SUM(J70:J86)</f>
        <v>6862.88305333333</v>
      </c>
      <c r="I87" s="199"/>
      <c r="J87" s="199"/>
      <c r="K87" s="200"/>
      <c r="L87" s="67"/>
      <c r="M87" s="276" t="s">
        <v>115</v>
      </c>
      <c r="N87" s="277" t="n">
        <f aca="false">SUM(P70:P86)</f>
        <v>6823.29972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422.917950522876</v>
      </c>
      <c r="C88" s="199"/>
      <c r="D88" s="199"/>
      <c r="E88" s="200"/>
      <c r="F88" s="67"/>
      <c r="G88" s="198" t="s">
        <v>116</v>
      </c>
      <c r="H88" s="37" t="n">
        <f aca="false">H87/H29</f>
        <v>571.906921111111</v>
      </c>
      <c r="I88" s="199"/>
      <c r="J88" s="199"/>
      <c r="K88" s="200"/>
      <c r="L88" s="67"/>
      <c r="M88" s="198" t="s">
        <v>116</v>
      </c>
      <c r="N88" s="37" t="n">
        <f aca="false">N87/H29</f>
        <v>568.60831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11087.0154062745</v>
      </c>
      <c r="C91" s="199"/>
      <c r="D91" s="199"/>
      <c r="E91" s="200"/>
      <c r="F91" s="67"/>
      <c r="G91" s="265" t="s">
        <v>127</v>
      </c>
      <c r="H91" s="31" t="n">
        <f aca="false">((H89*H29)+H87)*1.2</f>
        <v>15449.859664</v>
      </c>
      <c r="I91" s="199"/>
      <c r="J91" s="199"/>
      <c r="K91" s="200"/>
      <c r="L91" s="67"/>
      <c r="M91" s="265" t="s">
        <v>127</v>
      </c>
      <c r="N91" s="31" t="n">
        <f aca="false">((N89*H29)+N87)</f>
        <v>12835.29972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96.4574534148205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109.065165034288</v>
      </c>
      <c r="I92" s="199"/>
      <c r="J92" s="199"/>
      <c r="K92" s="200"/>
      <c r="L92" s="67"/>
      <c r="M92" s="198" t="s">
        <v>128</v>
      </c>
      <c r="N92" s="37" t="n">
        <f aca="false">(N91/(1-N76))*N76</f>
        <v>108.729848374345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11183.4728596893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17558.9248290343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14944.0295683743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931.956071640777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931.956071640777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3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3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931.956071640777</v>
      </c>
      <c r="B134" s="290" t="n">
        <f aca="false">IF(A111="YES",B95,0)</f>
        <v>0</v>
      </c>
      <c r="C134" s="295"/>
      <c r="D134" s="290" t="n">
        <f aca="false">B97</f>
        <v>931.956071640777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Terminal pause with 9 down </v>
      </c>
      <c r="B137" s="42" t="n">
        <f aca="false">B96*B63</f>
        <v>8387.604644767</v>
      </c>
      <c r="C137" s="199"/>
      <c r="D137" s="42" t="n">
        <f aca="false">IF(A111="YES",B95*B63,0)</f>
        <v>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8387.604644767</v>
      </c>
      <c r="B140" s="42" t="n">
        <f aca="false">E120</f>
        <v>0</v>
      </c>
      <c r="C140" s="199"/>
      <c r="D140" s="303" t="n">
        <f aca="false">B64</f>
        <v>3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0.31817277648</v>
      </c>
      <c r="H142" s="42" t="n">
        <f aca="false">IF(G111="YES",E15*0.000002,0)</f>
        <v>0.10605759216</v>
      </c>
      <c r="I142" s="42"/>
      <c r="J142" s="42" t="n">
        <f aca="false">G142+H142</f>
        <v>0.42423036864</v>
      </c>
      <c r="K142" s="107"/>
      <c r="L142" s="67"/>
      <c r="M142" s="113" t="n">
        <f aca="false">E15*0.000006</f>
        <v>0.31817277648</v>
      </c>
      <c r="N142" s="42" t="n">
        <f aca="false">IF(M111="YES",E15*0.000002,0)</f>
        <v>0.10605759216</v>
      </c>
      <c r="O142" s="42"/>
      <c r="P142" s="42" t="n">
        <f aca="false">M142+N142</f>
        <v>0.42423036864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931.956071640777</v>
      </c>
      <c r="B143" s="42" t="n">
        <f aca="false">IF(A111="YES",B95,0)</f>
        <v>0</v>
      </c>
      <c r="C143" s="199"/>
      <c r="D143" s="42" t="n">
        <f aca="false">B97</f>
        <v>931.956071640777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220.79165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220.79165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31.7939976</v>
      </c>
      <c r="B146" s="309" t="n">
        <f aca="false">G18*0.000002*100</f>
        <v>10.5979992</v>
      </c>
      <c r="C146" s="310"/>
      <c r="D146" s="309" t="n">
        <f aca="false">A146+B146</f>
        <v>42.3919968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0</v>
      </c>
      <c r="H148" s="42" t="n">
        <f aca="false">G108-100</f>
        <v>139.988</v>
      </c>
      <c r="I148" s="42"/>
      <c r="J148" s="42" t="n">
        <f aca="false">(H145+J145+G148+H148)-H151</f>
        <v>1440.77965</v>
      </c>
      <c r="K148" s="107"/>
      <c r="L148" s="67"/>
      <c r="M148" s="113" t="n">
        <f aca="false">IF(M111="YES",((A41*N111)*0.1)*(M133),0)</f>
        <v>0</v>
      </c>
      <c r="N148" s="42" t="n">
        <f aca="false">M108-100</f>
        <v>99.99</v>
      </c>
      <c r="O148" s="42"/>
      <c r="P148" s="42" t="n">
        <f aca="false">(N145+P145+M148+N148)-N151</f>
        <v>1400.78165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0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700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931.956071640777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931.956071640777</v>
      </c>
      <c r="B177" s="290" t="n">
        <f aca="false">IF(A111="YES",B95,0)</f>
        <v>0</v>
      </c>
      <c r="C177" s="295"/>
      <c r="D177" s="290" t="n">
        <f aca="false">B91</f>
        <v>11087.0154062745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Terminal pause with 9 down </v>
      </c>
      <c r="B180" s="42" t="n">
        <f aca="false">B96*B63</f>
        <v>8387.604644767</v>
      </c>
      <c r="C180" s="199"/>
      <c r="D180" s="42" t="n">
        <f aca="false">IF(A111="YES",B95*B63,0)</f>
        <v>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8387.604644767</v>
      </c>
      <c r="B183" s="42" t="n">
        <f aca="false">E120</f>
        <v>0</v>
      </c>
      <c r="C183" s="199"/>
      <c r="D183" s="303" t="n">
        <f aca="false">B64</f>
        <v>3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931.956071640777</v>
      </c>
      <c r="B186" s="42" t="n">
        <f aca="false">IF(A111="YES",B95,0)</f>
        <v>0</v>
      </c>
      <c r="C186" s="199"/>
      <c r="D186" s="42" t="n">
        <f aca="false">B97</f>
        <v>931.956071640777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31.7939976</v>
      </c>
      <c r="B189" s="309" t="n">
        <f aca="false">G18*0.000002*100</f>
        <v>10.5979992</v>
      </c>
      <c r="C189" s="310"/>
      <c r="D189" s="309" t="n">
        <f aca="false">A189+B189</f>
        <v>42.3919968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0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700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3709.29972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510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3969.29972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3709.29972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3969.29972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96.4574534148205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370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3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5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A18:A20" type="list">
      <formula1>$Y$16:$Y$18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20945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43128.1634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995</v>
      </c>
      <c r="F10" s="67"/>
      <c r="G10" s="67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8655.63268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290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53028.79608</v>
      </c>
      <c r="F15" s="67"/>
      <c r="G15" s="21" t="n">
        <f aca="false">E15</f>
        <v>53028.79608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60</v>
      </c>
      <c r="E32" s="211"/>
      <c r="F32" s="67"/>
      <c r="G32" s="212" t="s">
        <v>254</v>
      </c>
      <c r="H32" s="210" t="str">
        <f aca="false">A41</f>
        <v>60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str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560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359</v>
      </c>
      <c r="B41" s="224" t="n">
        <f aca="false">IF(B38="YES",D38+A41,D38)</f>
        <v>560</v>
      </c>
      <c r="C41" s="224"/>
      <c r="D41" s="106" t="s">
        <v>344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106" t="s">
        <v>347</v>
      </c>
      <c r="C44" s="106"/>
      <c r="D44" s="106" t="s">
        <v>359</v>
      </c>
      <c r="E44" s="106"/>
      <c r="F44" s="67"/>
      <c r="G44" s="67" t="s">
        <v>267</v>
      </c>
      <c r="H44" s="7" t="str">
        <f aca="false">H32</f>
        <v>60</v>
      </c>
      <c r="I44" s="336" t="n">
        <f aca="false">((A41*(B35-1))+D32)/B35</f>
        <v>60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561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s">
        <v>360</v>
      </c>
      <c r="C47" s="350"/>
      <c r="D47" s="106" t="s">
        <v>360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561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 t="s">
        <v>349</v>
      </c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/>
      <c r="B66" s="199"/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52989.996</v>
      </c>
      <c r="C67" s="199"/>
      <c r="D67" s="199"/>
      <c r="E67" s="200"/>
      <c r="F67" s="67"/>
      <c r="G67" s="198" t="s">
        <v>27</v>
      </c>
      <c r="H67" s="36" t="n">
        <f aca="false">G18</f>
        <v>52989.996</v>
      </c>
      <c r="I67" s="199"/>
      <c r="J67" s="199"/>
      <c r="K67" s="200"/>
      <c r="L67" s="67"/>
      <c r="M67" s="198" t="s">
        <v>27</v>
      </c>
      <c r="N67" s="36" t="n">
        <f aca="false">G18</f>
        <v>52989.996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3709.29972</v>
      </c>
      <c r="C70" s="199" t="n">
        <v>10000</v>
      </c>
      <c r="D70" s="36" t="n">
        <f aca="false">B70-A149</f>
        <v>3709.29972</v>
      </c>
      <c r="E70" s="200" t="n">
        <f aca="false">D70/12</f>
        <v>309.10831</v>
      </c>
      <c r="F70" s="67"/>
      <c r="G70" s="262" t="s">
        <v>103</v>
      </c>
      <c r="H70" s="69" t="n">
        <f aca="false">H67*H69</f>
        <v>3709.29972</v>
      </c>
      <c r="I70" s="199"/>
      <c r="J70" s="36" t="n">
        <f aca="false">H70-G151</f>
        <v>3709.29972</v>
      </c>
      <c r="K70" s="200"/>
      <c r="L70" s="67"/>
      <c r="M70" s="262" t="s">
        <v>103</v>
      </c>
      <c r="N70" s="69" t="n">
        <f aca="false">N67*N69</f>
        <v>3709.29972</v>
      </c>
      <c r="O70" s="199"/>
      <c r="P70" s="36" t="n">
        <f aca="false">N70-M151</f>
        <v>3709.29972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264.94998</v>
      </c>
      <c r="I73" s="199"/>
      <c r="J73" s="36"/>
      <c r="K73" s="200"/>
      <c r="L73" s="67"/>
      <c r="M73" s="262" t="s">
        <v>106</v>
      </c>
      <c r="N73" s="69" t="n">
        <f aca="false">N67*N72</f>
        <v>264.94998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339" t="s">
        <v>289</v>
      </c>
      <c r="B80" s="340" t="n">
        <v>0</v>
      </c>
      <c r="C80" s="199"/>
      <c r="D80" s="199"/>
      <c r="E80" s="333" t="n">
        <f aca="false">E79+D82</f>
        <v>614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341" t="s">
        <v>290</v>
      </c>
      <c r="B81" s="342" t="n">
        <v>0</v>
      </c>
      <c r="C81" s="199"/>
      <c r="D81" s="199"/>
      <c r="E81" s="200" t="n">
        <f aca="false">E80/12</f>
        <v>51.1666666666667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0</v>
      </c>
      <c r="C82" s="199"/>
      <c r="D82" s="36" t="n">
        <f aca="false">IF(A50="YES",0,B82)</f>
        <v>0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5029.18207294118</v>
      </c>
      <c r="C87" s="199"/>
      <c r="D87" s="199"/>
      <c r="E87" s="200"/>
      <c r="F87" s="67"/>
      <c r="G87" s="276" t="s">
        <v>115</v>
      </c>
      <c r="H87" s="277" t="n">
        <f aca="false">SUM(J70:J86)</f>
        <v>6862.88305333333</v>
      </c>
      <c r="I87" s="199"/>
      <c r="J87" s="199"/>
      <c r="K87" s="200"/>
      <c r="L87" s="67"/>
      <c r="M87" s="276" t="s">
        <v>115</v>
      </c>
      <c r="N87" s="277" t="n">
        <f aca="false">SUM(P70:P86)</f>
        <v>6823.29972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419.098506078431</v>
      </c>
      <c r="C88" s="199"/>
      <c r="D88" s="199"/>
      <c r="E88" s="200"/>
      <c r="F88" s="67"/>
      <c r="G88" s="198" t="s">
        <v>116</v>
      </c>
      <c r="H88" s="37" t="n">
        <f aca="false">H87/H29</f>
        <v>571.906921111111</v>
      </c>
      <c r="I88" s="199"/>
      <c r="J88" s="199"/>
      <c r="K88" s="200"/>
      <c r="L88" s="67"/>
      <c r="M88" s="198" t="s">
        <v>116</v>
      </c>
      <c r="N88" s="37" t="n">
        <f aca="false">N87/H29</f>
        <v>568.60831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11041.1820729412</v>
      </c>
      <c r="C91" s="199"/>
      <c r="D91" s="199"/>
      <c r="E91" s="200"/>
      <c r="F91" s="67"/>
      <c r="G91" s="265" t="s">
        <v>127</v>
      </c>
      <c r="H91" s="31" t="n">
        <f aca="false">((H89*H29)+H87)*1.2</f>
        <v>15449.859664</v>
      </c>
      <c r="I91" s="199"/>
      <c r="J91" s="199"/>
      <c r="K91" s="200"/>
      <c r="L91" s="67"/>
      <c r="M91" s="265" t="s">
        <v>127</v>
      </c>
      <c r="N91" s="31" t="n">
        <f aca="false">((N89*H29)+N87)</f>
        <v>12835.29972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96.0587016811173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109.065165034288</v>
      </c>
      <c r="I92" s="199"/>
      <c r="J92" s="199"/>
      <c r="K92" s="200"/>
      <c r="L92" s="67"/>
      <c r="M92" s="198" t="s">
        <v>128</v>
      </c>
      <c r="N92" s="37" t="n">
        <f aca="false">(N91/(1-N76))*N76</f>
        <v>108.729848374345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11137.2407746223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17558.9248290343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14944.0295683743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72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928.103397885191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1000.10339788519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361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6" t="n">
        <v>0</v>
      </c>
      <c r="C111" s="286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928.103397885191</v>
      </c>
      <c r="B134" s="290" t="n">
        <f aca="false">IF(A111="YES",B95,0)</f>
        <v>72</v>
      </c>
      <c r="C134" s="295"/>
      <c r="D134" s="290" t="n">
        <f aca="false">B97</f>
        <v>1000.10339788519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928.103397885191</v>
      </c>
      <c r="C137" s="199"/>
      <c r="D137" s="42" t="n">
        <f aca="false">IF(A111="YES",B95*B63,0)</f>
        <v>72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1000.10339788519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0.31817277648</v>
      </c>
      <c r="H142" s="42" t="n">
        <f aca="false">IF(G111="YES",E15*0.000002,0)</f>
        <v>0.10605759216</v>
      </c>
      <c r="I142" s="42"/>
      <c r="J142" s="42" t="n">
        <f aca="false">G142+H142</f>
        <v>0.42423036864</v>
      </c>
      <c r="K142" s="107"/>
      <c r="L142" s="67"/>
      <c r="M142" s="113" t="n">
        <f aca="false">E15*0.000006</f>
        <v>0.31817277648</v>
      </c>
      <c r="N142" s="42" t="n">
        <f aca="false">IF(M111="YES",E15*0.000002,0)</f>
        <v>0.10605759216</v>
      </c>
      <c r="O142" s="42"/>
      <c r="P142" s="42" t="n">
        <f aca="false">M142+N142</f>
        <v>0.42423036864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928.103397885191</v>
      </c>
      <c r="B143" s="42" t="n">
        <f aca="false">IF(A111="YES",B95,0)</f>
        <v>72</v>
      </c>
      <c r="C143" s="199"/>
      <c r="D143" s="42" t="n">
        <f aca="false">B97</f>
        <v>1000.10339788519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220.79165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220.79165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31.7939976</v>
      </c>
      <c r="B146" s="309" t="n">
        <f aca="false">G18*0.000002*100</f>
        <v>10.5979992</v>
      </c>
      <c r="C146" s="310"/>
      <c r="D146" s="309" t="n">
        <f aca="false">A146+B146</f>
        <v>42.3919968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14.4</v>
      </c>
      <c r="H148" s="42" t="n">
        <f aca="false">G108-100</f>
        <v>139.988</v>
      </c>
      <c r="I148" s="42"/>
      <c r="J148" s="42" t="n">
        <f aca="false">(H145+J145+G148+H148)-H151</f>
        <v>1455.17965</v>
      </c>
      <c r="K148" s="107"/>
      <c r="L148" s="67"/>
      <c r="M148" s="113" t="n">
        <f aca="false">IF(M111="YES",((A41*N111)*0.1)*(M133),0)</f>
        <v>14.4</v>
      </c>
      <c r="N148" s="42" t="n">
        <f aca="false">M108-100</f>
        <v>99.99</v>
      </c>
      <c r="O148" s="42"/>
      <c r="P148" s="42" t="n">
        <f aca="false">(N145+P145+M148+N148)-N151</f>
        <v>1415.18165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14.4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714.4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1000.10339788519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928.103397885191</v>
      </c>
      <c r="B177" s="290" t="n">
        <f aca="false">IF(A111="YES",B95,0)</f>
        <v>72</v>
      </c>
      <c r="C177" s="295"/>
      <c r="D177" s="290" t="n">
        <f aca="false">B91</f>
        <v>11041.1820729412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928.103397885191</v>
      </c>
      <c r="C180" s="199"/>
      <c r="D180" s="42" t="n">
        <f aca="false">IF(A111="YES",B95*B63,0)</f>
        <v>72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1000.10339788519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928.103397885191</v>
      </c>
      <c r="B186" s="42" t="n">
        <f aca="false">IF(A111="YES",B95,0)</f>
        <v>72</v>
      </c>
      <c r="C186" s="199"/>
      <c r="D186" s="42" t="n">
        <f aca="false">B97</f>
        <v>1000.10339788519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31.7939976</v>
      </c>
      <c r="B189" s="309" t="n">
        <f aca="false">G18*0.000002*100</f>
        <v>10.5979992</v>
      </c>
      <c r="C189" s="310"/>
      <c r="D189" s="309" t="n">
        <f aca="false">A189+B189</f>
        <v>42.3919968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14.4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714.4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3709.29972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654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4113.29972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3709.29972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4113.29972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144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96.0587016811173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3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5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A18:A20" type="list">
      <formula1>$Y$16:$Y$18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65 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5" colorId="64" zoomScale="100" zoomScaleNormal="100" zoomScalePageLayoutView="100" workbookViewId="0">
      <selection pane="topLeft" activeCell="B224" activeCellId="0" sqref="B224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20945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43128.1634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995</v>
      </c>
      <c r="F10" s="67"/>
      <c r="G10" s="67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8655.63268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290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53028.79608</v>
      </c>
      <c r="F15" s="67"/>
      <c r="G15" s="21" t="n">
        <f aca="false">E15</f>
        <v>53028.79608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50</v>
      </c>
      <c r="E32" s="211"/>
      <c r="F32" s="67"/>
      <c r="G32" s="212" t="s">
        <v>254</v>
      </c>
      <c r="H32" s="210" t="str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str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346</v>
      </c>
      <c r="B41" s="224" t="n">
        <f aca="false">IF(B38="YES",D38+A41,D38)</f>
        <v>550</v>
      </c>
      <c r="C41" s="224"/>
      <c r="D41" s="106" t="s">
        <v>344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106" t="s">
        <v>347</v>
      </c>
      <c r="C44" s="106"/>
      <c r="D44" s="106" t="s">
        <v>360</v>
      </c>
      <c r="E44" s="106"/>
      <c r="F44" s="67"/>
      <c r="G44" s="67" t="s">
        <v>267</v>
      </c>
      <c r="H44" s="7" t="str">
        <f aca="false">H32</f>
        <v>50</v>
      </c>
      <c r="I44" s="336" t="n">
        <f aca="false">((A41*(B35-1))+D32)/B35</f>
        <v>50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s">
        <v>360</v>
      </c>
      <c r="C47" s="350"/>
      <c r="D47" s="106" t="s">
        <v>360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551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 t="s">
        <v>10</v>
      </c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/>
      <c r="B66" s="199"/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52989.996</v>
      </c>
      <c r="C67" s="199"/>
      <c r="D67" s="199"/>
      <c r="E67" s="200"/>
      <c r="F67" s="67"/>
      <c r="G67" s="198" t="s">
        <v>27</v>
      </c>
      <c r="H67" s="36" t="n">
        <f aca="false">G18</f>
        <v>52989.996</v>
      </c>
      <c r="I67" s="199"/>
      <c r="J67" s="199"/>
      <c r="K67" s="200"/>
      <c r="L67" s="67"/>
      <c r="M67" s="198" t="s">
        <v>27</v>
      </c>
      <c r="N67" s="36" t="n">
        <f aca="false">G18</f>
        <v>52989.996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3709.29972</v>
      </c>
      <c r="C70" s="199" t="n">
        <v>10000</v>
      </c>
      <c r="D70" s="36" t="n">
        <f aca="false">B70-A149</f>
        <v>3709.29972</v>
      </c>
      <c r="E70" s="200" t="n">
        <f aca="false">D70/12</f>
        <v>309.10831</v>
      </c>
      <c r="F70" s="67"/>
      <c r="G70" s="262" t="s">
        <v>103</v>
      </c>
      <c r="H70" s="69" t="n">
        <f aca="false">H67*H69</f>
        <v>3709.29972</v>
      </c>
      <c r="I70" s="199"/>
      <c r="J70" s="36" t="n">
        <f aca="false">H70-G151</f>
        <v>3709.29972</v>
      </c>
      <c r="K70" s="200"/>
      <c r="L70" s="67"/>
      <c r="M70" s="262" t="s">
        <v>103</v>
      </c>
      <c r="N70" s="69" t="n">
        <f aca="false">N67*N69</f>
        <v>3709.29972</v>
      </c>
      <c r="O70" s="199"/>
      <c r="P70" s="36" t="n">
        <f aca="false">N70-M151</f>
        <v>3709.29972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264.94998</v>
      </c>
      <c r="I73" s="199"/>
      <c r="J73" s="36"/>
      <c r="K73" s="200"/>
      <c r="L73" s="67"/>
      <c r="M73" s="262" t="s">
        <v>106</v>
      </c>
      <c r="N73" s="69" t="n">
        <f aca="false">N67*N72</f>
        <v>264.94998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659.833333333333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54.9861111111111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45.8333333333333</v>
      </c>
      <c r="C82" s="199"/>
      <c r="D82" s="36" t="n">
        <f aca="false">IF(A50="YES",0,B82)</f>
        <v>45.8333333333333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5075.01540627451</v>
      </c>
      <c r="C87" s="199"/>
      <c r="D87" s="199"/>
      <c r="E87" s="200"/>
      <c r="F87" s="67"/>
      <c r="G87" s="276" t="s">
        <v>115</v>
      </c>
      <c r="H87" s="277" t="n">
        <f aca="false">SUM(J70:J86)</f>
        <v>6862.88305333333</v>
      </c>
      <c r="I87" s="199"/>
      <c r="J87" s="199"/>
      <c r="K87" s="200"/>
      <c r="L87" s="67"/>
      <c r="M87" s="276" t="s">
        <v>115</v>
      </c>
      <c r="N87" s="277" t="n">
        <f aca="false">SUM(P70:P86)</f>
        <v>6823.29972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422.917950522876</v>
      </c>
      <c r="C88" s="199"/>
      <c r="D88" s="199"/>
      <c r="E88" s="200"/>
      <c r="F88" s="67"/>
      <c r="G88" s="198" t="s">
        <v>116</v>
      </c>
      <c r="H88" s="37" t="n">
        <f aca="false">H87/H29</f>
        <v>571.906921111111</v>
      </c>
      <c r="I88" s="199"/>
      <c r="J88" s="199"/>
      <c r="K88" s="200"/>
      <c r="L88" s="67"/>
      <c r="M88" s="198" t="s">
        <v>116</v>
      </c>
      <c r="N88" s="37" t="n">
        <f aca="false">N87/H29</f>
        <v>568.60831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((B89*H29)+B87)*1.2</f>
        <v>13304.4184875294</v>
      </c>
      <c r="C91" s="199"/>
      <c r="D91" s="199"/>
      <c r="E91" s="200"/>
      <c r="F91" s="67"/>
      <c r="G91" s="265" t="s">
        <v>127</v>
      </c>
      <c r="H91" s="31" t="n">
        <f aca="false">((H89*H29)+H87)*1.2</f>
        <v>15449.859664</v>
      </c>
      <c r="I91" s="199"/>
      <c r="J91" s="199"/>
      <c r="K91" s="200"/>
      <c r="L91" s="67"/>
      <c r="M91" s="265" t="s">
        <v>127</v>
      </c>
      <c r="N91" s="31" t="n">
        <f aca="false">((N89*H29)+N87)</f>
        <v>12835.29972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96.4574534148205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109.065165034288</v>
      </c>
      <c r="I92" s="199"/>
      <c r="J92" s="199"/>
      <c r="K92" s="200"/>
      <c r="L92" s="67"/>
      <c r="M92" s="198" t="s">
        <v>128</v>
      </c>
      <c r="N92" s="37" t="n">
        <f aca="false">(N91/(1-N76))*N76</f>
        <v>108.729848374345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13400.8759409442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17558.9248290343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14944.0295683743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IF(B105=Z104,(((H44*B35)+(H44*B35)*(B111/100))/(B64)),(((H44*B35)+(H44*B35)*(B111/100))/(B63+B64)))*1.2</f>
        <v>72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1116.73966174535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1188.73966174535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294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239.99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239.99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1116.73966174535</v>
      </c>
      <c r="B134" s="290" t="n">
        <f aca="false">IF(A111="YES",B95,0)</f>
        <v>72</v>
      </c>
      <c r="C134" s="295"/>
      <c r="D134" s="290" t="n">
        <f aca="false">B97</f>
        <v>1188.73966174535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1116.73966174535</v>
      </c>
      <c r="C137" s="199"/>
      <c r="D137" s="42" t="n">
        <f aca="false">IF(A111="YES",B95*B63,0)</f>
        <v>72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1188.73966174535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0.31817277648</v>
      </c>
      <c r="H142" s="42" t="n">
        <f aca="false">IF(G111="YES",E15*0.000002,0)</f>
        <v>0.10605759216</v>
      </c>
      <c r="I142" s="42"/>
      <c r="J142" s="42" t="n">
        <f aca="false">G142+H142</f>
        <v>0.42423036864</v>
      </c>
      <c r="K142" s="107"/>
      <c r="L142" s="67"/>
      <c r="M142" s="113" t="n">
        <f aca="false">E15*0.000006</f>
        <v>0.31817277648</v>
      </c>
      <c r="N142" s="42" t="n">
        <f aca="false">IF(M111="YES",E15*0.000002,0)</f>
        <v>0.10605759216</v>
      </c>
      <c r="O142" s="42"/>
      <c r="P142" s="42" t="n">
        <f aca="false">M142+N142</f>
        <v>0.42423036864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1116.73966174535</v>
      </c>
      <c r="B143" s="42" t="n">
        <f aca="false">IF(A111="YES",B95,0)</f>
        <v>72</v>
      </c>
      <c r="C143" s="199"/>
      <c r="D143" s="42" t="n">
        <f aca="false">B97</f>
        <v>1188.73966174535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220.79165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220.79165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(G18*0.000006)*1.2*100</f>
        <v>38.15279712</v>
      </c>
      <c r="B146" s="309" t="n">
        <f aca="false">G18*0.000002*1.2*100</f>
        <v>12.71759904</v>
      </c>
      <c r="C146" s="310"/>
      <c r="D146" s="309" t="n">
        <f aca="false">A146+B146</f>
        <v>50.87039616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12</v>
      </c>
      <c r="H148" s="42" t="n">
        <f aca="false">G108-100</f>
        <v>139.988</v>
      </c>
      <c r="I148" s="42"/>
      <c r="J148" s="42" t="n">
        <f aca="false">(H145+J145+G148+H148)-H151</f>
        <v>1452.77965</v>
      </c>
      <c r="K148" s="107"/>
      <c r="L148" s="67"/>
      <c r="M148" s="113" t="n">
        <f aca="false">IF(M111="YES",((A41*N111)*0.1)*(M133),0)</f>
        <v>12</v>
      </c>
      <c r="N148" s="42" t="n">
        <f aca="false">M108-100</f>
        <v>99.99</v>
      </c>
      <c r="O148" s="42"/>
      <c r="P148" s="42" t="n">
        <f aca="false">(N145+P145+M148+N148)-N151</f>
        <v>1412.78165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239.99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12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712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1188.73966174535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1116.73966174535</v>
      </c>
      <c r="B177" s="290" t="n">
        <f aca="false">IF(A111="YES",B95,0)</f>
        <v>72</v>
      </c>
      <c r="C177" s="295"/>
      <c r="D177" s="290" t="n">
        <f aca="false">B97</f>
        <v>1188.73966174535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1116.73966174535</v>
      </c>
      <c r="C180" s="199"/>
      <c r="D180" s="42" t="n">
        <f aca="false">IF(A111="YES",B95*B63,0)</f>
        <v>72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1188.73966174535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1116.73966174535</v>
      </c>
      <c r="B186" s="42" t="n">
        <f aca="false">IF(A111="YES",B95,0)</f>
        <v>72</v>
      </c>
      <c r="C186" s="199"/>
      <c r="D186" s="42" t="n">
        <f aca="false">B97</f>
        <v>1188.73966174535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38.15279712</v>
      </c>
      <c r="B189" s="309" t="n">
        <f aca="false">G18*0.000002*1.2*100</f>
        <v>12.71759904</v>
      </c>
      <c r="C189" s="310"/>
      <c r="D189" s="309" t="n">
        <f aca="false">A189+B189</f>
        <v>50.87039616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239.99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B108</f>
        <v>400</v>
      </c>
      <c r="C197" s="42"/>
      <c r="D197" s="42" t="n">
        <f aca="false">IF(A111="YES",(A41/100*B111)*B131,0)*0.1</f>
        <v>12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712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3709.29972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630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4089.29972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3709.29972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4089.29972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120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96.4574534148205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370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3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5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false" sqref="A18:A20" type="list">
      <formula1>$Y$16:$Y$18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B65 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02" colorId="64" zoomScale="100" zoomScaleNormal="100" zoomScalePageLayoutView="100" workbookViewId="0">
      <selection pane="topLeft" activeCell="E223" activeCellId="0" sqref="E223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20945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43128.1634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995</v>
      </c>
      <c r="F10" s="67"/>
      <c r="G10" s="67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8655.63268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290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53028.79608</v>
      </c>
      <c r="F15" s="67"/>
      <c r="G15" s="21" t="n">
        <f aca="false">E15</f>
        <v>53028.79608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56.2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str">
        <f aca="false">IF(A32=Z103,A41,IF(A32=Z104,A41,IF(A32=Z105,(A41*3),IF(A32=Z106,(A41*6),IF(A32=Z107,(A41*9),IF(A32=Z108,(A41*12),IF(A32=Z109,A41,IF(A32=Z110,A41,IF(A32=Z111,A41,0)))))))))</f>
        <v>50</v>
      </c>
      <c r="E32" s="211"/>
      <c r="F32" s="67"/>
      <c r="G32" s="212" t="s">
        <v>254</v>
      </c>
      <c r="H32" s="210" t="str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str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s">
        <v>70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s">
        <v>346</v>
      </c>
      <c r="B41" s="224" t="n">
        <f aca="false">IF(B38="YES",D38+A41,D38)</f>
        <v>550</v>
      </c>
      <c r="C41" s="224"/>
      <c r="D41" s="106" t="s">
        <v>344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s">
        <v>55</v>
      </c>
      <c r="B44" s="106" t="s">
        <v>347</v>
      </c>
      <c r="C44" s="106"/>
      <c r="D44" s="106" t="s">
        <v>360</v>
      </c>
      <c r="E44" s="106"/>
      <c r="F44" s="67"/>
      <c r="G44" s="67" t="s">
        <v>267</v>
      </c>
      <c r="H44" s="7" t="str">
        <f aca="false">H32</f>
        <v>50</v>
      </c>
      <c r="I44" s="336" t="n">
        <f aca="false">((A41*(B35-1))+D32)/B35</f>
        <v>50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s">
        <v>360</v>
      </c>
      <c r="C47" s="350"/>
      <c r="D47" s="106" t="s">
        <v>360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/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348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348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551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/>
      <c r="B66" s="199"/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52989.996</v>
      </c>
      <c r="C67" s="199"/>
      <c r="D67" s="199"/>
      <c r="E67" s="200"/>
      <c r="F67" s="67"/>
      <c r="G67" s="198" t="s">
        <v>27</v>
      </c>
      <c r="H67" s="36" t="n">
        <f aca="false">G18</f>
        <v>52989.996</v>
      </c>
      <c r="I67" s="199"/>
      <c r="J67" s="199"/>
      <c r="K67" s="200"/>
      <c r="L67" s="67"/>
      <c r="M67" s="198" t="s">
        <v>27</v>
      </c>
      <c r="N67" s="36" t="n">
        <f aca="false">G18</f>
        <v>52989.996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ROUND((B68+(B68*0.25*((H29/12)-1))),4)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3709.29972</v>
      </c>
      <c r="C70" s="199" t="n">
        <v>10000</v>
      </c>
      <c r="D70" s="36" t="n">
        <f aca="false">B70-A149</f>
        <v>3709.29972</v>
      </c>
      <c r="E70" s="200" t="n">
        <f aca="false">D70/12</f>
        <v>309.10831</v>
      </c>
      <c r="F70" s="67"/>
      <c r="G70" s="262" t="s">
        <v>103</v>
      </c>
      <c r="H70" s="69" t="n">
        <f aca="false">H67*H69</f>
        <v>3709.29972</v>
      </c>
      <c r="I70" s="199"/>
      <c r="J70" s="36" t="n">
        <f aca="false">H70-G151</f>
        <v>3709.29972</v>
      </c>
      <c r="K70" s="200"/>
      <c r="L70" s="67"/>
      <c r="M70" s="262" t="s">
        <v>103</v>
      </c>
      <c r="N70" s="69" t="n">
        <f aca="false">N67*N69</f>
        <v>3709.29972</v>
      </c>
      <c r="O70" s="199"/>
      <c r="P70" s="36" t="n">
        <f aca="false">N70-M151</f>
        <v>3709.29972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71" t="n">
        <v>250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/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B71</f>
        <v>250</v>
      </c>
      <c r="C73" s="199"/>
      <c r="D73" s="36"/>
      <c r="E73" s="200"/>
      <c r="F73" s="67"/>
      <c r="G73" s="262" t="s">
        <v>106</v>
      </c>
      <c r="H73" s="69" t="n">
        <f aca="false">H67*H72</f>
        <v>264.94998</v>
      </c>
      <c r="I73" s="199"/>
      <c r="J73" s="36"/>
      <c r="K73" s="200"/>
      <c r="L73" s="67"/>
      <c r="M73" s="262" t="s">
        <v>106</v>
      </c>
      <c r="N73" s="69" t="n">
        <f aca="false">N67*N72</f>
        <v>264.94998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0.15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0.008625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160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4.5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54</v>
      </c>
      <c r="C79" s="199"/>
      <c r="D79" s="36" t="n">
        <f aca="false">B79+B77</f>
        <v>214</v>
      </c>
      <c r="E79" s="333" t="n">
        <f aca="false">D79+D85+D86</f>
        <v>614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290</v>
      </c>
      <c r="C80" s="199"/>
      <c r="D80" s="199"/>
      <c r="E80" s="333" t="n">
        <f aca="false">E79+D82</f>
        <v>659.833333333333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54.9861111111111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45.8333333333333</v>
      </c>
      <c r="C82" s="199"/>
      <c r="D82" s="36" t="n">
        <f aca="false">IF(A50="YES",0,B82)</f>
        <v>45.8333333333333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f aca="false">B108/(1-J15)</f>
        <v>470.588235294118</v>
      </c>
      <c r="C83" s="199"/>
      <c r="D83" s="36" t="n">
        <f aca="false">B83</f>
        <v>470.588235294118</v>
      </c>
      <c r="E83" s="200" t="n">
        <f aca="false">D83/12</f>
        <v>39.2156862745098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f aca="false">D108/(1-J15)</f>
        <v>235.294117647059</v>
      </c>
      <c r="C84" s="199"/>
      <c r="D84" s="36" t="n">
        <f aca="false">B84</f>
        <v>235.294117647059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300</v>
      </c>
      <c r="C85" s="199"/>
      <c r="D85" s="36" t="n">
        <f aca="false">B85</f>
        <v>300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100</v>
      </c>
      <c r="C86" s="199"/>
      <c r="D86" s="36" t="n">
        <f aca="false">B86</f>
        <v>100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5075.01540627451</v>
      </c>
      <c r="C87" s="199"/>
      <c r="D87" s="199"/>
      <c r="E87" s="200"/>
      <c r="F87" s="67"/>
      <c r="G87" s="276" t="s">
        <v>115</v>
      </c>
      <c r="H87" s="277" t="n">
        <f aca="false">SUM(J70:J86)</f>
        <v>6862.88305333333</v>
      </c>
      <c r="I87" s="199"/>
      <c r="J87" s="199"/>
      <c r="K87" s="200"/>
      <c r="L87" s="67"/>
      <c r="M87" s="276" t="s">
        <v>115</v>
      </c>
      <c r="N87" s="277" t="n">
        <f aca="false">SUM(P70:P86)</f>
        <v>6823.29972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422.917950522876</v>
      </c>
      <c r="C88" s="199"/>
      <c r="D88" s="199"/>
      <c r="E88" s="200"/>
      <c r="F88" s="67"/>
      <c r="G88" s="198" t="s">
        <v>116</v>
      </c>
      <c r="H88" s="37" t="n">
        <f aca="false">H87/H29</f>
        <v>571.906921111111</v>
      </c>
      <c r="I88" s="199"/>
      <c r="J88" s="199"/>
      <c r="K88" s="200"/>
      <c r="L88" s="67"/>
      <c r="M88" s="198" t="s">
        <v>116</v>
      </c>
      <c r="N88" s="37" t="n">
        <f aca="false">N87/H29</f>
        <v>568.60831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11087.0154062745</v>
      </c>
      <c r="C91" s="199"/>
      <c r="D91" s="199"/>
      <c r="E91" s="200"/>
      <c r="F91" s="67"/>
      <c r="G91" s="265" t="s">
        <v>127</v>
      </c>
      <c r="H91" s="31" t="n">
        <f aca="false">((H89*H29)+H87)*1.2</f>
        <v>15449.859664</v>
      </c>
      <c r="I91" s="199"/>
      <c r="J91" s="199"/>
      <c r="K91" s="200"/>
      <c r="L91" s="67"/>
      <c r="M91" s="265" t="s">
        <v>127</v>
      </c>
      <c r="N91" s="31" t="n">
        <f aca="false">((N89*H29)+N87)</f>
        <v>12835.29972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96.4574534148205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109.065165034288</v>
      </c>
      <c r="I92" s="199"/>
      <c r="J92" s="199"/>
      <c r="K92" s="200"/>
      <c r="L92" s="67"/>
      <c r="M92" s="198" t="s">
        <v>128</v>
      </c>
      <c r="N92" s="37" t="n">
        <f aca="false">(N91/(1-N76))*N76</f>
        <v>108.729848374345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11183.4728596893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17558.9248290343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14944.0295683743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IF(B105=Z104,(((H44*B35)+(H44*B35)*(B111/100))/(B64)),(((H44*B35)+(H44*B35)*(B111/100))/(B63+B64)))</f>
        <v>60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IF(B105=Z104,(B93-D111)/(B64),B93/(B63+B64))</f>
        <v>931.956071640777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991.956071640777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/>
      <c r="B105" s="284" t="s">
        <v>141</v>
      </c>
      <c r="C105" s="284"/>
      <c r="D105" s="347" t="n">
        <v>1000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199.991666666667</v>
      </c>
      <c r="B108" s="109" t="n">
        <v>400</v>
      </c>
      <c r="C108" s="109"/>
      <c r="D108" s="109" t="n">
        <v>200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32</v>
      </c>
      <c r="B111" s="284" t="n">
        <v>20</v>
      </c>
      <c r="C111" s="284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 t="s">
        <v>10</v>
      </c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1000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199.991666666667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((E124*1.2)+E123)-E120</f>
        <v>1239.99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88" t="s">
        <v>138</v>
      </c>
      <c r="B130" s="289" t="n">
        <v>0</v>
      </c>
      <c r="C130" s="290"/>
      <c r="D130" s="289" t="s">
        <v>96</v>
      </c>
      <c r="E130" s="291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292" t="s">
        <v>296</v>
      </c>
      <c r="B131" s="293" t="n">
        <f aca="false">A167</f>
        <v>12</v>
      </c>
      <c r="C131" s="294"/>
      <c r="D131" s="293" t="n">
        <f aca="false">B166</f>
        <v>5000</v>
      </c>
      <c r="E131" s="291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288"/>
      <c r="B132" s="289"/>
      <c r="C132" s="289"/>
      <c r="D132" s="289"/>
      <c r="E132" s="291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88" t="s">
        <v>131</v>
      </c>
      <c r="B133" s="289" t="s">
        <v>304</v>
      </c>
      <c r="C133" s="290"/>
      <c r="D133" s="289" t="s">
        <v>305</v>
      </c>
      <c r="E133" s="291"/>
      <c r="F133" s="67"/>
      <c r="G133" s="213" t="n">
        <f aca="false">G158</f>
        <v>12</v>
      </c>
      <c r="H133" s="168" t="n">
        <f aca="false">B157</f>
        <v>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168" t="n">
        <f aca="false">B157</f>
        <v>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292" t="n">
        <f aca="false">B96</f>
        <v>931.956071640777</v>
      </c>
      <c r="B134" s="290" t="n">
        <f aca="false">IF(A111="YES",B95,0)</f>
        <v>60</v>
      </c>
      <c r="C134" s="295"/>
      <c r="D134" s="290" t="n">
        <f aca="false">B97</f>
        <v>991.956071640777</v>
      </c>
      <c r="E134" s="291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98"/>
      <c r="B135" s="199"/>
      <c r="C135" s="199"/>
      <c r="D135" s="199"/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298" t="s">
        <v>36</v>
      </c>
      <c r="B136" s="299" t="s">
        <v>309</v>
      </c>
      <c r="C136" s="215"/>
      <c r="D136" s="299" t="s">
        <v>310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302" t="str">
        <f aca="false">B105</f>
        <v> Monthly in advance </v>
      </c>
      <c r="B137" s="42" t="n">
        <f aca="false">B96*B63</f>
        <v>931.956071640777</v>
      </c>
      <c r="C137" s="199"/>
      <c r="D137" s="42" t="n">
        <f aca="false">IF(A111="YES",B95*B63,0)</f>
        <v>60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12" t="s">
        <v>314</v>
      </c>
      <c r="B139" s="43" t="s">
        <v>315</v>
      </c>
      <c r="C139" s="205"/>
      <c r="D139" s="230" t="s">
        <v>219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13" t="n">
        <f aca="false">B97*B63</f>
        <v>991.956071640777</v>
      </c>
      <c r="B140" s="42" t="n">
        <f aca="false">E120</f>
        <v>0</v>
      </c>
      <c r="C140" s="199"/>
      <c r="D140" s="303" t="n">
        <f aca="false">B64</f>
        <v>11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13"/>
      <c r="B141" s="304"/>
      <c r="C141" s="199"/>
      <c r="D141" s="199"/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64" t="s">
        <v>131</v>
      </c>
      <c r="B142" s="305" t="s">
        <v>304</v>
      </c>
      <c r="C142" s="199"/>
      <c r="D142" s="199" t="s">
        <v>305</v>
      </c>
      <c r="E142" s="200"/>
      <c r="F142" s="67"/>
      <c r="G142" s="113" t="n">
        <f aca="false">E15*0.000006</f>
        <v>0.31817277648</v>
      </c>
      <c r="H142" s="42" t="n">
        <f aca="false">IF(G111="YES",E15*0.000002,0)</f>
        <v>0.10605759216</v>
      </c>
      <c r="I142" s="42"/>
      <c r="J142" s="42" t="n">
        <f aca="false">G142+H142</f>
        <v>0.42423036864</v>
      </c>
      <c r="K142" s="107"/>
      <c r="L142" s="67"/>
      <c r="M142" s="113" t="n">
        <f aca="false">E15*0.000006</f>
        <v>0.31817277648</v>
      </c>
      <c r="N142" s="42" t="n">
        <f aca="false">IF(M111="YES",E15*0.000002,0)</f>
        <v>0.10605759216</v>
      </c>
      <c r="O142" s="42"/>
      <c r="P142" s="42" t="n">
        <f aca="false">M142+N142</f>
        <v>0.42423036864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f aca="false">B96</f>
        <v>931.956071640777</v>
      </c>
      <c r="B143" s="42" t="n">
        <f aca="false">IF(A111="YES",B95,0)</f>
        <v>60</v>
      </c>
      <c r="C143" s="199"/>
      <c r="D143" s="42" t="n">
        <f aca="false">B97</f>
        <v>991.956071640777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/>
      <c r="B144" s="199"/>
      <c r="C144" s="199"/>
      <c r="D144" s="199"/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06" t="s">
        <v>80</v>
      </c>
      <c r="B145" s="307" t="s">
        <v>322</v>
      </c>
      <c r="C145" s="42"/>
      <c r="D145" s="307" t="s">
        <v>85</v>
      </c>
      <c r="E145" s="107"/>
      <c r="F145" s="67"/>
      <c r="G145" s="113" t="n">
        <f aca="false">G108</f>
        <v>239.988</v>
      </c>
      <c r="H145" s="42" t="n">
        <f aca="false">H73/1.2</f>
        <v>220.79165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220.79165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08" t="n">
        <f aca="false">(G18*0.000006)*100</f>
        <v>31.7939976</v>
      </c>
      <c r="B146" s="309" t="n">
        <f aca="false">G18*0.000002*100</f>
        <v>10.5979992</v>
      </c>
      <c r="C146" s="310"/>
      <c r="D146" s="309" t="n">
        <f aca="false">A146+B146</f>
        <v>42.3919968</v>
      </c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311"/>
      <c r="B147" s="312"/>
      <c r="C147" s="199"/>
      <c r="D147" s="312"/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306" t="s">
        <v>326</v>
      </c>
      <c r="B148" s="307" t="s">
        <v>66</v>
      </c>
      <c r="C148" s="42"/>
      <c r="D148" s="307" t="s">
        <v>292</v>
      </c>
      <c r="E148" s="200"/>
      <c r="F148" s="67"/>
      <c r="G148" s="113" t="n">
        <f aca="false">IF(G111="YES",((A41*H111)*0.1)*(G133),0)</f>
        <v>12</v>
      </c>
      <c r="H148" s="42" t="n">
        <f aca="false">G108-100</f>
        <v>139.988</v>
      </c>
      <c r="I148" s="42"/>
      <c r="J148" s="42" t="n">
        <f aca="false">(H145+J145+G148+H148)-H151</f>
        <v>1452.77965</v>
      </c>
      <c r="K148" s="107"/>
      <c r="L148" s="67"/>
      <c r="M148" s="113" t="n">
        <f aca="false">IF(M111="YES",((A41*N111)*0.1)*(M133),0)</f>
        <v>12</v>
      </c>
      <c r="N148" s="42" t="n">
        <f aca="false">M108-100</f>
        <v>99.99</v>
      </c>
      <c r="O148" s="42"/>
      <c r="P148" s="42" t="n">
        <f aca="false">(N145+P145+M148+N148)-N151</f>
        <v>1412.78165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13" t="n">
        <v>0</v>
      </c>
      <c r="B149" s="42" t="n">
        <f aca="false">E124</f>
        <v>199.991666666667</v>
      </c>
      <c r="C149" s="199"/>
      <c r="D149" s="142" t="n">
        <f aca="false">B108</f>
        <v>400</v>
      </c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13"/>
      <c r="B150" s="42"/>
      <c r="C150" s="199"/>
      <c r="D150" s="42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313" t="s">
        <v>329</v>
      </c>
      <c r="B151" s="314"/>
      <c r="C151" s="315"/>
      <c r="D151" s="314"/>
      <c r="E151" s="316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311"/>
      <c r="B152" s="312"/>
      <c r="C152" s="199"/>
      <c r="D152" s="312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330</v>
      </c>
      <c r="B153" s="199" t="s">
        <v>331</v>
      </c>
      <c r="C153" s="199"/>
      <c r="D153" s="199" t="s">
        <v>332</v>
      </c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B73</f>
        <v>250</v>
      </c>
      <c r="B154" s="42" t="n">
        <f aca="false">B108</f>
        <v>400</v>
      </c>
      <c r="C154" s="42"/>
      <c r="D154" s="42" t="n">
        <f aca="false">IF(A111="YES",(A41/100*B111)*B131,0)*0.1</f>
        <v>12</v>
      </c>
      <c r="E154" s="107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 t="s">
        <v>334</v>
      </c>
      <c r="B156" s="199" t="s">
        <v>328</v>
      </c>
      <c r="C156" s="199"/>
      <c r="D156" s="199" t="s">
        <v>325</v>
      </c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113" t="n">
        <v>250</v>
      </c>
      <c r="B157" s="42" t="n">
        <f aca="false">(A154+B154+D154+A157)*(A149/B70)</f>
        <v>0</v>
      </c>
      <c r="C157" s="42"/>
      <c r="D157" s="42" t="n">
        <f aca="false">(A154+B154+D154+A157)-B157-A160</f>
        <v>712</v>
      </c>
      <c r="E157" s="107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199"/>
      <c r="C158" s="199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 t="s">
        <v>335</v>
      </c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13" t="n">
        <f aca="false">D108</f>
        <v>200</v>
      </c>
      <c r="B160" s="42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58" t="s">
        <v>333</v>
      </c>
      <c r="B163" s="199"/>
      <c r="C163" s="199"/>
      <c r="D163" s="259"/>
      <c r="E163" s="260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232"/>
      <c r="C164" s="232"/>
      <c r="D164" s="199"/>
      <c r="E164" s="200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233" t="s">
        <v>95</v>
      </c>
      <c r="B165" s="234" t="s">
        <v>96</v>
      </c>
      <c r="C165" s="234"/>
      <c r="D165" s="199"/>
      <c r="E165" s="200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33"/>
      <c r="B166" s="235" t="n">
        <f aca="false">B57</f>
        <v>5000</v>
      </c>
      <c r="C166" s="235"/>
      <c r="D166" s="199"/>
      <c r="E166" s="200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37" t="n">
        <f aca="false">A58</f>
        <v>12</v>
      </c>
      <c r="B167" s="78" t="n">
        <f aca="false">B97</f>
        <v>991.956071640777</v>
      </c>
      <c r="C167" s="78"/>
      <c r="D167" s="199"/>
      <c r="E167" s="200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198"/>
      <c r="B168" s="199"/>
      <c r="C168" s="199"/>
      <c r="D168" s="199"/>
      <c r="E168" s="200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198"/>
      <c r="B169" s="199"/>
      <c r="C169" s="199"/>
      <c r="D169" s="199"/>
      <c r="E169" s="200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198"/>
      <c r="B170" s="199"/>
      <c r="C170" s="199"/>
      <c r="D170" s="199"/>
      <c r="E170" s="200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318" t="n">
        <f aca="false">A167</f>
        <v>12</v>
      </c>
      <c r="C174" s="294"/>
      <c r="D174" s="290" t="n">
        <f aca="false">B166</f>
        <v>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B96</f>
        <v>931.956071640777</v>
      </c>
      <c r="B177" s="290" t="n">
        <f aca="false">IF(A111="YES",B95,0)</f>
        <v>60</v>
      </c>
      <c r="C177" s="295"/>
      <c r="D177" s="290" t="n">
        <f aca="false">B91</f>
        <v>11087.0154062745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B105</f>
        <v> Monthly in advance </v>
      </c>
      <c r="B180" s="42" t="n">
        <f aca="false">B96*B63</f>
        <v>931.956071640777</v>
      </c>
      <c r="C180" s="199"/>
      <c r="D180" s="42" t="n">
        <f aca="false">IF(A111="YES",B95*B63,0)</f>
        <v>60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B97*B63</f>
        <v>991.956071640777</v>
      </c>
      <c r="B183" s="42" t="n">
        <f aca="false">E120</f>
        <v>0</v>
      </c>
      <c r="C183" s="199"/>
      <c r="D183" s="303" t="n">
        <f aca="false">B64</f>
        <v>11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B96</f>
        <v>931.956071640777</v>
      </c>
      <c r="B186" s="42" t="n">
        <f aca="false">IF(A111="YES",B95,0)</f>
        <v>60</v>
      </c>
      <c r="C186" s="199"/>
      <c r="D186" s="42" t="n">
        <f aca="false">B97</f>
        <v>991.956071640777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31.7939976</v>
      </c>
      <c r="B189" s="309" t="n">
        <f aca="false">G18*0.000002*100</f>
        <v>10.5979992</v>
      </c>
      <c r="C189" s="310"/>
      <c r="D189" s="309" t="n">
        <f aca="false">A189+B189</f>
        <v>42.3919968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E124</f>
        <v>199.991666666667</v>
      </c>
      <c r="C192" s="199"/>
      <c r="D192" s="142" t="n">
        <f aca="false">B108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B73</f>
        <v>250</v>
      </c>
      <c r="B197" s="42" t="n">
        <f aca="false">B154</f>
        <v>400</v>
      </c>
      <c r="C197" s="42"/>
      <c r="D197" s="42" t="n">
        <f aca="false">IF(A111="YES",(A41/100*B111)*B131,0)*0.1</f>
        <v>12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A157</f>
        <v>250</v>
      </c>
      <c r="B200" s="42" t="n">
        <f aca="false">(A154+B154+D154+A157)*(A149/B70)</f>
        <v>0</v>
      </c>
      <c r="C200" s="42"/>
      <c r="D200" s="42" t="n">
        <f aca="false">D157</f>
        <v>712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D108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</v>
      </c>
      <c r="C209" s="290" t="s">
        <v>228</v>
      </c>
      <c r="D209" s="320" t="n">
        <f aca="false">D70</f>
        <v>3709.29972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630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4089.29972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D70</f>
        <v>3709.29972</v>
      </c>
      <c r="C217" s="223" t="s">
        <v>234</v>
      </c>
      <c r="D217" s="199"/>
      <c r="E217" s="270" t="n">
        <f aca="false">B72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B73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B84-(B84*(E219))</f>
        <v>200</v>
      </c>
      <c r="C223" s="205" t="s">
        <v>231</v>
      </c>
      <c r="D223" s="199"/>
      <c r="E223" s="37" t="n">
        <f aca="false">(B217-B211+D211)</f>
        <v>4089.29972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120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B77</f>
        <v>160</v>
      </c>
      <c r="C229" s="205" t="s">
        <v>239</v>
      </c>
      <c r="D229" s="312"/>
      <c r="E229" s="140" t="n">
        <f aca="false">B78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D79</f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B74</f>
        <v>0.0075</v>
      </c>
      <c r="C231" s="205" t="s">
        <v>242</v>
      </c>
      <c r="D231" s="312"/>
      <c r="E231" s="270" t="n">
        <f aca="false">B75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B92</f>
        <v>96.4574534148205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B85</f>
        <v>300</v>
      </c>
      <c r="C233" s="327" t="s">
        <v>340</v>
      </c>
      <c r="D233" s="328"/>
      <c r="E233" s="140" t="n">
        <f aca="false">B80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B86</f>
        <v>100</v>
      </c>
      <c r="C235" s="331" t="s">
        <v>341</v>
      </c>
      <c r="D235" s="331"/>
      <c r="E235" s="140" t="n">
        <f aca="false">B81</f>
        <v>370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3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H130:I130"/>
    <mergeCell ref="N130:O130"/>
    <mergeCell ref="N154:O154"/>
    <mergeCell ref="G156:G157"/>
    <mergeCell ref="H156:I156"/>
    <mergeCell ref="H157:I157"/>
    <mergeCell ref="H158:I158"/>
    <mergeCell ref="M159:M160"/>
    <mergeCell ref="N159:O159"/>
    <mergeCell ref="N160:O160"/>
    <mergeCell ref="N161:O161"/>
    <mergeCell ref="A165:A166"/>
    <mergeCell ref="B165:C165"/>
    <mergeCell ref="B166:C166"/>
    <mergeCell ref="B167:C167"/>
    <mergeCell ref="A171:E171"/>
    <mergeCell ref="A207:E207"/>
  </mergeCells>
  <dataValidations count="5">
    <dataValidation allowBlank="true" errorStyle="stop" operator="between" showDropDown="false" showErrorMessage="true" showInputMessage="false" sqref="B38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A18:A20" type="list">
      <formula1>$Y$16:$Y$18</formula1>
      <formula2>0</formula2>
    </dataValidation>
    <dataValidation allowBlank="true" errorStyle="stop" operator="between" showDropDown="false" showErrorMessage="true" showInputMessage="false" sqref="H105 N105" type="list">
      <formula1>$Y$103:$Y$112</formula1>
      <formula2>0</formula2>
    </dataValidation>
    <dataValidation allowBlank="true" errorStyle="stop" operator="between" showDropDown="false" showErrorMessage="true" showInputMessage="false" sqref="A32" type="list">
      <formula1>$Z$103:$Z$111</formula1>
      <formula2>0</formula2>
    </dataValidation>
    <dataValidation allowBlank="true" errorStyle="stop" operator="between" showDropDown="false" showErrorMessage="true" showInputMessage="false" sqref="B105" type="list">
      <formula1>'FL (Formula 3) - BCH, PCH, FL'!$Z$103:$Z$111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52" colorId="64" zoomScale="100" zoomScaleNormal="100" zoomScalePageLayoutView="100" workbookViewId="0">
      <selection pane="topLeft" activeCell="F261" activeCellId="0" sqref="F261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6" customWidth="true" hidden="false" style="6" width="18.88" collapsed="false" outlineLevel="0"/>
    <col min="7" max="7" customWidth="true" hidden="false" style="6" width="23.12" collapsed="false" outlineLevel="0"/>
    <col min="8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20945</v>
      </c>
      <c r="C3" s="398" t="n">
        <v>0</v>
      </c>
      <c r="D3" s="398" t="n">
        <v>0</v>
      </c>
      <c r="E3" s="398"/>
      <c r="F3" s="398" t="n">
        <v>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123" t="n">
        <v>0</v>
      </c>
      <c r="C4" s="123" t="n">
        <v>0</v>
      </c>
      <c r="D4" s="123" t="n">
        <v>0</v>
      </c>
      <c r="E4" s="123"/>
      <c r="F4" s="123" t="n">
        <v>0</v>
      </c>
      <c r="G4" s="123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0</v>
      </c>
      <c r="C5" s="398" t="n">
        <v>0</v>
      </c>
      <c r="D5" s="398" t="n">
        <v>0</v>
      </c>
      <c r="E5" s="398"/>
      <c r="F5" s="398" t="n">
        <v>0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880.1666</v>
      </c>
      <c r="C6" s="209" t="n">
        <f aca="false">(C3*C4/100)+C5</f>
        <v>0</v>
      </c>
      <c r="D6" s="209" t="n">
        <f aca="false">(D3*D4/100)+D5</f>
        <v>0</v>
      </c>
      <c r="E6" s="209"/>
      <c r="F6" s="209" t="n">
        <f aca="false">(F3*F4/100)+F5</f>
        <v>0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43128.1634</v>
      </c>
      <c r="C7" s="209" t="n">
        <f aca="false">C3-C6</f>
        <v>0</v>
      </c>
      <c r="D7" s="209" t="n">
        <f aca="false">D3-D6</f>
        <v>0</v>
      </c>
      <c r="E7" s="209"/>
      <c r="F7" s="209" t="n">
        <f aca="false">F3-F6</f>
        <v>0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1095</v>
      </c>
    </row>
    <row r="9" customFormat="false" ht="19.7" hidden="false" customHeight="false" outlineLevel="0" collapsed="false">
      <c r="A9" s="143" t="s">
        <v>173</v>
      </c>
      <c r="B9" s="143"/>
      <c r="C9" s="143"/>
      <c r="D9" s="143"/>
      <c r="E9" s="143" t="n">
        <f aca="false">(B7+C7+D7+E3)</f>
        <v>43128.1634</v>
      </c>
      <c r="F9" s="143"/>
      <c r="G9" s="129"/>
      <c r="H9" s="355" t="n">
        <f aca="false">B7+D7+F7+H3</f>
        <v>43128.1634</v>
      </c>
      <c r="I9" s="7"/>
      <c r="J9" s="7"/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 t="n">
        <v>50</v>
      </c>
      <c r="F10" s="145"/>
      <c r="G10" s="146"/>
      <c r="H10" s="354" t="n">
        <v>995</v>
      </c>
      <c r="I10" s="7"/>
      <c r="J10" s="7"/>
      <c r="L10" s="20" t="s">
        <v>15</v>
      </c>
      <c r="M10" s="14" t="n">
        <f aca="false">H15-H11-M8</f>
        <v>43278.1634</v>
      </c>
    </row>
    <row r="11" customFormat="false" ht="18.75" hidden="false" customHeight="false" outlineLevel="0" collapsed="false">
      <c r="A11" s="145" t="s">
        <v>175</v>
      </c>
      <c r="B11" s="145"/>
      <c r="C11" s="145"/>
      <c r="D11" s="145"/>
      <c r="E11" s="145"/>
      <c r="F11" s="145"/>
      <c r="G11" s="146"/>
      <c r="H11" s="37" t="n">
        <f aca="false">(H9+H10)*20%</f>
        <v>8655.63268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/>
      <c r="C13" s="145"/>
      <c r="D13" s="145"/>
      <c r="E13" s="145" t="n">
        <v>585</v>
      </c>
      <c r="F13" s="145"/>
      <c r="G13" s="146"/>
      <c r="H13" s="354" t="n">
        <v>290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 t="n">
        <v>55</v>
      </c>
      <c r="F14" s="145"/>
      <c r="G14" s="146"/>
      <c r="H14" s="354" t="n">
        <v>55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53028.79608</v>
      </c>
      <c r="I15" s="7"/>
      <c r="J15" s="21" t="n">
        <f aca="false">H15</f>
        <v>53028.79608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 t="n">
        <v>120</v>
      </c>
      <c r="F16" s="145"/>
      <c r="G16" s="146"/>
      <c r="H16" s="354" t="n">
        <v>0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52989.996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/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53028.79608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</row>
    <row r="25" customFormat="false" ht="18.75" hidden="false" customHeight="false" outlineLevel="0" collapsed="false">
      <c r="A25" s="198"/>
      <c r="B25" s="199"/>
      <c r="C25" s="199"/>
      <c r="D25" s="199"/>
      <c r="E25" s="200"/>
      <c r="F25" s="67"/>
      <c r="G25" s="67"/>
      <c r="H25" s="67"/>
    </row>
    <row r="26" customFormat="false" ht="22.05" hidden="false" customHeight="fals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</row>
    <row r="27" customFormat="false" ht="18.75" hidden="false" customHeight="fals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IF(A32=Y104,1,IF(A32=Y105,1,IF(A32=Y106,3,IF(A32=Y107,6,IF(A32=Y108,9,IF(A32=Y109,12,IF(A32=Y110,3,IF(A32=Y111,6,IF(A32=Y112,9,0)))))))))</f>
        <v>0</v>
      </c>
    </row>
    <row r="28" customFormat="false" ht="29.85" hidden="false" customHeight="fals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IF(A32=Y104,H29-H37,IF(A32=Y105,H29-H37,IF(A32=Y106,H29-1,IF(A32=Y107,H29-1,IF(A32=Y108,H29-1,IF(A32=Y109,H29-1,IF(A32=Y110,H29-H37,IF(A32=Y111,H29-H37,IF(A32=Y112,H29-H37,0)))))))))</f>
        <v>0</v>
      </c>
    </row>
    <row r="29" customFormat="false" ht="18.75" hidden="false" customHeight="fals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str">
        <f aca="false">B35</f>
        <v>33</v>
      </c>
    </row>
    <row r="30" customFormat="false" ht="18.75" hidden="false" customHeight="fals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str">
        <f aca="false">D35</f>
        <v>5000</v>
      </c>
    </row>
    <row r="31" customFormat="false" ht="29.85" hidden="false" customHeight="fals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str">
        <f aca="false">D38</f>
        <v>500</v>
      </c>
    </row>
    <row r="32" customFormat="false" ht="18.75" hidden="false" customHeight="false" outlineLevel="0" collapsed="false">
      <c r="A32" s="206" t="s">
        <v>141</v>
      </c>
      <c r="B32" s="211" t="str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0</v>
      </c>
      <c r="E32" s="211"/>
      <c r="F32" s="67"/>
      <c r="G32" s="212" t="s">
        <v>254</v>
      </c>
      <c r="H32" s="210" t="n">
        <f aca="false">A41</f>
        <v>0</v>
      </c>
      <c r="J32" s="48" t="s">
        <v>50</v>
      </c>
      <c r="K32" s="242" t="s">
        <v>395</v>
      </c>
    </row>
    <row r="33" customFormat="false" ht="18.75" hidden="false" customHeight="fals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J33" s="48"/>
      <c r="K33" s="17"/>
    </row>
    <row r="34" customFormat="false" ht="18.75" hidden="false" customHeight="fals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str">
        <f aca="false">A44</f>
        <v>12</v>
      </c>
      <c r="J34" s="48" t="s">
        <v>57</v>
      </c>
      <c r="K34" s="53" t="s">
        <v>58</v>
      </c>
    </row>
    <row r="35" customFormat="false" ht="18.75" hidden="false" customHeight="false" outlineLevel="0" collapsed="false">
      <c r="A35" s="211" t="n">
        <f aca="false">B32+D32</f>
        <v>500</v>
      </c>
      <c r="B35" s="207" t="s">
        <v>259</v>
      </c>
      <c r="C35" s="207"/>
      <c r="D35" s="207" t="s">
        <v>56</v>
      </c>
      <c r="E35" s="207"/>
      <c r="F35" s="67"/>
      <c r="G35" s="55"/>
      <c r="H35" s="218"/>
      <c r="J35" s="48"/>
      <c r="K35" s="17" t="n">
        <v>0.095</v>
      </c>
    </row>
    <row r="36" customFormat="false" ht="18.75" hidden="false" customHeight="false" outlineLevel="0" collapsed="false">
      <c r="A36" s="198"/>
      <c r="B36" s="199"/>
      <c r="C36" s="199"/>
      <c r="D36" s="199"/>
      <c r="E36" s="200"/>
      <c r="F36" s="67"/>
      <c r="G36" s="67" t="s">
        <v>91</v>
      </c>
      <c r="H36" s="68" t="n">
        <v>0</v>
      </c>
      <c r="J36" s="48" t="s">
        <v>64</v>
      </c>
      <c r="K36" s="56" t="n">
        <f aca="false">K32-K34</f>
        <v>52028.79</v>
      </c>
    </row>
    <row r="37" customFormat="false" ht="18.75" hidden="false" customHeight="fals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</row>
    <row r="38" customFormat="false" ht="18.75" hidden="false" customHeight="false" outlineLevel="0" collapsed="false">
      <c r="A38" s="219" t="n">
        <f aca="false">(B35/12)*D35</f>
        <v>13750</v>
      </c>
      <c r="B38" s="207" t="s">
        <v>32</v>
      </c>
      <c r="C38" s="207"/>
      <c r="D38" s="106" t="s">
        <v>70</v>
      </c>
      <c r="E38" s="106"/>
      <c r="F38" s="67"/>
      <c r="G38" s="67"/>
      <c r="H38" s="67"/>
      <c r="J38" s="220"/>
      <c r="K38" s="220"/>
      <c r="L38" s="7"/>
      <c r="N38" s="6" t="n">
        <f aca="false">80.88*36</f>
        <v>2911.68</v>
      </c>
    </row>
    <row r="39" customFormat="false" ht="18.75" hidden="false" customHeight="false" outlineLevel="0" collapsed="false">
      <c r="A39" s="221"/>
      <c r="B39" s="215"/>
      <c r="C39" s="215"/>
      <c r="D39" s="199"/>
      <c r="E39" s="200"/>
      <c r="F39" s="67"/>
      <c r="G39" s="67"/>
      <c r="H39" s="7"/>
      <c r="L39" s="7"/>
      <c r="N39" s="6" t="n">
        <f aca="false">K39-L39</f>
        <v>0</v>
      </c>
    </row>
    <row r="40" customFormat="false" ht="18.75" hidden="false" customHeight="fals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L40" s="7"/>
      <c r="N40" s="6" t="n">
        <f aca="false">N38-N39</f>
        <v>2911.68</v>
      </c>
    </row>
    <row r="41" customFormat="false" ht="18.75" hidden="false" customHeight="false" outlineLevel="0" collapsed="false">
      <c r="A41" s="106" t="n">
        <f aca="false">H36/B35</f>
        <v>0</v>
      </c>
      <c r="B41" s="224" t="str">
        <f aca="false">IF(B38="YES",D38+A41,D38)</f>
        <v>500</v>
      </c>
      <c r="C41" s="224"/>
      <c r="D41" s="106" t="n">
        <v>6000</v>
      </c>
      <c r="E41" s="106"/>
      <c r="F41" s="67"/>
      <c r="G41" s="67"/>
      <c r="H41" s="225"/>
      <c r="J41" s="7"/>
      <c r="K41" s="7"/>
      <c r="L41" s="7"/>
    </row>
    <row r="42" customFormat="false" ht="18.75" hidden="false" customHeight="fals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J42" s="7"/>
      <c r="K42" s="7"/>
      <c r="L42" s="7"/>
    </row>
    <row r="43" customFormat="false" ht="18.75" hidden="false" customHeight="fals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500.363636363636</v>
      </c>
      <c r="J43" s="7"/>
      <c r="K43" s="7"/>
      <c r="L43" s="7"/>
    </row>
    <row r="44" customFormat="false" ht="18.75" hidden="false" customHeight="false" outlineLevel="0" collapsed="false">
      <c r="A44" s="106" t="s">
        <v>55</v>
      </c>
      <c r="B44" s="228" t="n">
        <v>0</v>
      </c>
      <c r="C44" s="228"/>
      <c r="D44" s="228" t="n">
        <v>0</v>
      </c>
      <c r="E44" s="228"/>
      <c r="F44" s="67"/>
      <c r="G44" s="67" t="s">
        <v>267</v>
      </c>
      <c r="H44" s="7" t="n">
        <f aca="false">H32</f>
        <v>0</v>
      </c>
      <c r="J44" s="7"/>
      <c r="K44" s="7"/>
      <c r="L44" s="7"/>
    </row>
    <row r="45" customFormat="false" ht="18.75" hidden="false" customHeight="fals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500.363636363636</v>
      </c>
      <c r="J45" s="7"/>
      <c r="K45" s="7"/>
      <c r="L45" s="7"/>
    </row>
    <row r="46" customFormat="false" ht="18.75" hidden="false" customHeight="fals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500.363636363636</v>
      </c>
      <c r="J46" s="7"/>
      <c r="K46" s="7"/>
      <c r="L46" s="7"/>
    </row>
    <row r="47" customFormat="false" ht="18.75" hidden="false" customHeight="false" outlineLevel="0" collapsed="false">
      <c r="A47" s="230" t="n">
        <v>0</v>
      </c>
      <c r="B47" s="231" t="n">
        <v>0</v>
      </c>
      <c r="C47" s="231"/>
      <c r="D47" s="228" t="n">
        <v>0</v>
      </c>
      <c r="E47" s="228"/>
      <c r="F47" s="67"/>
      <c r="G47" s="67"/>
      <c r="H47" s="7"/>
      <c r="J47" s="7"/>
      <c r="K47" s="7"/>
      <c r="L47" s="7"/>
    </row>
    <row r="48" customFormat="false" ht="18.75" hidden="false" customHeight="false" outlineLevel="0" collapsed="false">
      <c r="B48" s="215"/>
      <c r="C48" s="215"/>
      <c r="D48" s="215"/>
      <c r="E48" s="226"/>
      <c r="F48" s="67"/>
      <c r="G48" s="67"/>
      <c r="H48" s="7"/>
      <c r="J48" s="59"/>
      <c r="K48" s="7"/>
      <c r="L48" s="7"/>
    </row>
    <row r="49" customFormat="false" ht="18.75" hidden="false" customHeight="false" outlineLevel="0" collapsed="false">
      <c r="A49" s="221"/>
      <c r="B49" s="215"/>
      <c r="C49" s="215"/>
      <c r="D49" s="215"/>
      <c r="E49" s="226"/>
      <c r="F49" s="67"/>
      <c r="G49" s="67"/>
      <c r="H49" s="7"/>
      <c r="J49" s="7"/>
      <c r="K49" s="7"/>
      <c r="L49" s="7"/>
    </row>
    <row r="50" customFormat="false" ht="18.75" hidden="false" customHeight="false" outlineLevel="0" collapsed="false">
      <c r="A50" s="198"/>
      <c r="B50" s="232"/>
      <c r="C50" s="232"/>
      <c r="D50" s="199"/>
      <c r="E50" s="200"/>
      <c r="I50" s="7"/>
      <c r="J50" s="7"/>
      <c r="K50" s="7"/>
    </row>
    <row r="51" customFormat="false" ht="19.5" hidden="false" customHeight="true" outlineLevel="0" collapsed="false">
      <c r="A51" s="233" t="s">
        <v>95</v>
      </c>
      <c r="B51" s="234" t="s">
        <v>96</v>
      </c>
      <c r="C51" s="234"/>
      <c r="D51" s="199"/>
      <c r="E51" s="200"/>
      <c r="I51" s="7"/>
      <c r="J51" s="7"/>
      <c r="K51" s="7"/>
    </row>
    <row r="52" customFormat="false" ht="18.75" hidden="false" customHeight="false" outlineLevel="0" collapsed="false">
      <c r="A52" s="233"/>
      <c r="B52" s="235" t="str">
        <f aca="false">H30</f>
        <v>5000</v>
      </c>
      <c r="C52" s="235"/>
      <c r="D52" s="199"/>
      <c r="E52" s="200"/>
      <c r="I52" s="7"/>
      <c r="J52" s="7"/>
      <c r="K52" s="7"/>
    </row>
    <row r="53" customFormat="false" ht="18.75" hidden="false" customHeight="false" outlineLevel="0" collapsed="false">
      <c r="A53" s="237" t="str">
        <f aca="false">H29</f>
        <v>33</v>
      </c>
      <c r="B53" s="78" t="n">
        <f aca="false">H45</f>
        <v>500.363636363636</v>
      </c>
      <c r="C53" s="78"/>
      <c r="D53" s="199"/>
      <c r="E53" s="200"/>
      <c r="I53" s="7"/>
      <c r="J53" s="7"/>
      <c r="K53" s="7"/>
    </row>
    <row r="54" customFormat="false" ht="18.75" hidden="false" customHeight="false" outlineLevel="0" collapsed="false">
      <c r="A54" s="5" t="s">
        <v>10</v>
      </c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238"/>
      <c r="D58" s="36"/>
      <c r="E58" s="27"/>
      <c r="F58" s="27"/>
      <c r="G58" s="27"/>
      <c r="H58" s="37"/>
    </row>
    <row r="59" customFormat="false" ht="18.75" hidden="false" customHeight="false" outlineLevel="0" collapsed="false">
      <c r="A59" s="35" t="s">
        <v>98</v>
      </c>
      <c r="B59" s="36" t="n">
        <f aca="false">B35-B58</f>
        <v>32</v>
      </c>
      <c r="C59" s="238"/>
      <c r="D59" s="36"/>
      <c r="E59" s="27"/>
      <c r="F59" s="27"/>
      <c r="G59" s="27"/>
      <c r="H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238"/>
      <c r="D60" s="36"/>
      <c r="E60" s="27"/>
      <c r="F60" s="27"/>
      <c r="G60" s="27"/>
      <c r="H60" s="37"/>
    </row>
    <row r="61" customFormat="false" ht="18.75" hidden="false" customHeight="false" outlineLevel="0" collapsed="false">
      <c r="A61" s="35" t="s">
        <v>27</v>
      </c>
      <c r="B61" s="36" t="n">
        <f aca="false">J18</f>
        <v>52989.996</v>
      </c>
      <c r="C61" s="238"/>
      <c r="D61" s="36"/>
      <c r="E61" s="27"/>
      <c r="F61" s="27"/>
      <c r="G61" s="27"/>
      <c r="H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238"/>
      <c r="D62" s="36"/>
      <c r="E62" s="27"/>
      <c r="F62" s="27"/>
      <c r="G62" s="27"/>
      <c r="H62" s="37"/>
      <c r="K62" s="13"/>
      <c r="T62" s="13"/>
      <c r="AC62" s="13"/>
    </row>
    <row r="63" customFormat="false" ht="18.75" hidden="false" customHeight="false" outlineLevel="0" collapsed="false">
      <c r="A63" s="84" t="s">
        <v>101</v>
      </c>
      <c r="B63" s="85" t="n">
        <v>0.095</v>
      </c>
      <c r="C63" s="238"/>
      <c r="D63" s="36"/>
      <c r="E63" s="27"/>
      <c r="F63" s="27"/>
      <c r="G63" s="27"/>
      <c r="H63" s="37"/>
      <c r="K63" s="13"/>
      <c r="T63" s="13"/>
      <c r="AC63" s="13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K64" s="13"/>
      <c r="T64" s="13"/>
      <c r="AC64" s="13"/>
    </row>
    <row r="65" customFormat="false" ht="18.75" hidden="false" customHeight="false" outlineLevel="0" collapsed="false">
      <c r="A65" s="60" t="s">
        <v>103</v>
      </c>
      <c r="B65" s="69" t="n">
        <f aca="false">(B89*B59)-B53</f>
        <v>57652.610597684</v>
      </c>
      <c r="C65" s="36"/>
      <c r="D65" s="36"/>
      <c r="E65" s="27"/>
      <c r="F65" s="27"/>
      <c r="G65" s="27"/>
      <c r="H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K66" s="13"/>
      <c r="T66" s="13"/>
      <c r="AC66" s="13"/>
    </row>
    <row r="67" customFormat="false" ht="18.75" hidden="false" customHeight="false" outlineLevel="0" collapsed="false">
      <c r="A67" s="35"/>
      <c r="B67" s="88" t="n">
        <f aca="false">B66</f>
        <v>0.0075</v>
      </c>
      <c r="C67" s="36"/>
      <c r="D67" s="36"/>
      <c r="E67" s="27"/>
      <c r="F67" s="27"/>
      <c r="G67" s="27"/>
      <c r="H67" s="37"/>
      <c r="K67" s="13"/>
      <c r="T67" s="13"/>
      <c r="AC67" s="13"/>
    </row>
    <row r="68" customFormat="false" ht="18.75" hidden="false" customHeight="false" outlineLevel="0" collapsed="false">
      <c r="A68" s="60" t="s">
        <v>106</v>
      </c>
      <c r="B68" s="69" t="n">
        <f aca="false">(G158*B67)</f>
        <v>406.7159706</v>
      </c>
      <c r="C68" s="36"/>
      <c r="D68" s="36"/>
      <c r="E68" s="27"/>
      <c r="F68" s="27"/>
      <c r="G68" s="27"/>
      <c r="H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239"/>
      <c r="D69" s="36"/>
      <c r="E69" s="27"/>
      <c r="F69" s="27"/>
      <c r="G69" s="27"/>
      <c r="H69" s="37"/>
      <c r="K69" s="13"/>
      <c r="T69" s="13"/>
      <c r="AC69" s="13"/>
    </row>
    <row r="70" customFormat="false" ht="18.75" hidden="false" customHeight="false" outlineLevel="0" collapsed="false">
      <c r="A70" s="84" t="s">
        <v>108</v>
      </c>
      <c r="B70" s="85" t="n">
        <v>0</v>
      </c>
      <c r="C70" s="239"/>
      <c r="D70" s="36"/>
      <c r="E70" s="27"/>
      <c r="F70" s="27"/>
      <c r="G70" s="27"/>
      <c r="H70" s="37"/>
      <c r="K70" s="13"/>
      <c r="T70" s="13"/>
      <c r="AC70" s="13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239"/>
      <c r="D71" s="36"/>
      <c r="E71" s="27"/>
      <c r="F71" s="27"/>
      <c r="G71" s="27"/>
      <c r="H71" s="37"/>
      <c r="K71" s="13"/>
      <c r="T71" s="13"/>
      <c r="AC71" s="13"/>
    </row>
    <row r="72" customFormat="false" ht="18.75" hidden="false" customHeight="false" outlineLevel="0" collapsed="false">
      <c r="A72" s="82" t="s">
        <v>110</v>
      </c>
      <c r="B72" s="90" t="n">
        <v>0</v>
      </c>
      <c r="C72" s="239"/>
      <c r="D72" s="36"/>
      <c r="E72" s="27"/>
      <c r="F72" s="27"/>
      <c r="G72" s="27"/>
      <c r="H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239"/>
      <c r="D73" s="36"/>
      <c r="E73" s="27"/>
      <c r="F73" s="27"/>
      <c r="G73" s="27"/>
      <c r="H73" s="37"/>
    </row>
    <row r="74" customFormat="false" ht="18.75" hidden="false" customHeight="false" outlineLevel="0" collapsed="false">
      <c r="A74" s="60" t="s">
        <v>112</v>
      </c>
      <c r="B74" s="69" t="n">
        <f aca="false">B73*B35</f>
        <v>0</v>
      </c>
      <c r="C74" s="239"/>
      <c r="D74" s="36" t="n">
        <f aca="false">B74+B72</f>
        <v>0</v>
      </c>
      <c r="E74" s="27"/>
      <c r="F74" s="27"/>
      <c r="G74" s="27"/>
      <c r="H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239"/>
      <c r="D75" s="36" t="n">
        <f aca="false">B75</f>
        <v>0</v>
      </c>
      <c r="E75" s="27"/>
      <c r="F75" s="27"/>
      <c r="G75" s="27"/>
      <c r="H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239"/>
      <c r="D76" s="36" t="n">
        <f aca="false">B76</f>
        <v>0</v>
      </c>
      <c r="E76" s="27"/>
      <c r="F76" s="36"/>
      <c r="G76" s="27"/>
      <c r="H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</row>
    <row r="78" customFormat="false" ht="18.75" hidden="false" customHeight="false" outlineLevel="0" collapsed="false">
      <c r="A78" s="35" t="s">
        <v>116</v>
      </c>
      <c r="B78" s="37" t="n">
        <f aca="false">B77/B35</f>
        <v>0</v>
      </c>
      <c r="C78" s="36"/>
      <c r="D78" s="36"/>
      <c r="E78" s="27"/>
      <c r="F78" s="27"/>
      <c r="G78" s="27"/>
      <c r="H78" s="37"/>
    </row>
    <row r="79" customFormat="false" ht="18.75" hidden="false" customHeight="false" outlineLevel="0" collapsed="false">
      <c r="A79" s="94" t="s">
        <v>117</v>
      </c>
      <c r="B79" s="63" t="n">
        <f aca="false">H46</f>
        <v>500.363636363636</v>
      </c>
      <c r="C79" s="36"/>
      <c r="D79" s="36"/>
      <c r="E79" s="27"/>
      <c r="F79" s="27"/>
      <c r="G79" s="27"/>
      <c r="H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</row>
    <row r="81" customFormat="false" ht="18.75" hidden="false" customHeight="false" outlineLevel="0" collapsed="false">
      <c r="A81" s="29" t="s">
        <v>118</v>
      </c>
      <c r="B81" s="31" t="n">
        <f aca="false">K36</f>
        <v>52028.79</v>
      </c>
      <c r="C81" s="36"/>
      <c r="D81" s="36"/>
      <c r="E81" s="27"/>
      <c r="F81" s="29" t="s">
        <v>118</v>
      </c>
      <c r="G81" s="31" t="n">
        <f aca="false">B81</f>
        <v>52028.79</v>
      </c>
      <c r="H81" s="37"/>
    </row>
    <row r="82" customFormat="false" ht="18.75" hidden="false" customHeight="false" outlineLevel="0" collapsed="false">
      <c r="A82" s="35" t="s">
        <v>119</v>
      </c>
      <c r="B82" s="37" t="n">
        <f aca="false">IF(A111="YES",D41,0)*1.2</f>
        <v>6000</v>
      </c>
      <c r="C82" s="36"/>
      <c r="D82" s="36"/>
      <c r="E82" s="27"/>
      <c r="F82" s="35" t="s">
        <v>119</v>
      </c>
      <c r="G82" s="37" t="n">
        <f aca="false">IF(A111="YES",D41,0)*1.2</f>
        <v>6000</v>
      </c>
      <c r="H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0.145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K83" s="13"/>
      <c r="T83" s="13"/>
      <c r="AC83" s="13"/>
    </row>
    <row r="84" customFormat="false" ht="18.75" hidden="false" customHeight="false" outlineLevel="0" collapsed="false">
      <c r="A84" s="35" t="s">
        <v>121</v>
      </c>
      <c r="B84" s="88" t="n">
        <f aca="false">B83/12</f>
        <v>0.0120833333333333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K84" s="13"/>
      <c r="T84" s="13"/>
      <c r="AC84" s="13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32</v>
      </c>
      <c r="C85" s="36"/>
      <c r="D85" s="36"/>
      <c r="E85" s="27"/>
      <c r="F85" s="35" t="s">
        <v>122</v>
      </c>
      <c r="G85" s="37" t="n">
        <f aca="false">IF(G82=0,(B59+B58),(B59))</f>
        <v>32</v>
      </c>
      <c r="H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4036.58626654823</v>
      </c>
      <c r="C86" s="36" t="n">
        <f aca="false">(B82/((1+B84)^(B85+1)))</f>
        <v>4036.58626654823</v>
      </c>
      <c r="D86" s="36"/>
      <c r="E86" s="27"/>
      <c r="F86" s="35" t="s">
        <v>123</v>
      </c>
      <c r="G86" s="37" t="n">
        <f aca="false">(G82/((1+G84)^(G85+1)))</f>
        <v>4625.28577473023</v>
      </c>
      <c r="H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26.4088043595077</v>
      </c>
      <c r="C87" s="36" t="n">
        <f aca="false">((1-(1/((1+B84)^B85)))/B84)</f>
        <v>26.4088043595077</v>
      </c>
      <c r="D87" s="36"/>
      <c r="E87" s="27"/>
      <c r="F87" s="35" t="s">
        <v>124</v>
      </c>
      <c r="G87" s="37" t="n">
        <f aca="false">((1-(1/((1+G84)^G85)))/G84)</f>
        <v>28.1704711484875</v>
      </c>
      <c r="H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47992.2037334518</v>
      </c>
      <c r="C88" s="36" t="n">
        <f aca="false">B81-B86</f>
        <v>47992.2037334518</v>
      </c>
      <c r="D88" s="36"/>
      <c r="E88" s="27"/>
      <c r="F88" s="35" t="s">
        <v>125</v>
      </c>
      <c r="G88" s="37" t="n">
        <f aca="false">G81-G86</f>
        <v>47403.5042252698</v>
      </c>
      <c r="H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1817.28044481399</v>
      </c>
      <c r="C89" s="36" t="n">
        <f aca="false">(B88/B87)</f>
        <v>1817.28044481399</v>
      </c>
      <c r="D89" s="36"/>
      <c r="E89" s="27"/>
      <c r="F89" s="35" t="s">
        <v>126</v>
      </c>
      <c r="G89" s="37" t="n">
        <f aca="false">(G88/G87)</f>
        <v>1682.73735910927</v>
      </c>
      <c r="H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58152.9742340476</v>
      </c>
      <c r="C90" s="36"/>
      <c r="D90" s="36"/>
      <c r="E90" s="27"/>
      <c r="F90" s="35" t="s">
        <v>127</v>
      </c>
      <c r="G90" s="37" t="n">
        <f aca="false">((G89*(G85))+G77)</f>
        <v>53847.5954914967</v>
      </c>
      <c r="H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58152.9742340476</v>
      </c>
      <c r="C92" s="36"/>
      <c r="D92" s="36"/>
      <c r="E92" s="27"/>
      <c r="F92" s="60" t="s">
        <v>129</v>
      </c>
      <c r="G92" s="69" t="n">
        <f aca="false">(G90+G91)</f>
        <v>53847.5954914967</v>
      </c>
      <c r="H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</row>
    <row r="94" customFormat="false" ht="18.75" hidden="false" customHeight="false" outlineLevel="0" collapsed="false">
      <c r="A94" s="92" t="s">
        <v>130</v>
      </c>
      <c r="B94" s="96" t="str">
        <f aca="false">IF(B38="YES",((H36/B85)*(1+A108)),"0")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1817.28044481399</v>
      </c>
      <c r="C95" s="36"/>
      <c r="D95" s="36"/>
      <c r="E95" s="27"/>
      <c r="F95" s="97" t="s">
        <v>131</v>
      </c>
      <c r="G95" s="98" t="n">
        <f aca="false">G92/(G85)</f>
        <v>1682.73735910927</v>
      </c>
      <c r="H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1817.28044481399</v>
      </c>
      <c r="C96" s="36"/>
      <c r="D96" s="36"/>
      <c r="E96" s="27"/>
      <c r="F96" s="99" t="s">
        <v>132</v>
      </c>
      <c r="G96" s="100" t="n">
        <f aca="false">G94+G95</f>
        <v>1682.73735910927</v>
      </c>
      <c r="H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220"/>
      <c r="K100" s="220"/>
      <c r="L100" s="220"/>
      <c r="M100" s="220"/>
      <c r="N100" s="220"/>
      <c r="O100" s="220"/>
      <c r="P100" s="220"/>
      <c r="Q100" s="220"/>
      <c r="S100" s="220"/>
      <c r="T100" s="220"/>
      <c r="U100" s="220"/>
      <c r="V100" s="220"/>
      <c r="W100" s="220"/>
      <c r="X100" s="220"/>
      <c r="Y100" s="220"/>
      <c r="Z100" s="220"/>
      <c r="AB100" s="220"/>
      <c r="AC100" s="220"/>
      <c r="AD100" s="220"/>
      <c r="AE100" s="220"/>
      <c r="AF100" s="220"/>
      <c r="AG100" s="220"/>
      <c r="AH100" s="220"/>
      <c r="AI100" s="220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220"/>
      <c r="K102" s="220"/>
      <c r="L102" s="220"/>
      <c r="M102" s="220"/>
      <c r="N102" s="220"/>
      <c r="O102" s="220"/>
      <c r="P102" s="220"/>
      <c r="Q102" s="220"/>
      <c r="S102" s="220"/>
      <c r="T102" s="220"/>
      <c r="U102" s="220"/>
      <c r="V102" s="220"/>
      <c r="W102" s="220"/>
      <c r="X102" s="220"/>
      <c r="Y102" s="220"/>
      <c r="Z102" s="220"/>
      <c r="AB102" s="220"/>
      <c r="AC102" s="220"/>
      <c r="AD102" s="220"/>
      <c r="AE102" s="220"/>
      <c r="AF102" s="220"/>
      <c r="AG102" s="220"/>
      <c r="AH102" s="220"/>
      <c r="AI102" s="220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Z103" s="67" t="s">
        <v>141</v>
      </c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Z104" s="67" t="s">
        <v>273</v>
      </c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32</v>
      </c>
      <c r="F105" s="106"/>
      <c r="G105" s="106"/>
      <c r="H105" s="104"/>
      <c r="K105" s="220"/>
      <c r="L105" s="220"/>
      <c r="M105" s="220"/>
      <c r="N105" s="220"/>
      <c r="O105" s="220"/>
      <c r="P105" s="220"/>
      <c r="T105" s="220"/>
      <c r="U105" s="220"/>
      <c r="V105" s="220"/>
      <c r="W105" s="220"/>
      <c r="X105" s="220"/>
      <c r="Y105" s="220"/>
      <c r="Z105" s="67" t="s">
        <v>274</v>
      </c>
      <c r="AC105" s="220"/>
      <c r="AD105" s="220"/>
      <c r="AE105" s="220"/>
      <c r="AF105" s="220"/>
      <c r="AG105" s="220"/>
      <c r="AH105" s="220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Z106" s="67" t="s">
        <v>275</v>
      </c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Z107" s="67" t="s">
        <v>276</v>
      </c>
    </row>
    <row r="108" customFormat="false" ht="18.75" hidden="false" customHeight="false" outlineLevel="0" collapsed="false">
      <c r="A108" s="240" t="n">
        <v>0.2</v>
      </c>
      <c r="B108" s="109" t="s">
        <v>9</v>
      </c>
      <c r="C108" s="109"/>
      <c r="D108" s="109"/>
      <c r="E108" s="110" t="n">
        <f aca="false">B83</f>
        <v>0.145</v>
      </c>
      <c r="F108" s="110"/>
      <c r="G108" s="110"/>
      <c r="H108" s="51"/>
      <c r="J108" s="13"/>
      <c r="K108" s="220"/>
      <c r="L108" s="220"/>
      <c r="M108" s="220"/>
      <c r="N108" s="13"/>
      <c r="O108" s="13"/>
      <c r="P108" s="13"/>
      <c r="S108" s="13"/>
      <c r="T108" s="220"/>
      <c r="U108" s="220"/>
      <c r="V108" s="220"/>
      <c r="W108" s="13"/>
      <c r="X108" s="13"/>
      <c r="Y108" s="13"/>
      <c r="Z108" s="67" t="s">
        <v>277</v>
      </c>
      <c r="AB108" s="13"/>
      <c r="AC108" s="220"/>
      <c r="AD108" s="220"/>
      <c r="AE108" s="220"/>
      <c r="AF108" s="13"/>
      <c r="AG108" s="13"/>
      <c r="AH108" s="13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Z109" s="67" t="s">
        <v>278</v>
      </c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Z110" s="67" t="s">
        <v>279</v>
      </c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K111" s="220"/>
      <c r="L111" s="220"/>
      <c r="M111" s="220"/>
      <c r="N111" s="220"/>
      <c r="O111" s="220"/>
      <c r="P111" s="220"/>
      <c r="T111" s="220"/>
      <c r="U111" s="220"/>
      <c r="V111" s="220"/>
      <c r="W111" s="220"/>
      <c r="X111" s="220"/>
      <c r="Y111" s="220"/>
      <c r="Z111" s="67" t="s">
        <v>280</v>
      </c>
      <c r="AC111" s="220"/>
      <c r="AD111" s="220"/>
      <c r="AE111" s="220"/>
      <c r="AF111" s="220"/>
      <c r="AG111" s="220"/>
      <c r="AH111" s="220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199.991666666667</v>
      </c>
      <c r="C114" s="109"/>
      <c r="D114" s="109"/>
      <c r="E114" s="109" t="n">
        <v>0</v>
      </c>
      <c r="F114" s="109"/>
      <c r="G114" s="109"/>
      <c r="H114" s="104"/>
      <c r="K114" s="220"/>
      <c r="L114" s="220"/>
      <c r="M114" s="220"/>
      <c r="N114" s="220"/>
      <c r="O114" s="220"/>
      <c r="P114" s="220"/>
      <c r="T114" s="220"/>
      <c r="U114" s="220"/>
      <c r="V114" s="220"/>
      <c r="W114" s="220"/>
      <c r="X114" s="220"/>
      <c r="Y114" s="220"/>
      <c r="AC114" s="220"/>
      <c r="AD114" s="220"/>
      <c r="AE114" s="220"/>
      <c r="AF114" s="220"/>
      <c r="AG114" s="220"/>
      <c r="AH114" s="220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220"/>
      <c r="K117" s="220"/>
      <c r="L117" s="220"/>
      <c r="M117" s="220"/>
      <c r="N117" s="220"/>
      <c r="O117" s="220"/>
      <c r="P117" s="220"/>
      <c r="Q117" s="220"/>
      <c r="S117" s="220"/>
      <c r="T117" s="220"/>
      <c r="U117" s="220"/>
      <c r="V117" s="220"/>
      <c r="W117" s="220"/>
      <c r="X117" s="220"/>
      <c r="Y117" s="220"/>
      <c r="Z117" s="220"/>
      <c r="AB117" s="220"/>
      <c r="AC117" s="220"/>
      <c r="AD117" s="220"/>
      <c r="AE117" s="220"/>
      <c r="AF117" s="220"/>
      <c r="AG117" s="220"/>
      <c r="AH117" s="220"/>
      <c r="AI117" s="220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K119" s="220"/>
      <c r="L119" s="220"/>
      <c r="M119" s="220"/>
      <c r="N119" s="220"/>
      <c r="O119" s="220"/>
      <c r="P119" s="220"/>
      <c r="T119" s="220"/>
      <c r="U119" s="220"/>
      <c r="V119" s="220"/>
      <c r="W119" s="220"/>
      <c r="X119" s="220"/>
      <c r="Y119" s="220"/>
      <c r="AC119" s="220"/>
      <c r="AD119" s="220"/>
      <c r="AE119" s="220"/>
      <c r="AF119" s="220"/>
      <c r="AG119" s="220"/>
      <c r="AH119" s="220"/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</row>
    <row r="121" customFormat="false" ht="18.75" hidden="false" customHeight="false" outlineLevel="0" collapsed="false">
      <c r="A121" s="29" t="s">
        <v>161</v>
      </c>
      <c r="B121" s="29" t="n">
        <f aca="false">B3</f>
        <v>44008.33</v>
      </c>
      <c r="C121" s="44" t="n">
        <f aca="false">B121</f>
        <v>44008.33</v>
      </c>
      <c r="D121" s="29" t="n">
        <f aca="false">D3</f>
        <v>0</v>
      </c>
      <c r="E121" s="44" t="n">
        <f aca="false">D121</f>
        <v>0</v>
      </c>
      <c r="F121" s="29" t="n">
        <f aca="false">F3</f>
        <v>0</v>
      </c>
      <c r="G121" s="44" t="n">
        <f aca="false">F121</f>
        <v>0</v>
      </c>
      <c r="H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f aca="false">B4</f>
        <v>2</v>
      </c>
      <c r="C122" s="123" t="n">
        <f aca="false">B122</f>
        <v>2</v>
      </c>
      <c r="D122" s="122" t="n">
        <f aca="false">D4</f>
        <v>0</v>
      </c>
      <c r="E122" s="123" t="n">
        <f aca="false">D122</f>
        <v>0</v>
      </c>
      <c r="F122" s="122" t="n">
        <f aca="false">F4</f>
        <v>0</v>
      </c>
      <c r="G122" s="124" t="n">
        <f aca="false">F122</f>
        <v>0</v>
      </c>
      <c r="H122" s="125"/>
      <c r="K122" s="13"/>
      <c r="L122" s="13"/>
      <c r="M122" s="13"/>
      <c r="N122" s="13"/>
      <c r="O122" s="13"/>
      <c r="P122" s="13"/>
      <c r="Q122" s="13"/>
      <c r="T122" s="13"/>
      <c r="U122" s="13"/>
      <c r="V122" s="13"/>
      <c r="W122" s="13"/>
      <c r="X122" s="13"/>
      <c r="Y122" s="13"/>
      <c r="Z122" s="13"/>
      <c r="AC122" s="13"/>
      <c r="AD122" s="13"/>
      <c r="AE122" s="13"/>
      <c r="AF122" s="13"/>
      <c r="AG122" s="13"/>
      <c r="AH122" s="13"/>
      <c r="AI122" s="13"/>
    </row>
    <row r="123" customFormat="false" ht="18.75" hidden="false" customHeight="false" outlineLevel="0" collapsed="false">
      <c r="A123" s="35" t="s">
        <v>163</v>
      </c>
      <c r="B123" s="35" t="n">
        <f aca="false">B5</f>
        <v>0</v>
      </c>
      <c r="C123" s="44" t="n">
        <f aca="false">B123</f>
        <v>0</v>
      </c>
      <c r="D123" s="35" t="n">
        <f aca="false">D5</f>
        <v>0</v>
      </c>
      <c r="E123" s="44" t="n">
        <f aca="false">D123</f>
        <v>0</v>
      </c>
      <c r="F123" s="35" t="n">
        <f aca="false">F5</f>
        <v>0</v>
      </c>
      <c r="G123" s="44" t="n">
        <f aca="false">F123</f>
        <v>0</v>
      </c>
      <c r="H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88016.66</v>
      </c>
      <c r="C124" s="31" t="n">
        <f aca="false">(C121*C122/100)+C123</f>
        <v>880.1666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-44008.33</v>
      </c>
      <c r="C125" s="69" t="n">
        <f aca="false">C121-C124</f>
        <v>43128.1634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K130" s="220"/>
      <c r="L130" s="220"/>
      <c r="M130" s="220"/>
      <c r="N130" s="220"/>
      <c r="O130" s="220"/>
      <c r="P130" s="220"/>
      <c r="T130" s="220"/>
      <c r="U130" s="220"/>
      <c r="V130" s="220"/>
      <c r="W130" s="220"/>
      <c r="X130" s="220"/>
      <c r="Y130" s="220"/>
      <c r="AC130" s="220"/>
      <c r="AD130" s="220"/>
      <c r="AE130" s="220"/>
      <c r="AF130" s="220"/>
      <c r="AG130" s="220"/>
      <c r="AH130" s="220"/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K131" s="220"/>
      <c r="L131" s="220"/>
      <c r="M131" s="13"/>
      <c r="N131" s="13"/>
      <c r="O131" s="220"/>
      <c r="P131" s="220"/>
      <c r="T131" s="220"/>
      <c r="U131" s="220"/>
      <c r="V131" s="13"/>
      <c r="W131" s="13"/>
      <c r="X131" s="220"/>
      <c r="Y131" s="220"/>
      <c r="AC131" s="220"/>
      <c r="AD131" s="220"/>
      <c r="AE131" s="13"/>
      <c r="AF131" s="13"/>
      <c r="AG131" s="220"/>
      <c r="AH131" s="220"/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K132" s="220"/>
      <c r="L132" s="220"/>
      <c r="M132" s="13"/>
      <c r="N132" s="13"/>
      <c r="O132" s="220"/>
      <c r="P132" s="220"/>
      <c r="T132" s="220"/>
      <c r="U132" s="220"/>
      <c r="V132" s="13"/>
      <c r="W132" s="13"/>
      <c r="X132" s="220"/>
      <c r="Y132" s="220"/>
      <c r="AC132" s="220"/>
      <c r="AD132" s="220"/>
      <c r="AE132" s="13"/>
      <c r="AF132" s="13"/>
      <c r="AG132" s="220"/>
      <c r="AH132" s="220"/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K133" s="220"/>
      <c r="L133" s="220"/>
      <c r="M133" s="13"/>
      <c r="N133" s="13"/>
      <c r="O133" s="220"/>
      <c r="P133" s="220"/>
      <c r="T133" s="220"/>
      <c r="U133" s="220"/>
      <c r="V133" s="13"/>
      <c r="W133" s="13"/>
      <c r="X133" s="220"/>
      <c r="Y133" s="220"/>
      <c r="AC133" s="220"/>
      <c r="AD133" s="220"/>
      <c r="AE133" s="13"/>
      <c r="AF133" s="13"/>
      <c r="AG133" s="220"/>
      <c r="AH133" s="220"/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H9</f>
        <v>43128.1634</v>
      </c>
      <c r="H135" s="144" t="n">
        <f aca="false">C125+E125+G125+H128</f>
        <v>43128.1634</v>
      </c>
      <c r="J135" s="220"/>
      <c r="K135" s="220"/>
      <c r="L135" s="220"/>
      <c r="M135" s="220"/>
      <c r="N135" s="220"/>
      <c r="O135" s="220"/>
      <c r="S135" s="220"/>
      <c r="T135" s="220"/>
      <c r="U135" s="220"/>
      <c r="V135" s="220"/>
      <c r="W135" s="220"/>
      <c r="X135" s="220"/>
      <c r="AB135" s="220"/>
      <c r="AC135" s="220"/>
      <c r="AD135" s="220"/>
      <c r="AE135" s="220"/>
      <c r="AF135" s="220"/>
      <c r="AG135" s="220"/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150</v>
      </c>
      <c r="H136" s="37" t="n">
        <f aca="false">G136</f>
        <v>150</v>
      </c>
      <c r="J136" s="220"/>
      <c r="K136" s="220"/>
      <c r="L136" s="220"/>
      <c r="M136" s="220"/>
      <c r="N136" s="220"/>
      <c r="O136" s="220"/>
      <c r="S136" s="220"/>
      <c r="T136" s="220"/>
      <c r="U136" s="220"/>
      <c r="V136" s="220"/>
      <c r="W136" s="220"/>
      <c r="X136" s="220"/>
      <c r="AB136" s="220"/>
      <c r="AC136" s="220"/>
      <c r="AD136" s="220"/>
      <c r="AE136" s="220"/>
      <c r="AF136" s="220"/>
      <c r="AG136" s="220"/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146" t="n">
        <f aca="false">H11</f>
        <v>8655.63268</v>
      </c>
      <c r="H137" s="37" t="n">
        <f aca="false">(H135+H136)*20%</f>
        <v>8655.63268</v>
      </c>
      <c r="J137" s="220"/>
      <c r="K137" s="220"/>
      <c r="L137" s="220"/>
      <c r="M137" s="220"/>
      <c r="N137" s="220"/>
      <c r="O137" s="220"/>
      <c r="S137" s="220"/>
      <c r="T137" s="220"/>
      <c r="U137" s="220"/>
      <c r="V137" s="220"/>
      <c r="W137" s="220"/>
      <c r="X137" s="220"/>
      <c r="AB137" s="220"/>
      <c r="AC137" s="220"/>
      <c r="AD137" s="220"/>
      <c r="AE137" s="220"/>
      <c r="AF137" s="220"/>
      <c r="AG137" s="220"/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220"/>
      <c r="K138" s="220"/>
      <c r="L138" s="220"/>
      <c r="M138" s="220"/>
      <c r="N138" s="220"/>
      <c r="O138" s="220"/>
      <c r="S138" s="220"/>
      <c r="T138" s="220"/>
      <c r="U138" s="220"/>
      <c r="V138" s="220"/>
      <c r="W138" s="220"/>
      <c r="X138" s="220"/>
      <c r="AB138" s="220"/>
      <c r="AC138" s="220"/>
      <c r="AD138" s="220"/>
      <c r="AE138" s="220"/>
      <c r="AF138" s="220"/>
      <c r="AG138" s="220"/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1040</v>
      </c>
      <c r="H139" s="37" t="n">
        <f aca="false">G139</f>
        <v>1040</v>
      </c>
      <c r="J139" s="220"/>
      <c r="K139" s="220"/>
      <c r="L139" s="220"/>
      <c r="M139" s="220"/>
      <c r="N139" s="220"/>
      <c r="O139" s="220"/>
      <c r="S139" s="220"/>
      <c r="T139" s="220"/>
      <c r="U139" s="220"/>
      <c r="V139" s="220"/>
      <c r="W139" s="220"/>
      <c r="X139" s="220"/>
      <c r="AB139" s="220"/>
      <c r="AC139" s="220"/>
      <c r="AD139" s="220"/>
      <c r="AE139" s="220"/>
      <c r="AF139" s="220"/>
      <c r="AG139" s="220"/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55</v>
      </c>
      <c r="H140" s="37" t="n">
        <f aca="false">G140</f>
        <v>55</v>
      </c>
      <c r="J140" s="220"/>
      <c r="K140" s="220"/>
      <c r="L140" s="220"/>
      <c r="M140" s="220"/>
      <c r="N140" s="220"/>
      <c r="O140" s="220"/>
      <c r="S140" s="220"/>
      <c r="T140" s="220"/>
      <c r="U140" s="220"/>
      <c r="V140" s="220"/>
      <c r="W140" s="220"/>
      <c r="X140" s="220"/>
      <c r="AB140" s="220"/>
      <c r="AC140" s="220"/>
      <c r="AD140" s="220"/>
      <c r="AE140" s="220"/>
      <c r="AF140" s="220"/>
      <c r="AG140" s="220"/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8" t="n">
        <f aca="false">H15</f>
        <v>53028.79608</v>
      </c>
      <c r="H141" s="147" t="n">
        <f aca="false">(H135+H136+H139+H140+H137)-H138</f>
        <v>53028.79608</v>
      </c>
      <c r="J141" s="220"/>
      <c r="K141" s="220"/>
      <c r="L141" s="220"/>
      <c r="M141" s="220"/>
      <c r="N141" s="220"/>
      <c r="O141" s="220"/>
      <c r="S141" s="220"/>
      <c r="T141" s="220"/>
      <c r="U141" s="220"/>
      <c r="V141" s="220"/>
      <c r="W141" s="220"/>
      <c r="X141" s="220"/>
      <c r="AB141" s="220"/>
      <c r="AC141" s="220"/>
      <c r="AD141" s="220"/>
      <c r="AE141" s="220"/>
      <c r="AF141" s="220"/>
      <c r="AG141" s="220"/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220"/>
      <c r="K142" s="220"/>
      <c r="L142" s="220"/>
      <c r="M142" s="220"/>
      <c r="N142" s="220"/>
      <c r="O142" s="220"/>
      <c r="S142" s="220"/>
      <c r="T142" s="220"/>
      <c r="U142" s="220"/>
      <c r="V142" s="220"/>
      <c r="W142" s="220"/>
      <c r="X142" s="220"/>
      <c r="AB142" s="220"/>
      <c r="AC142" s="220"/>
      <c r="AD142" s="220"/>
      <c r="AE142" s="220"/>
      <c r="AF142" s="220"/>
      <c r="AG142" s="220"/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220"/>
      <c r="K143" s="220"/>
      <c r="L143" s="220"/>
      <c r="M143" s="220"/>
      <c r="N143" s="220"/>
      <c r="O143" s="220"/>
      <c r="S143" s="220"/>
      <c r="T143" s="220"/>
      <c r="U143" s="220"/>
      <c r="V143" s="220"/>
      <c r="W143" s="220"/>
      <c r="X143" s="220"/>
      <c r="AB143" s="220"/>
      <c r="AC143" s="220"/>
      <c r="AD143" s="220"/>
      <c r="AE143" s="220"/>
      <c r="AF143" s="220"/>
      <c r="AG143" s="220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K144" s="220"/>
      <c r="L144" s="220"/>
      <c r="M144" s="220"/>
      <c r="N144" s="220"/>
      <c r="O144" s="220"/>
      <c r="T144" s="220"/>
      <c r="U144" s="220"/>
      <c r="V144" s="220"/>
      <c r="W144" s="220"/>
      <c r="X144" s="220"/>
      <c r="AC144" s="220"/>
      <c r="AD144" s="220"/>
      <c r="AE144" s="220"/>
      <c r="AF144" s="220"/>
      <c r="AG144" s="220"/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0</v>
      </c>
      <c r="K145" s="220"/>
      <c r="L145" s="220"/>
      <c r="M145" s="220"/>
      <c r="N145" s="220"/>
      <c r="O145" s="220"/>
      <c r="T145" s="220"/>
      <c r="U145" s="220"/>
      <c r="V145" s="220"/>
      <c r="W145" s="220"/>
      <c r="X145" s="220"/>
      <c r="AC145" s="220"/>
      <c r="AD145" s="220"/>
      <c r="AE145" s="220"/>
      <c r="AF145" s="220"/>
      <c r="AG145" s="220"/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0</v>
      </c>
      <c r="K146" s="220"/>
      <c r="L146" s="220"/>
      <c r="M146" s="220"/>
      <c r="N146" s="220"/>
      <c r="O146" s="220"/>
      <c r="T146" s="220"/>
      <c r="U146" s="220"/>
      <c r="V146" s="220"/>
      <c r="W146" s="220"/>
      <c r="X146" s="220"/>
      <c r="AC146" s="220"/>
      <c r="AD146" s="220"/>
      <c r="AE146" s="220"/>
      <c r="AF146" s="220"/>
      <c r="AG146" s="220"/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53028.79608</v>
      </c>
      <c r="H147" s="154" t="n">
        <f aca="false">H141-((H144*1.2)+(H145*1.2)+(H146*1.2)+(H142*1.2))</f>
        <v>53028.79608</v>
      </c>
      <c r="J147" s="220"/>
      <c r="K147" s="220"/>
      <c r="L147" s="220"/>
      <c r="M147" s="220"/>
      <c r="N147" s="220"/>
      <c r="O147" s="220"/>
      <c r="S147" s="220"/>
      <c r="T147" s="220"/>
      <c r="U147" s="220"/>
      <c r="V147" s="220"/>
      <c r="W147" s="220"/>
      <c r="X147" s="220"/>
      <c r="AB147" s="220"/>
      <c r="AC147" s="220"/>
      <c r="AD147" s="220"/>
      <c r="AE147" s="220"/>
      <c r="AF147" s="220"/>
      <c r="AG147" s="220"/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0</v>
      </c>
      <c r="I148" s="6" t="n">
        <f aca="false">(H148-G81)/1.2</f>
        <v>-43357.325</v>
      </c>
      <c r="J148" s="220"/>
      <c r="K148" s="220"/>
      <c r="L148" s="220"/>
      <c r="M148" s="220"/>
      <c r="N148" s="220"/>
      <c r="O148" s="220"/>
      <c r="S148" s="220"/>
      <c r="T148" s="220"/>
      <c r="U148" s="220"/>
      <c r="V148" s="220"/>
      <c r="W148" s="220"/>
      <c r="X148" s="220"/>
      <c r="AB148" s="220"/>
      <c r="AC148" s="220"/>
      <c r="AD148" s="220"/>
      <c r="AE148" s="220"/>
      <c r="AF148" s="220"/>
      <c r="AG148" s="220"/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220"/>
      <c r="K150" s="220"/>
      <c r="L150" s="220"/>
      <c r="M150" s="220"/>
      <c r="N150" s="220"/>
      <c r="O150" s="220"/>
      <c r="P150" s="220"/>
      <c r="Q150" s="220"/>
      <c r="S150" s="220"/>
      <c r="T150" s="220"/>
      <c r="U150" s="220"/>
      <c r="V150" s="220"/>
      <c r="W150" s="220"/>
      <c r="X150" s="220"/>
      <c r="Y150" s="220"/>
      <c r="Z150" s="220"/>
      <c r="AB150" s="220"/>
      <c r="AC150" s="220"/>
      <c r="AD150" s="220"/>
      <c r="AE150" s="220"/>
      <c r="AF150" s="220"/>
      <c r="AG150" s="220"/>
      <c r="AH150" s="220"/>
      <c r="AI150" s="220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N152" s="220"/>
      <c r="O152" s="220"/>
      <c r="P152" s="220"/>
      <c r="Q152" s="220"/>
      <c r="W152" s="220"/>
      <c r="X152" s="220"/>
      <c r="Y152" s="220"/>
      <c r="Z152" s="220"/>
      <c r="AF152" s="220"/>
      <c r="AG152" s="220"/>
      <c r="AH152" s="220"/>
      <c r="AI152" s="220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N153" s="220"/>
      <c r="O153" s="220"/>
      <c r="P153" s="220"/>
      <c r="Q153" s="220"/>
      <c r="W153" s="220"/>
      <c r="X153" s="220"/>
      <c r="Y153" s="220"/>
      <c r="Z153" s="220"/>
      <c r="AF153" s="220"/>
      <c r="AG153" s="220"/>
      <c r="AH153" s="220"/>
      <c r="AI153" s="220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N154" s="220"/>
      <c r="O154" s="220"/>
      <c r="P154" s="220"/>
      <c r="Q154" s="220"/>
      <c r="W154" s="220"/>
      <c r="X154" s="220"/>
      <c r="Y154" s="220"/>
      <c r="Z154" s="220"/>
      <c r="AF154" s="220"/>
      <c r="AG154" s="220"/>
      <c r="AH154" s="220"/>
      <c r="AI154" s="220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N155" s="220"/>
      <c r="O155" s="220"/>
      <c r="W155" s="220"/>
      <c r="X155" s="220"/>
      <c r="AF155" s="220"/>
      <c r="AG155" s="220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P157" s="220"/>
      <c r="Q157" s="220"/>
      <c r="Y157" s="220"/>
      <c r="Z157" s="220"/>
      <c r="AH157" s="220"/>
      <c r="AI157" s="220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54228.79608</v>
      </c>
      <c r="H158" s="160"/>
      <c r="P158" s="220"/>
      <c r="Q158" s="220"/>
      <c r="Y158" s="220"/>
      <c r="Z158" s="220"/>
      <c r="AH158" s="220"/>
      <c r="AI158" s="22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P159" s="220"/>
      <c r="Q159" s="220"/>
      <c r="Y159" s="220"/>
      <c r="Z159" s="220"/>
      <c r="AH159" s="220"/>
      <c r="AI159" s="220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220"/>
      <c r="K162" s="220"/>
      <c r="L162" s="220"/>
      <c r="M162" s="220"/>
      <c r="N162" s="220"/>
      <c r="O162" s="220"/>
      <c r="P162" s="220"/>
      <c r="Q162" s="220"/>
      <c r="S162" s="220"/>
      <c r="T162" s="220"/>
      <c r="U162" s="220"/>
      <c r="V162" s="220"/>
      <c r="W162" s="220"/>
      <c r="X162" s="220"/>
      <c r="Y162" s="220"/>
      <c r="Z162" s="220"/>
      <c r="AB162" s="220"/>
      <c r="AC162" s="220"/>
      <c r="AD162" s="220"/>
      <c r="AE162" s="220"/>
      <c r="AF162" s="220"/>
      <c r="AG162" s="220"/>
      <c r="AH162" s="220"/>
      <c r="AI162" s="220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K164" s="220"/>
      <c r="L164" s="220"/>
      <c r="T164" s="220"/>
      <c r="U164" s="220"/>
      <c r="AC164" s="220"/>
      <c r="AD164" s="220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</row>
    <row r="167" customFormat="false" ht="18.75" hidden="false" customHeight="false" outlineLevel="0" collapsed="false">
      <c r="A167" s="241" t="n">
        <f aca="false">B95</f>
        <v>1817.28044481399</v>
      </c>
      <c r="B167" s="166" t="str">
        <f aca="false">B94</f>
        <v>0</v>
      </c>
      <c r="C167" s="164"/>
      <c r="D167" s="164"/>
      <c r="E167" s="166" t="n">
        <f aca="false">B96</f>
        <v>1817.28044481399</v>
      </c>
      <c r="F167" s="27"/>
      <c r="G167" s="27" t="n">
        <f aca="false">ROUND(G95,2)</f>
        <v>1682.74</v>
      </c>
      <c r="H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</row>
    <row r="170" customFormat="false" ht="18.75" hidden="false" customHeight="false" outlineLevel="0" collapsed="false">
      <c r="A170" s="167" t="str">
        <f aca="false">H29</f>
        <v>33</v>
      </c>
      <c r="B170" s="214" t="str">
        <f aca="false">H30</f>
        <v>5000</v>
      </c>
      <c r="C170" s="169"/>
      <c r="D170" s="27"/>
      <c r="E170" s="170" t="n">
        <f aca="false">B82</f>
        <v>7200</v>
      </c>
      <c r="F170" s="27"/>
      <c r="G170" s="27"/>
      <c r="H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</row>
    <row r="173" customFormat="false" ht="18.75" hidden="false" customHeight="false" outlineLevel="0" collapsed="false">
      <c r="A173" s="171" t="n">
        <f aca="false">H141-H137-H139-H140</f>
        <v>43278.1634</v>
      </c>
      <c r="B173" s="42" t="n">
        <f aca="false">H137</f>
        <v>8655.63268</v>
      </c>
      <c r="C173" s="47"/>
      <c r="D173" s="27"/>
      <c r="E173" s="170" t="n">
        <f aca="false">H139+H140</f>
        <v>1095</v>
      </c>
      <c r="F173" s="27"/>
      <c r="G173" s="27"/>
      <c r="H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</row>
    <row r="176" customFormat="false" ht="18.75" hidden="false" customHeight="false" outlineLevel="0" collapsed="false">
      <c r="A176" s="171" t="n">
        <f aca="false">H147</f>
        <v>53028.79608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54228.79608</v>
      </c>
      <c r="F179" s="27"/>
      <c r="G179" s="27"/>
      <c r="H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</row>
    <row r="182" customFormat="false" ht="18.75" hidden="false" customHeight="false" outlineLevel="0" collapsed="false">
      <c r="A182" s="113" t="n">
        <f aca="false">(ROUND(A167, 2)*B59)+ROUND(E185, 2)-ROUND(E179, 2)-ROUND(A185,2)</f>
        <v>9924.16</v>
      </c>
      <c r="B182" s="42" t="n">
        <f aca="false">B114</f>
        <v>199.991666666667</v>
      </c>
      <c r="C182" s="42"/>
      <c r="D182" s="27"/>
      <c r="E182" s="42" t="n">
        <f aca="false">ROUND(E179, 2)+ROUND(A182, 2)+(ROUND(B182, 2)*1.2)+ROUND(A185, 2)</f>
        <v>64417.948</v>
      </c>
      <c r="F182" s="27"/>
      <c r="G182" s="27"/>
      <c r="H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A179+(B182*1.2)</f>
        <v>239.99</v>
      </c>
      <c r="C185" s="42"/>
      <c r="D185" s="27"/>
      <c r="E185" s="42" t="n">
        <f aca="false">IF( E170=0, A185+E167, E170+A185)</f>
        <v>6025</v>
      </c>
      <c r="F185" s="27"/>
      <c r="G185" s="27"/>
      <c r="H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</row>
    <row r="188" customFormat="false" ht="18.75" hidden="false" customHeight="false" outlineLevel="0" collapsed="false">
      <c r="A188" s="113" t="n">
        <f aca="false">J18*0.000002*100</f>
        <v>10.5979992</v>
      </c>
      <c r="B188" s="42" t="n">
        <f aca="false">(G158*B67)</f>
        <v>406.7159706</v>
      </c>
      <c r="C188" s="36"/>
      <c r="D188" s="36"/>
      <c r="E188" s="42" t="n">
        <f aca="false">IF(E105="YES",(H36*A108)*0.1,0)</f>
        <v>0</v>
      </c>
      <c r="F188" s="27"/>
      <c r="G188" s="27"/>
      <c r="H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</row>
    <row r="191" customFormat="false" ht="18.75" hidden="false" customHeight="false" outlineLevel="0" collapsed="false">
      <c r="A191" s="113" t="n">
        <v>20</v>
      </c>
      <c r="B191" s="42" t="n">
        <f aca="false">B188+E188+A191-H156</f>
        <v>-773.2840294</v>
      </c>
      <c r="C191" s="36"/>
      <c r="D191" s="36"/>
      <c r="E191" s="42" t="n">
        <f aca="false">H148</f>
        <v>0</v>
      </c>
      <c r="F191" s="27"/>
      <c r="G191" s="27"/>
      <c r="H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220"/>
      <c r="K195" s="220"/>
      <c r="L195" s="220"/>
      <c r="M195" s="220"/>
      <c r="S195" s="220"/>
      <c r="T195" s="220"/>
      <c r="U195" s="220"/>
      <c r="V195" s="220"/>
      <c r="AB195" s="220"/>
      <c r="AC195" s="220"/>
      <c r="AD195" s="220"/>
      <c r="AE195" s="220"/>
    </row>
    <row r="196" customFormat="false" ht="19.5" hidden="false" customHeight="true" outlineLevel="0" collapsed="false">
      <c r="A196" s="172"/>
      <c r="B196" s="76" t="str">
        <f aca="false">H30</f>
        <v>5000</v>
      </c>
      <c r="C196" s="76"/>
      <c r="D196" s="76"/>
      <c r="E196" s="27"/>
      <c r="F196" s="27"/>
      <c r="G196" s="27"/>
      <c r="H196" s="37"/>
      <c r="J196" s="220"/>
      <c r="K196" s="220"/>
      <c r="L196" s="220"/>
      <c r="M196" s="220"/>
      <c r="S196" s="220"/>
      <c r="T196" s="220"/>
      <c r="U196" s="220"/>
      <c r="V196" s="220"/>
      <c r="AB196" s="220"/>
      <c r="AC196" s="220"/>
      <c r="AD196" s="220"/>
      <c r="AE196" s="220"/>
    </row>
    <row r="197" customFormat="false" ht="18.75" hidden="false" customHeight="false" outlineLevel="0" collapsed="false">
      <c r="A197" s="77" t="str">
        <f aca="false">H29</f>
        <v>33</v>
      </c>
      <c r="B197" s="78" t="n">
        <f aca="false">B96</f>
        <v>1817.28044481399</v>
      </c>
      <c r="C197" s="78"/>
      <c r="D197" s="78"/>
      <c r="E197" s="27"/>
      <c r="F197" s="27"/>
      <c r="G197" s="27"/>
      <c r="H197" s="37"/>
      <c r="K197" s="220"/>
      <c r="L197" s="220"/>
      <c r="M197" s="220"/>
      <c r="T197" s="220"/>
      <c r="U197" s="220"/>
      <c r="V197" s="220"/>
      <c r="AC197" s="220"/>
      <c r="AD197" s="220"/>
      <c r="AE197" s="220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</row>
    <row r="201" customFormat="false" ht="18.75" hidden="false" customHeight="false" outlineLevel="0" collapsed="false">
      <c r="A201" s="40" t="n">
        <f aca="false">IF(A40=0,((G167*(B59+1))-E179),((G167*B59)+E185-E179-A185))</f>
        <v>5618.88391999999</v>
      </c>
      <c r="B201" s="47" t="n">
        <f aca="false">E179+A201+(B182*1.2)+A185</f>
        <v>60112.67</v>
      </c>
      <c r="C201" s="36"/>
      <c r="D201" s="36"/>
      <c r="E201" s="27"/>
      <c r="F201" s="27"/>
      <c r="G201" s="27"/>
      <c r="H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str">
        <f aca="false">A197</f>
        <v>33</v>
      </c>
      <c r="C209" s="164"/>
      <c r="D209" s="164"/>
      <c r="E209" s="164" t="str">
        <f aca="false">B196</f>
        <v>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1817.28044481399</v>
      </c>
      <c r="B212" s="166" t="str">
        <f aca="false">B167</f>
        <v>0</v>
      </c>
      <c r="C212" s="164"/>
      <c r="D212" s="164"/>
      <c r="E212" s="166" t="n">
        <f aca="false">E167</f>
        <v>1817.28044481399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43278.1634</v>
      </c>
      <c r="B215" s="42" t="n">
        <f aca="false">B173</f>
        <v>8655.63268</v>
      </c>
      <c r="C215" s="47"/>
      <c r="D215" s="27"/>
      <c r="E215" s="170" t="n">
        <f aca="false">E173</f>
        <v>1095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53028.79608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54228.79608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9924.16</v>
      </c>
      <c r="B224" s="42" t="n">
        <f aca="false">B182</f>
        <v>199.991666666667</v>
      </c>
      <c r="C224" s="42"/>
      <c r="D224" s="27"/>
      <c r="E224" s="42" t="n">
        <f aca="false">E182</f>
        <v>64417.948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239.99</v>
      </c>
      <c r="C227" s="42"/>
      <c r="D227" s="27"/>
      <c r="E227" s="42" t="n">
        <f aca="false">B59</f>
        <v>32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1817.28044481399</v>
      </c>
      <c r="B230" s="42" t="str">
        <f aca="false">B167</f>
        <v>0</v>
      </c>
      <c r="C230" s="47"/>
      <c r="D230" s="47"/>
      <c r="E230" s="42" t="n">
        <f aca="false">E167</f>
        <v>1817.28044481399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6000</v>
      </c>
      <c r="B233" s="42" t="n">
        <f aca="false">E185</f>
        <v>6025</v>
      </c>
      <c r="C233" s="36"/>
      <c r="D233" s="36"/>
      <c r="E233" s="42" t="n">
        <f aca="false">A188</f>
        <v>10.5979992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0</v>
      </c>
      <c r="B240" s="42" t="n">
        <f aca="false">B188</f>
        <v>406.7159706</v>
      </c>
      <c r="C240" s="36"/>
      <c r="D240" s="36"/>
      <c r="E240" s="42" t="n">
        <f aca="false">IF(E105="YES",(H36*A108)*0.1,0)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B191</f>
        <v>-773.2840294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B63</f>
        <v>0.095</v>
      </c>
      <c r="C253" s="182"/>
      <c r="D253" s="183" t="s">
        <v>227</v>
      </c>
      <c r="E253" s="183"/>
      <c r="F253" s="181" t="n">
        <f aca="false">B83</f>
        <v>0.145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5" t="n">
        <f aca="false">(E182-B182)-(B201-B182-A185)</f>
        <v>4330.27800000001</v>
      </c>
      <c r="C254" s="182"/>
      <c r="D254" s="183" t="s">
        <v>229</v>
      </c>
      <c r="E254" s="183"/>
      <c r="F254" s="185" t="n">
        <f aca="false">F261+F267+F269+B270+B271</f>
        <v>406.7159706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3943.56202940001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0.145</v>
      </c>
      <c r="C260" s="47"/>
      <c r="D260" s="156" t="s">
        <v>228</v>
      </c>
      <c r="E260" s="156"/>
      <c r="F260" s="135" t="n">
        <f aca="false">B254</f>
        <v>4330.27800000001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0.0075</v>
      </c>
      <c r="C261" s="36"/>
      <c r="D261" s="156" t="s">
        <v>234</v>
      </c>
      <c r="E261" s="156"/>
      <c r="F261" s="142" t="n">
        <f aca="false">B68</f>
        <v>406.7159706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3943.56202940001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98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J38:K38"/>
    <mergeCell ref="B41:C41"/>
    <mergeCell ref="D41:E41"/>
    <mergeCell ref="G42:H42"/>
    <mergeCell ref="B44:C44"/>
    <mergeCell ref="D44:E44"/>
    <mergeCell ref="B47:C47"/>
    <mergeCell ref="D47:E47"/>
    <mergeCell ref="A51:A52"/>
    <mergeCell ref="B51:C51"/>
    <mergeCell ref="B52:C52"/>
    <mergeCell ref="B53:C53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5">
    <dataValidation allowBlank="true" errorStyle="stop" operator="between" showDropDown="false" showErrorMessage="true" showInputMessage="true" sqref="A18:A20 B105 C108:D108 A144:A146" type="list">
      <formula1>#ref!</formula1>
      <formula2>0</formula2>
    </dataValidation>
    <dataValidation allowBlank="true" errorStyle="stop" operator="between" showDropDown="false" showErrorMessage="true" showInputMessage="false" sqref="B38" type="list">
      <formula1>$Z$19:$Z$20</formula1>
      <formula2>0</formula2>
    </dataValidation>
    <dataValidation allowBlank="true" errorStyle="stop" operator="between" showDropDown="false" showErrorMessage="true" showInputMessage="false" sqref="A32" type="list">
      <formula1>'FL (Formula 3) - BCH'!$Z$103:$Z$111</formula1>
      <formula2>0</formula2>
    </dataValidation>
    <dataValidation allowBlank="true" errorStyle="stop" operator="between" showDropDown="false" showErrorMessage="true" showInputMessage="true" sqref="E105 A111" type="list">
      <formula1>"YES,NO"</formula1>
      <formula2>0</formula2>
    </dataValidation>
    <dataValidation allowBlank="true" errorStyle="stop" operator="between" showDropDown="false" showErrorMessage="true" showInputMessage="true" sqref="B108" type="list">
      <formula1>"A1 Credit,Limited Credit"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49" colorId="64" zoomScale="100" zoomScaleNormal="100" zoomScalePageLayoutView="100" workbookViewId="0">
      <selection pane="topLeft" activeCell="K32" activeCellId="0" sqref="K32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5" customWidth="true" hidden="false" style="6" width="18.88" collapsed="false" outlineLevel="0"/>
    <col min="6" max="6" customWidth="true" hidden="false" style="6" width="31.88" collapsed="false" outlineLevel="0"/>
    <col min="7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21983.33</v>
      </c>
      <c r="C3" s="398" t="n">
        <v>0</v>
      </c>
      <c r="D3" s="398" t="n">
        <v>479.17</v>
      </c>
      <c r="E3" s="398"/>
      <c r="F3" s="398" t="n">
        <v>500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123" t="n">
        <v>10</v>
      </c>
      <c r="C4" s="123" t="n">
        <v>0</v>
      </c>
      <c r="D4" s="123" t="n">
        <v>5</v>
      </c>
      <c r="E4" s="123"/>
      <c r="F4" s="123" t="n">
        <v>1</v>
      </c>
      <c r="G4" s="123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22</v>
      </c>
      <c r="C5" s="398" t="n">
        <v>0</v>
      </c>
      <c r="D5" s="398" t="n">
        <v>5</v>
      </c>
      <c r="E5" s="398"/>
      <c r="F5" s="398" t="n">
        <v>2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2220.333</v>
      </c>
      <c r="C6" s="209" t="n">
        <f aca="false">(C3*C4/100)+C5</f>
        <v>0</v>
      </c>
      <c r="D6" s="209" t="n">
        <f aca="false">(D3*D4/100)+D5</f>
        <v>28.9585</v>
      </c>
      <c r="E6" s="209"/>
      <c r="F6" s="209" t="n">
        <f aca="false">(F3*F4/100)+F5</f>
        <v>7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19762.997</v>
      </c>
      <c r="C7" s="209" t="n">
        <f aca="false">C3-C6</f>
        <v>0</v>
      </c>
      <c r="D7" s="209" t="n">
        <f aca="false">D3-D6</f>
        <v>450.2115</v>
      </c>
      <c r="E7" s="209"/>
      <c r="F7" s="209" t="n">
        <f aca="false">F3-F6</f>
        <v>493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255</v>
      </c>
    </row>
    <row r="9" customFormat="false" ht="19.7" hidden="false" customHeight="false" outlineLevel="0" collapsed="false">
      <c r="A9" s="143" t="s">
        <v>173</v>
      </c>
      <c r="B9" s="143"/>
      <c r="C9" s="143"/>
      <c r="D9" s="143"/>
      <c r="E9" s="143" t="n">
        <f aca="false">(B7+C7+D7+E3)</f>
        <v>20213.2085</v>
      </c>
      <c r="F9" s="143"/>
      <c r="G9" s="129"/>
      <c r="H9" s="355" t="n">
        <f aca="false">B7+D7+F7+H3</f>
        <v>20706.2085</v>
      </c>
      <c r="I9" s="7"/>
      <c r="J9" s="7"/>
      <c r="K9" s="6" t="s">
        <v>31</v>
      </c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 t="n">
        <v>550</v>
      </c>
      <c r="F10" s="145"/>
      <c r="G10" s="146"/>
      <c r="H10" s="354" t="n">
        <v>670.83</v>
      </c>
      <c r="I10" s="7"/>
      <c r="J10" s="7"/>
      <c r="K10" s="6" t="s">
        <v>32</v>
      </c>
      <c r="L10" s="20" t="s">
        <v>15</v>
      </c>
      <c r="M10" s="14" t="n">
        <f aca="false">H15-H11-M8</f>
        <v>21377.0385</v>
      </c>
    </row>
    <row r="11" customFormat="false" ht="18.75" hidden="false" customHeight="false" outlineLevel="0" collapsed="false">
      <c r="A11" s="145" t="s">
        <v>175</v>
      </c>
      <c r="B11" s="145"/>
      <c r="C11" s="145"/>
      <c r="D11" s="145"/>
      <c r="E11" s="145"/>
      <c r="F11" s="145"/>
      <c r="G11" s="146"/>
      <c r="H11" s="37" t="n">
        <f aca="false">(H9+H10)*20%</f>
        <v>4275.4077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/>
      <c r="C13" s="145"/>
      <c r="D13" s="145"/>
      <c r="E13" s="145" t="n">
        <v>585</v>
      </c>
      <c r="F13" s="145"/>
      <c r="G13" s="146"/>
      <c r="H13" s="354" t="n">
        <v>190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 t="n">
        <v>55</v>
      </c>
      <c r="F14" s="145"/>
      <c r="G14" s="146"/>
      <c r="H14" s="354" t="n">
        <v>65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25907.4462</v>
      </c>
      <c r="I15" s="7"/>
      <c r="J15" s="21" t="n">
        <f aca="false">H15</f>
        <v>25907.4462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 t="n">
        <v>0</v>
      </c>
      <c r="F16" s="145"/>
      <c r="G16" s="146"/>
      <c r="H16" s="354" t="n">
        <v>13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28359.996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 t="n">
        <v>0</v>
      </c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25891.8462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31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41</v>
      </c>
      <c r="K29" s="360" t="n">
        <v>12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20000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17950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/>
      <c r="J32" s="33" t="s">
        <v>49</v>
      </c>
      <c r="K32" s="46" t="n">
        <v>440.04</v>
      </c>
    </row>
    <row r="33" customFormat="false" ht="34.3" hidden="false" customHeight="false" outlineLevel="0" collapsed="false">
      <c r="A33" s="167" t="n">
        <f aca="false">A52</f>
        <v>12</v>
      </c>
      <c r="B33" s="217" t="n">
        <f aca="false">B51</f>
        <v>20000</v>
      </c>
      <c r="C33" s="36"/>
      <c r="D33" s="36"/>
      <c r="E33" s="361" t="n">
        <f aca="false">K48</f>
        <v>715.505013989962</v>
      </c>
      <c r="F33" s="361"/>
      <c r="G33" s="361"/>
      <c r="H33" s="51"/>
      <c r="I33" s="7"/>
      <c r="J33" s="38" t="s">
        <v>366</v>
      </c>
      <c r="K33" s="52" t="n">
        <f aca="false">H21-H11+(H16*20%)</f>
        <v>21619.0385</v>
      </c>
      <c r="L33" s="6" t="n">
        <f aca="false">H21-H11+(H16*20%)</f>
        <v>21619.0385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0.075</v>
      </c>
    </row>
    <row r="36" customFormat="false" ht="18.75" hidden="false" customHeight="false" outlineLevel="0" collapsed="false">
      <c r="A36" s="171" t="n">
        <f aca="false">K47</f>
        <v>678.835013989963</v>
      </c>
      <c r="B36" s="217" t="n">
        <f aca="false">IF(B26="YES",K42,"0.00")</f>
        <v>36.67</v>
      </c>
      <c r="C36" s="217"/>
      <c r="D36" s="217"/>
      <c r="E36" s="361" t="n">
        <f aca="false">K31</f>
        <v>17950</v>
      </c>
      <c r="F36" s="361"/>
      <c r="G36" s="361"/>
      <c r="H36" s="51"/>
      <c r="I36" s="7"/>
      <c r="J36" s="7" t="s">
        <v>63</v>
      </c>
      <c r="K36" s="7" t="n">
        <f aca="false">K29</f>
        <v>12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21619.0385</v>
      </c>
      <c r="L39" s="7" t="n">
        <f aca="false">(L47*K46)+K44</f>
        <v>22592.9608347514</v>
      </c>
      <c r="N39" s="6" t="n">
        <f aca="false">K39-L39</f>
        <v>-973.922334751427</v>
      </c>
    </row>
    <row r="40" customFormat="false" ht="18.75" hidden="false" customHeight="false" outlineLevel="0" collapsed="false">
      <c r="A40" s="109" t="n">
        <f aca="false">E36*A45/100</f>
        <v>17950</v>
      </c>
      <c r="B40" s="109" t="n">
        <f aca="false">IF(B26="YES",K42,"0.00")</f>
        <v>36.67</v>
      </c>
      <c r="C40" s="109"/>
      <c r="D40" s="109"/>
      <c r="E40" s="170" t="n">
        <f aca="false">K32</f>
        <v>440.04</v>
      </c>
      <c r="F40" s="47"/>
      <c r="G40" s="47"/>
      <c r="H40" s="51"/>
      <c r="J40" s="7" t="s">
        <v>119</v>
      </c>
      <c r="K40" s="7" t="n">
        <f aca="false">(A40)/1.2</f>
        <v>14958.3333333333</v>
      </c>
      <c r="L40" s="7" t="n">
        <f aca="false">K39-L39</f>
        <v>-973.922334751427</v>
      </c>
      <c r="N40" s="6" t="n">
        <f aca="false">N38-N39</f>
        <v>3885.60233475143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0.00625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(K32/K36)*C45/100</f>
        <v>36.67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13794.5199935695</v>
      </c>
      <c r="L44" s="7"/>
    </row>
    <row r="45" customFormat="false" ht="18.75" hidden="false" customHeight="false" outlineLevel="0" collapsed="false">
      <c r="A45" s="65" t="n">
        <v>100</v>
      </c>
      <c r="B45" s="36"/>
      <c r="C45" s="66" t="n">
        <v>100</v>
      </c>
      <c r="D45" s="66"/>
      <c r="E45" s="66"/>
      <c r="F45" s="36"/>
      <c r="G45" s="36"/>
      <c r="H45" s="37"/>
      <c r="J45" s="7" t="s">
        <v>377</v>
      </c>
      <c r="K45" s="7" t="n">
        <f aca="false">(K39-K44)</f>
        <v>7824.51850643047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11.5263920469284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678.835013989963</v>
      </c>
      <c r="L47" s="7" t="n">
        <f aca="false">L49-K42</f>
        <v>763.33</v>
      </c>
      <c r="M47" s="6" t="n">
        <f aca="false">K47-L47</f>
        <v>-84.4949860100376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715.505013989962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20000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12</v>
      </c>
      <c r="B52" s="78" t="n">
        <f aca="false">K48</f>
        <v>715.505013989962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11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11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11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11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10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28359.996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28359.996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28359.996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28359.996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0.0105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0.0105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0.0105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0.075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2762.8532136785</v>
      </c>
      <c r="C65" s="36"/>
      <c r="D65" s="36"/>
      <c r="E65" s="27"/>
      <c r="F65" s="27"/>
      <c r="G65" s="27"/>
      <c r="H65" s="37"/>
      <c r="J65" s="60" t="s">
        <v>103</v>
      </c>
      <c r="K65" s="69" t="n">
        <f aca="false">(K89*K59)-(K47*K29)</f>
        <v>27303.5049272063</v>
      </c>
      <c r="L65" s="36"/>
      <c r="M65" s="36"/>
      <c r="N65" s="27"/>
      <c r="O65" s="27"/>
      <c r="P65" s="27"/>
      <c r="Q65" s="37"/>
      <c r="S65" s="60" t="s">
        <v>103</v>
      </c>
      <c r="T65" s="69" t="n">
        <f aca="false">(T89*T59)-(K47*K29)</f>
        <v>-3947.03327388897</v>
      </c>
      <c r="U65" s="36"/>
      <c r="V65" s="36"/>
      <c r="W65" s="27"/>
      <c r="X65" s="27"/>
      <c r="Y65" s="27"/>
      <c r="Z65" s="37"/>
      <c r="AB65" s="60" t="s">
        <v>103</v>
      </c>
      <c r="AC65" s="69" t="n">
        <f aca="false">(AC89*AC59)-(K47*K29)</f>
        <v>-3947.03327388897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0.01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0.01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0.005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0.005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258.918462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1417.9998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141.79998</v>
      </c>
      <c r="U68" s="36"/>
      <c r="V68" s="36"/>
      <c r="W68" s="27"/>
      <c r="X68" s="27"/>
      <c r="Y68" s="27"/>
      <c r="Z68" s="37"/>
      <c r="AB68" s="60" t="s">
        <v>106</v>
      </c>
      <c r="AC68" s="69" t="n">
        <f aca="false">AH158*AC67</f>
        <v>97.554885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B73*K29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36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36"/>
      <c r="G77" s="36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678.835013989963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678.835013989963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715.505013989962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715.505013989962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25891.8462</v>
      </c>
      <c r="C81" s="36"/>
      <c r="D81" s="36"/>
      <c r="E81" s="27"/>
      <c r="F81" s="29" t="s">
        <v>118</v>
      </c>
      <c r="G81" s="31" t="n">
        <f aca="false">G158</f>
        <v>25891.8462</v>
      </c>
      <c r="H81" s="37"/>
      <c r="J81" s="29" t="s">
        <v>118</v>
      </c>
      <c r="K81" s="31" t="n">
        <f aca="false">P158</f>
        <v>34080.984</v>
      </c>
      <c r="L81" s="36"/>
      <c r="M81" s="36"/>
      <c r="N81" s="27"/>
      <c r="O81" s="27"/>
      <c r="P81" s="27"/>
      <c r="Q81" s="37"/>
      <c r="S81" s="29" t="s">
        <v>118</v>
      </c>
      <c r="T81" s="31" t="n">
        <f aca="false">Y158</f>
        <v>19510.977</v>
      </c>
      <c r="U81" s="36"/>
      <c r="V81" s="36"/>
      <c r="W81" s="27"/>
      <c r="X81" s="27"/>
      <c r="Y81" s="27"/>
      <c r="Z81" s="37"/>
      <c r="AB81" s="29" t="s">
        <v>118</v>
      </c>
      <c r="AC81" s="31" t="n">
        <f aca="false">AH158</f>
        <v>19510.977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17950</v>
      </c>
      <c r="C82" s="36"/>
      <c r="D82" s="36"/>
      <c r="E82" s="27"/>
      <c r="F82" s="35" t="s">
        <v>119</v>
      </c>
      <c r="G82" s="37" t="n">
        <f aca="false">IF(A111="YES",A40,0)</f>
        <v>17950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17950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17950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95" t="n">
        <f aca="false">B62+B63+B64</f>
        <v>0.1355</v>
      </c>
      <c r="C83" s="36"/>
      <c r="D83" s="36"/>
      <c r="E83" s="27"/>
      <c r="F83" s="35" t="s">
        <v>120</v>
      </c>
      <c r="G83" s="95" t="n">
        <f aca="false">B63</f>
        <v>0.075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0.1415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0.1415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0.0112916666666667</v>
      </c>
      <c r="C84" s="36"/>
      <c r="D84" s="36"/>
      <c r="E84" s="27"/>
      <c r="F84" s="35" t="s">
        <v>121</v>
      </c>
      <c r="G84" s="88" t="n">
        <f aca="false">G83/12</f>
        <v>0.00625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0.0117916666666667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0.0117916666666667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11</v>
      </c>
      <c r="C85" s="36"/>
      <c r="D85" s="36"/>
      <c r="E85" s="27"/>
      <c r="F85" s="35" t="s">
        <v>122</v>
      </c>
      <c r="G85" s="37" t="n">
        <f aca="false">IF(G82=0,(B59+B58),(B59))</f>
        <v>11</v>
      </c>
      <c r="H85" s="37"/>
      <c r="J85" s="35" t="s">
        <v>122</v>
      </c>
      <c r="K85" s="37" t="n">
        <f aca="false">IF(K82=0,(K59+K58),(K59))</f>
        <v>12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11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11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15687.2677947814</v>
      </c>
      <c r="C86" s="36"/>
      <c r="D86" s="36"/>
      <c r="E86" s="27"/>
      <c r="F86" s="35" t="s">
        <v>123</v>
      </c>
      <c r="G86" s="37" t="n">
        <f aca="false">(G82/((1+G84)^(G85+1)))</f>
        <v>16656.8828922352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15594.4935533431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15594.4935533431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10.2898217378863</v>
      </c>
      <c r="C87" s="36"/>
      <c r="D87" s="36"/>
      <c r="E87" s="27"/>
      <c r="F87" s="35" t="s">
        <v>124</v>
      </c>
      <c r="G87" s="37" t="n">
        <f aca="false">((1-(1/((1+G84)^G85)))/G84)</f>
        <v>10.5984319972217</v>
      </c>
      <c r="H87" s="37"/>
      <c r="J87" s="35" t="s">
        <v>124</v>
      </c>
      <c r="K87" s="37" t="n">
        <f aca="false">((1-(1/((1+K84)^K85)))/K84)</f>
        <v>10.5753412209172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10.2599315027351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10.2599315027351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10204.5784052186</v>
      </c>
      <c r="C88" s="36"/>
      <c r="D88" s="36"/>
      <c r="E88" s="27"/>
      <c r="F88" s="35" t="s">
        <v>125</v>
      </c>
      <c r="G88" s="37" t="n">
        <f aca="false">G81-G86</f>
        <v>9234.96330776479</v>
      </c>
      <c r="H88" s="37"/>
      <c r="J88" s="35" t="s">
        <v>125</v>
      </c>
      <c r="K88" s="37" t="n">
        <f aca="false">K81-K86</f>
        <v>34080.984</v>
      </c>
      <c r="L88" s="36"/>
      <c r="M88" s="36"/>
      <c r="N88" s="27"/>
      <c r="O88" s="27"/>
      <c r="P88" s="27"/>
      <c r="Q88" s="37"/>
      <c r="S88" s="35" t="s">
        <v>125</v>
      </c>
      <c r="T88" s="37" t="n">
        <f aca="false">T81-T86</f>
        <v>3916.48344665687</v>
      </c>
      <c r="U88" s="36"/>
      <c r="V88" s="36"/>
      <c r="W88" s="27"/>
      <c r="X88" s="27"/>
      <c r="Y88" s="27"/>
      <c r="Z88" s="37"/>
      <c r="AB88" s="35" t="s">
        <v>125</v>
      </c>
      <c r="AC88" s="37" t="n">
        <f aca="false">AC81-AC86</f>
        <v>3916.48344665687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991.715761959823</v>
      </c>
      <c r="C89" s="36"/>
      <c r="D89" s="36"/>
      <c r="E89" s="27"/>
      <c r="F89" s="35" t="s">
        <v>126</v>
      </c>
      <c r="G89" s="37" t="n">
        <f aca="false">(G88/G87)</f>
        <v>871.351848102213</v>
      </c>
      <c r="H89" s="37"/>
      <c r="J89" s="35" t="s">
        <v>126</v>
      </c>
      <c r="K89" s="37" t="n">
        <f aca="false">(K88/K87)</f>
        <v>3222.68409955326</v>
      </c>
      <c r="L89" s="36"/>
      <c r="M89" s="36"/>
      <c r="N89" s="27"/>
      <c r="O89" s="27"/>
      <c r="P89" s="27"/>
      <c r="Q89" s="37"/>
      <c r="S89" s="35" t="s">
        <v>126</v>
      </c>
      <c r="T89" s="37" t="n">
        <f aca="false">(T88/T87)</f>
        <v>381.726081271871</v>
      </c>
      <c r="U89" s="36"/>
      <c r="V89" s="36"/>
      <c r="W89" s="27"/>
      <c r="X89" s="27"/>
      <c r="Y89" s="27"/>
      <c r="Z89" s="37"/>
      <c r="AB89" s="35" t="s">
        <v>126</v>
      </c>
      <c r="AC89" s="37" t="n">
        <f aca="false">(AC88/AC87)</f>
        <v>381.726081271871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10908.8733815581</v>
      </c>
      <c r="C90" s="36"/>
      <c r="D90" s="36"/>
      <c r="E90" s="27"/>
      <c r="F90" s="35" t="s">
        <v>127</v>
      </c>
      <c r="G90" s="37" t="n">
        <f aca="false">((G89*(G85))+G77)</f>
        <v>9584.87032912435</v>
      </c>
      <c r="H90" s="37"/>
      <c r="J90" s="35" t="s">
        <v>127</v>
      </c>
      <c r="K90" s="37" t="n">
        <f aca="false">((K89*(K85))+K77)</f>
        <v>38672.2091946391</v>
      </c>
      <c r="L90" s="36"/>
      <c r="M90" s="36"/>
      <c r="N90" s="27"/>
      <c r="O90" s="27"/>
      <c r="P90" s="27"/>
      <c r="Q90" s="37"/>
      <c r="S90" s="35" t="s">
        <v>127</v>
      </c>
      <c r="T90" s="37" t="n">
        <f aca="false">(T89*(T85))+T77</f>
        <v>4198.98689399058</v>
      </c>
      <c r="U90" s="36"/>
      <c r="V90" s="36"/>
      <c r="W90" s="27"/>
      <c r="X90" s="27"/>
      <c r="Y90" s="27"/>
      <c r="Z90" s="37"/>
      <c r="AB90" s="35" t="s">
        <v>127</v>
      </c>
      <c r="AC90" s="37" t="n">
        <f aca="false">(AC89*(AC59))+AC77</f>
        <v>4198.98689399058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(((B89*(B85))+B77)/(1-B71))*B71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n">
        <f aca="false">(K90/(1-K71))*K71</f>
        <v>0</v>
      </c>
      <c r="L91" s="36"/>
      <c r="M91" s="36"/>
      <c r="N91" s="27"/>
      <c r="O91" s="27"/>
      <c r="P91" s="27"/>
      <c r="Q91" s="37"/>
      <c r="S91" s="35" t="s">
        <v>128</v>
      </c>
      <c r="T91" s="37" t="n">
        <f aca="false">(T90/(1-T71))*T71</f>
        <v>0</v>
      </c>
      <c r="U91" s="36"/>
      <c r="V91" s="36"/>
      <c r="W91" s="27"/>
      <c r="X91" s="27"/>
      <c r="Y91" s="27"/>
      <c r="Z91" s="37"/>
      <c r="AB91" s="35" t="s">
        <v>128</v>
      </c>
      <c r="AC91" s="37" t="n">
        <f aca="false">(AC90/(1-AC71))*AC71</f>
        <v>0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10908.8733815581</v>
      </c>
      <c r="C92" s="36"/>
      <c r="D92" s="36"/>
      <c r="E92" s="27"/>
      <c r="F92" s="60" t="s">
        <v>129</v>
      </c>
      <c r="G92" s="69" t="n">
        <f aca="false">(G90+G91)</f>
        <v>9584.87032912435</v>
      </c>
      <c r="H92" s="37"/>
      <c r="J92" s="60" t="s">
        <v>129</v>
      </c>
      <c r="K92" s="69" t="n">
        <f aca="false">(K90+K91)</f>
        <v>38672.2091946391</v>
      </c>
      <c r="L92" s="36"/>
      <c r="M92" s="36"/>
      <c r="N92" s="27"/>
      <c r="O92" s="27"/>
      <c r="P92" s="27"/>
      <c r="Q92" s="37"/>
      <c r="S92" s="60" t="s">
        <v>129</v>
      </c>
      <c r="T92" s="69" t="n">
        <f aca="false">(T90+T91)</f>
        <v>4198.98689399058</v>
      </c>
      <c r="U92" s="36"/>
      <c r="V92" s="36"/>
      <c r="W92" s="27"/>
      <c r="X92" s="27"/>
      <c r="Y92" s="27"/>
      <c r="Z92" s="37"/>
      <c r="AB92" s="60" t="s">
        <v>129</v>
      </c>
      <c r="AC92" s="69" t="n">
        <f aca="false">(AC90+AC91)</f>
        <v>4198.98689399058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6" t="n">
        <f aca="false">IF(B26="YES",((E40/B85)*(1+A108)*(C45/100)),"0")</f>
        <v>48.0043636363636</v>
      </c>
      <c r="C94" s="36"/>
      <c r="D94" s="36"/>
      <c r="E94" s="27"/>
      <c r="F94" s="92" t="s">
        <v>130</v>
      </c>
      <c r="G94" s="96" t="n">
        <f aca="false">IF(B26="YES",((E40/B85)*(1+A108)*(C45/100)),"0")</f>
        <v>48.0043636363636</v>
      </c>
      <c r="H94" s="37"/>
      <c r="J94" s="92" t="s">
        <v>130</v>
      </c>
      <c r="K94" s="93" t="n">
        <f aca="false">((E40/K85)*(1+J108))*1.2</f>
        <v>57.2052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48.0043636363636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57.6052363636364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991.715761959823</v>
      </c>
      <c r="C95" s="36"/>
      <c r="D95" s="36"/>
      <c r="E95" s="27"/>
      <c r="F95" s="97" t="s">
        <v>131</v>
      </c>
      <c r="G95" s="98" t="n">
        <f aca="false">G92/(G85)</f>
        <v>871.351848102213</v>
      </c>
      <c r="H95" s="37"/>
      <c r="J95" s="97" t="s">
        <v>131</v>
      </c>
      <c r="K95" s="98" t="n">
        <f aca="false">K92/(K85)</f>
        <v>3222.68409955326</v>
      </c>
      <c r="L95" s="36"/>
      <c r="M95" s="36"/>
      <c r="N95" s="27"/>
      <c r="O95" s="27"/>
      <c r="P95" s="27"/>
      <c r="Q95" s="37"/>
      <c r="S95" s="97" t="s">
        <v>131</v>
      </c>
      <c r="T95" s="98" t="n">
        <f aca="false">T92/(T85)</f>
        <v>381.726081271871</v>
      </c>
      <c r="U95" s="36"/>
      <c r="V95" s="36"/>
      <c r="W95" s="27"/>
      <c r="X95" s="27"/>
      <c r="Y95" s="27"/>
      <c r="Z95" s="37"/>
      <c r="AB95" s="97" t="s">
        <v>131</v>
      </c>
      <c r="AC95" s="98" t="n">
        <f aca="false">AC92/(AC59)</f>
        <v>381.726081271871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B94+B95</f>
        <v>1039.72012559619</v>
      </c>
      <c r="C96" s="36"/>
      <c r="D96" s="36"/>
      <c r="E96" s="27"/>
      <c r="F96" s="99" t="s">
        <v>132</v>
      </c>
      <c r="G96" s="100" t="n">
        <f aca="false">G94+G95</f>
        <v>919.356211738577</v>
      </c>
      <c r="H96" s="37"/>
      <c r="J96" s="99" t="s">
        <v>132</v>
      </c>
      <c r="K96" s="100" t="n">
        <f aca="false">(K94+K95)</f>
        <v>3279.88929955326</v>
      </c>
      <c r="L96" s="36"/>
      <c r="M96" s="36"/>
      <c r="N96" s="27"/>
      <c r="O96" s="27"/>
      <c r="P96" s="27"/>
      <c r="Q96" s="37"/>
      <c r="S96" s="99" t="s">
        <v>132</v>
      </c>
      <c r="T96" s="100" t="n">
        <f aca="false">T94+T95</f>
        <v>429.730444908234</v>
      </c>
      <c r="U96" s="36"/>
      <c r="V96" s="36"/>
      <c r="W96" s="27"/>
      <c r="X96" s="27"/>
      <c r="Y96" s="27"/>
      <c r="Z96" s="37"/>
      <c r="AB96" s="99" t="s">
        <v>132</v>
      </c>
      <c r="AC96" s="100" t="n">
        <f aca="false">AC94+AC95</f>
        <v>439.331317635507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133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/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362" t="s">
        <v>31</v>
      </c>
      <c r="F105" s="362"/>
      <c r="G105" s="362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0.2</v>
      </c>
      <c r="B108" s="109" t="s">
        <v>9</v>
      </c>
      <c r="C108" s="109"/>
      <c r="D108" s="109" t="n">
        <v>0</v>
      </c>
      <c r="E108" s="110" t="n">
        <f aca="false">B83</f>
        <v>0.1355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0.1415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0.1415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0</v>
      </c>
      <c r="C111" s="109"/>
      <c r="D111" s="109"/>
      <c r="E111" s="109" t="n">
        <v>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0</v>
      </c>
      <c r="B114" s="109" t="n">
        <v>199.991666666667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B3</f>
        <v>21983.33</v>
      </c>
      <c r="C121" s="44" t="n">
        <f aca="false">B121</f>
        <v>21983.33</v>
      </c>
      <c r="D121" s="29" t="n">
        <f aca="false">D3</f>
        <v>479.17</v>
      </c>
      <c r="E121" s="44" t="n">
        <f aca="false">D121</f>
        <v>479.17</v>
      </c>
      <c r="F121" s="29" t="n">
        <f aca="false">F3</f>
        <v>500</v>
      </c>
      <c r="G121" s="44" t="n">
        <f aca="false">F121</f>
        <v>500</v>
      </c>
      <c r="H121" s="121" t="n">
        <f aca="false">H3</f>
        <v>0</v>
      </c>
      <c r="J121" s="29" t="s">
        <v>161</v>
      </c>
      <c r="K121" s="29" t="n">
        <f aca="false">B3</f>
        <v>21983.33</v>
      </c>
      <c r="L121" s="44" t="n">
        <v>28629.17</v>
      </c>
      <c r="M121" s="29" t="n">
        <f aca="false">D3</f>
        <v>479.17</v>
      </c>
      <c r="N121" s="44" t="n">
        <f aca="false">M121</f>
        <v>479.17</v>
      </c>
      <c r="O121" s="29" t="n">
        <f aca="false">F3</f>
        <v>500</v>
      </c>
      <c r="P121" s="44" t="n">
        <f aca="false">O121</f>
        <v>500</v>
      </c>
      <c r="Q121" s="121" t="n">
        <f aca="false">H3</f>
        <v>0</v>
      </c>
      <c r="S121" s="29" t="s">
        <v>161</v>
      </c>
      <c r="T121" s="29" t="n">
        <f aca="false">B3</f>
        <v>21983.33</v>
      </c>
      <c r="U121" s="44" t="n">
        <f aca="false">T121</f>
        <v>21983.33</v>
      </c>
      <c r="V121" s="29" t="n">
        <f aca="false">D3</f>
        <v>479.17</v>
      </c>
      <c r="W121" s="44" t="n">
        <f aca="false">V121</f>
        <v>479.17</v>
      </c>
      <c r="X121" s="29" t="n">
        <f aca="false">F3</f>
        <v>500</v>
      </c>
      <c r="Y121" s="44" t="n">
        <f aca="false">X121</f>
        <v>500</v>
      </c>
      <c r="Z121" s="121" t="n">
        <f aca="false">H3</f>
        <v>0</v>
      </c>
      <c r="AB121" s="29" t="s">
        <v>161</v>
      </c>
      <c r="AC121" s="29" t="n">
        <f aca="false">B3</f>
        <v>21983.33</v>
      </c>
      <c r="AD121" s="44" t="n">
        <f aca="false">AC121</f>
        <v>21983.33</v>
      </c>
      <c r="AE121" s="29" t="n">
        <f aca="false">D3</f>
        <v>479.17</v>
      </c>
      <c r="AF121" s="44" t="n">
        <f aca="false">AE121</f>
        <v>479.17</v>
      </c>
      <c r="AG121" s="29" t="n">
        <f aca="false">F3</f>
        <v>500</v>
      </c>
      <c r="AH121" s="44" t="n">
        <f aca="false">AG121</f>
        <v>500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f aca="false">B4</f>
        <v>10</v>
      </c>
      <c r="C122" s="123" t="n">
        <v>10</v>
      </c>
      <c r="D122" s="122" t="n">
        <f aca="false">D4</f>
        <v>5</v>
      </c>
      <c r="E122" s="123" t="n">
        <v>5</v>
      </c>
      <c r="F122" s="122" t="n">
        <f aca="false">F4</f>
        <v>1</v>
      </c>
      <c r="G122" s="363" t="n">
        <v>1</v>
      </c>
      <c r="H122" s="125"/>
      <c r="J122" s="35" t="s">
        <v>162</v>
      </c>
      <c r="K122" s="122" t="n">
        <f aca="false">B4</f>
        <v>10</v>
      </c>
      <c r="L122" s="123" t="n">
        <v>0</v>
      </c>
      <c r="M122" s="122" t="n">
        <f aca="false">D4</f>
        <v>5</v>
      </c>
      <c r="N122" s="123" t="n">
        <f aca="false">M122</f>
        <v>5</v>
      </c>
      <c r="O122" s="122" t="n">
        <f aca="false">F4</f>
        <v>1</v>
      </c>
      <c r="P122" s="124" t="n">
        <f aca="false">O122</f>
        <v>1</v>
      </c>
      <c r="Q122" s="125"/>
      <c r="S122" s="35" t="s">
        <v>162</v>
      </c>
      <c r="T122" s="122" t="n">
        <f aca="false">B4</f>
        <v>10</v>
      </c>
      <c r="U122" s="123" t="n">
        <v>0.25</v>
      </c>
      <c r="V122" s="122" t="n">
        <f aca="false">D4</f>
        <v>5</v>
      </c>
      <c r="W122" s="123" t="n">
        <f aca="false">V122</f>
        <v>5</v>
      </c>
      <c r="X122" s="122" t="n">
        <f aca="false">F4</f>
        <v>1</v>
      </c>
      <c r="Y122" s="124" t="n">
        <f aca="false">X122</f>
        <v>1</v>
      </c>
      <c r="Z122" s="125"/>
      <c r="AB122" s="35" t="s">
        <v>162</v>
      </c>
      <c r="AC122" s="122" t="n">
        <f aca="false">B4</f>
        <v>10</v>
      </c>
      <c r="AD122" s="123" t="n">
        <v>0.25</v>
      </c>
      <c r="AE122" s="122" t="n">
        <f aca="false">D4</f>
        <v>5</v>
      </c>
      <c r="AF122" s="123" t="n">
        <f aca="false">AE122</f>
        <v>5</v>
      </c>
      <c r="AG122" s="122" t="n">
        <f aca="false">F4</f>
        <v>1</v>
      </c>
      <c r="AH122" s="124" t="n">
        <f aca="false">AG122</f>
        <v>1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f aca="false">B5</f>
        <v>22</v>
      </c>
      <c r="C123" s="44" t="n">
        <v>22</v>
      </c>
      <c r="D123" s="35" t="n">
        <f aca="false">D5</f>
        <v>5</v>
      </c>
      <c r="E123" s="44" t="n">
        <v>5</v>
      </c>
      <c r="F123" s="35" t="n">
        <f aca="false">F5</f>
        <v>2</v>
      </c>
      <c r="G123" s="44" t="n">
        <v>2</v>
      </c>
      <c r="H123" s="37"/>
      <c r="J123" s="35" t="s">
        <v>163</v>
      </c>
      <c r="K123" s="35" t="n">
        <f aca="false">B5</f>
        <v>22</v>
      </c>
      <c r="L123" s="44" t="n">
        <v>0</v>
      </c>
      <c r="M123" s="35" t="n">
        <f aca="false">D5</f>
        <v>5</v>
      </c>
      <c r="N123" s="44" t="n">
        <f aca="false">M123</f>
        <v>5</v>
      </c>
      <c r="O123" s="35" t="n">
        <f aca="false">F5</f>
        <v>2</v>
      </c>
      <c r="P123" s="44" t="n">
        <f aca="false">O123</f>
        <v>2</v>
      </c>
      <c r="Q123" s="37"/>
      <c r="S123" s="35" t="s">
        <v>163</v>
      </c>
      <c r="T123" s="35" t="n">
        <f aca="false">B5</f>
        <v>22</v>
      </c>
      <c r="U123" s="44" t="n">
        <v>0</v>
      </c>
      <c r="V123" s="35" t="n">
        <f aca="false">D5</f>
        <v>5</v>
      </c>
      <c r="W123" s="44" t="n">
        <f aca="false">V123</f>
        <v>5</v>
      </c>
      <c r="X123" s="35" t="n">
        <f aca="false">F5</f>
        <v>2</v>
      </c>
      <c r="Y123" s="44" t="n">
        <f aca="false">X123</f>
        <v>2</v>
      </c>
      <c r="Z123" s="37"/>
      <c r="AB123" s="35" t="s">
        <v>163</v>
      </c>
      <c r="AC123" s="35" t="n">
        <f aca="false">B5</f>
        <v>22</v>
      </c>
      <c r="AD123" s="44" t="n">
        <v>0</v>
      </c>
      <c r="AE123" s="35" t="n">
        <f aca="false">D5</f>
        <v>5</v>
      </c>
      <c r="AF123" s="44" t="n">
        <f aca="false">AE123</f>
        <v>5</v>
      </c>
      <c r="AG123" s="35" t="n">
        <f aca="false">F5</f>
        <v>2</v>
      </c>
      <c r="AH123" s="44" t="n">
        <f aca="false">AG123</f>
        <v>2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219855.3</v>
      </c>
      <c r="C124" s="31" t="n">
        <f aca="false">(C121*C122/100)+C123</f>
        <v>2220.333</v>
      </c>
      <c r="D124" s="35" t="n">
        <f aca="false">(D121*D122)+D123</f>
        <v>2400.85</v>
      </c>
      <c r="E124" s="31" t="n">
        <f aca="false">(E121*E122/100)+E123</f>
        <v>28.9585</v>
      </c>
      <c r="F124" s="35" t="n">
        <f aca="false">(F121*F122)+F123</f>
        <v>502</v>
      </c>
      <c r="G124" s="31" t="n">
        <f aca="false">(G121*G122/100)+G123</f>
        <v>7</v>
      </c>
      <c r="H124" s="37"/>
      <c r="J124" s="35" t="s">
        <v>164</v>
      </c>
      <c r="K124" s="35" t="n">
        <f aca="false">(K121*K122)+K123</f>
        <v>219855.3</v>
      </c>
      <c r="L124" s="31" t="n">
        <f aca="false">(L121*L122)+L123</f>
        <v>0</v>
      </c>
      <c r="M124" s="35" t="n">
        <f aca="false">(M121*M122)+M123</f>
        <v>2400.85</v>
      </c>
      <c r="N124" s="31" t="n">
        <f aca="false">(N121*N122)+N123</f>
        <v>2400.85</v>
      </c>
      <c r="O124" s="35" t="n">
        <f aca="false">(O121*O122)+O123</f>
        <v>502</v>
      </c>
      <c r="P124" s="31" t="n">
        <f aca="false">(P121*P122)+P123</f>
        <v>502</v>
      </c>
      <c r="Q124" s="37"/>
      <c r="S124" s="35" t="s">
        <v>164</v>
      </c>
      <c r="T124" s="35" t="n">
        <f aca="false">(T121*T122)+T123</f>
        <v>219855.3</v>
      </c>
      <c r="U124" s="31" t="n">
        <f aca="false">(U121*U122)+U123</f>
        <v>5495.8325</v>
      </c>
      <c r="V124" s="35" t="n">
        <f aca="false">(V121*V122)+V123</f>
        <v>2400.85</v>
      </c>
      <c r="W124" s="31" t="n">
        <f aca="false">(W121*W122)+W123</f>
        <v>2400.85</v>
      </c>
      <c r="X124" s="35" t="n">
        <f aca="false">(X121*X122)+X123</f>
        <v>502</v>
      </c>
      <c r="Y124" s="31" t="n">
        <f aca="false">(Y121*Y122)+Y123</f>
        <v>502</v>
      </c>
      <c r="Z124" s="37"/>
      <c r="AB124" s="35" t="s">
        <v>164</v>
      </c>
      <c r="AC124" s="35" t="n">
        <f aca="false">(AC121*AC122)+AC123</f>
        <v>219855.3</v>
      </c>
      <c r="AD124" s="31" t="n">
        <f aca="false">(AD121*AD122)+AD123</f>
        <v>5495.8325</v>
      </c>
      <c r="AE124" s="35" t="n">
        <f aca="false">(AE121*AE122)+AE123</f>
        <v>2400.85</v>
      </c>
      <c r="AF124" s="31" t="n">
        <f aca="false">(AF121*AF122)+AF123</f>
        <v>2400.85</v>
      </c>
      <c r="AG124" s="35" t="n">
        <f aca="false">(AG121*AG122)+AG123</f>
        <v>502</v>
      </c>
      <c r="AH124" s="31" t="n">
        <f aca="false">(AH121*AH122)+AH123</f>
        <v>502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-197871.97</v>
      </c>
      <c r="C125" s="69" t="n">
        <f aca="false">C121-C124</f>
        <v>19762.997</v>
      </c>
      <c r="D125" s="60" t="n">
        <f aca="false">D121-D124</f>
        <v>-1921.68</v>
      </c>
      <c r="E125" s="69" t="n">
        <f aca="false">E121-E124</f>
        <v>450.2115</v>
      </c>
      <c r="F125" s="60" t="n">
        <f aca="false">F121-F124</f>
        <v>-2</v>
      </c>
      <c r="G125" s="69" t="n">
        <f aca="false">G121-G124</f>
        <v>493</v>
      </c>
      <c r="H125" s="69"/>
      <c r="J125" s="60" t="s">
        <v>165</v>
      </c>
      <c r="K125" s="60" t="n">
        <f aca="false">K121-K124</f>
        <v>-197871.97</v>
      </c>
      <c r="L125" s="69" t="n">
        <f aca="false">L121-L124</f>
        <v>28629.17</v>
      </c>
      <c r="M125" s="60" t="n">
        <f aca="false">M121-M124</f>
        <v>-1921.68</v>
      </c>
      <c r="N125" s="69" t="n">
        <f aca="false">N121-N124</f>
        <v>-1921.68</v>
      </c>
      <c r="O125" s="60" t="n">
        <f aca="false">O121-O124</f>
        <v>-2</v>
      </c>
      <c r="P125" s="69" t="n">
        <f aca="false">P121-P124</f>
        <v>-2</v>
      </c>
      <c r="Q125" s="69"/>
      <c r="S125" s="60" t="s">
        <v>165</v>
      </c>
      <c r="T125" s="60" t="n">
        <f aca="false">T121-T124</f>
        <v>-197871.97</v>
      </c>
      <c r="U125" s="69" t="n">
        <f aca="false">U121-U124</f>
        <v>16487.4975</v>
      </c>
      <c r="V125" s="60" t="n">
        <f aca="false">V121-V124</f>
        <v>-1921.68</v>
      </c>
      <c r="W125" s="69" t="n">
        <f aca="false">W121-W124</f>
        <v>-1921.68</v>
      </c>
      <c r="X125" s="60" t="n">
        <f aca="false">X121-X124</f>
        <v>-2</v>
      </c>
      <c r="Y125" s="69" t="n">
        <f aca="false">Y121-Y124</f>
        <v>-2</v>
      </c>
      <c r="Z125" s="69"/>
      <c r="AB125" s="60" t="s">
        <v>165</v>
      </c>
      <c r="AC125" s="60" t="n">
        <f aca="false">AC121-AC124</f>
        <v>-197871.97</v>
      </c>
      <c r="AD125" s="69" t="n">
        <f aca="false">AD121-AD124</f>
        <v>16487.4975</v>
      </c>
      <c r="AE125" s="60" t="n">
        <f aca="false">AE121-AE124</f>
        <v>-1921.68</v>
      </c>
      <c r="AF125" s="69" t="n">
        <f aca="false">AF121-AF124</f>
        <v>-1921.68</v>
      </c>
      <c r="AG125" s="60" t="n">
        <f aca="false">AG121-AG124</f>
        <v>-2</v>
      </c>
      <c r="AH125" s="69" t="n">
        <f aca="false">AH121-AH124</f>
        <v>-2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H9</f>
        <v>20706.2085</v>
      </c>
      <c r="H135" s="144" t="n">
        <f aca="false">C125+E125+G125+H128</f>
        <v>20706.2085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20706.2085</v>
      </c>
      <c r="Q135" s="144" t="n">
        <f aca="false">L125+N125+P125+Q128</f>
        <v>26705.49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20706.2085</v>
      </c>
      <c r="Z135" s="144" t="n">
        <f aca="false">U125+W125+Y125+Z128</f>
        <v>14563.8175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20706.2085</v>
      </c>
      <c r="AI135" s="144" t="n">
        <f aca="false">AD125+AF125+AH125+AI128</f>
        <v>14563.8175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670.83</v>
      </c>
      <c r="H136" s="37" t="n">
        <f aca="false">G136</f>
        <v>670.83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670.83</v>
      </c>
      <c r="Q136" s="37" t="n">
        <f aca="false">P136</f>
        <v>670.83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670.83</v>
      </c>
      <c r="Z136" s="37" t="n">
        <f aca="false">Y136</f>
        <v>670.83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670.83</v>
      </c>
      <c r="AI136" s="37" t="n">
        <f aca="false">AH136</f>
        <v>670.83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146" t="n">
        <f aca="false">H11</f>
        <v>4275.4077</v>
      </c>
      <c r="H137" s="37" t="n">
        <f aca="false">(H135+H136)*20%</f>
        <v>4275.4077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4275.4077</v>
      </c>
      <c r="Q137" s="37" t="n">
        <f aca="false">(Q135+Q136)*20%</f>
        <v>5475.264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4275.4077</v>
      </c>
      <c r="Z137" s="37" t="n">
        <f aca="false">(Z135+Z136)*20%</f>
        <v>3046.9295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4275.4077</v>
      </c>
      <c r="AI137" s="37" t="n">
        <f aca="false">(AI135+AI136)*20%</f>
        <v>3046.9295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190</v>
      </c>
      <c r="H139" s="37" t="n">
        <f aca="false">G139</f>
        <v>190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190</v>
      </c>
      <c r="Q139" s="37" t="n">
        <f aca="false">P139</f>
        <v>190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190</v>
      </c>
      <c r="Z139" s="37" t="n">
        <f aca="false">Y139</f>
        <v>190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190</v>
      </c>
      <c r="AI139" s="37" t="n">
        <f aca="false">AH139</f>
        <v>190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65</v>
      </c>
      <c r="H140" s="37" t="n">
        <f aca="false">G140</f>
        <v>65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65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65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65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8" t="n">
        <f aca="false">H15</f>
        <v>25907.4462</v>
      </c>
      <c r="H141" s="147" t="n">
        <f aca="false">(H135+H136+H139+H140+H137)-H138</f>
        <v>25907.4462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25907.4462</v>
      </c>
      <c r="Q141" s="147" t="n">
        <f aca="false">(Q135+Q136+Q139+Q140+Q137)-Q138</f>
        <v>33096.584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25907.4462</v>
      </c>
      <c r="Z141" s="147" t="n">
        <f aca="false">(Z135+Z136+Z139+Z140+Z137)-Z138</f>
        <v>18526.577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25907.4462</v>
      </c>
      <c r="AI141" s="147" t="n">
        <f aca="false">(AI135+AI136+AI139+AI140+AI137)-AI138</f>
        <v>18526.577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13</v>
      </c>
      <c r="H142" s="44" t="n">
        <f aca="false">G142</f>
        <v>13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13</v>
      </c>
      <c r="Q142" s="44" t="n">
        <f aca="false">P142</f>
        <v>13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13</v>
      </c>
      <c r="Z142" s="44" t="n">
        <f aca="false">Y142</f>
        <v>13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13</v>
      </c>
      <c r="AI142" s="44" t="n">
        <f aca="false">AH142</f>
        <v>13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n">
        <v>0</v>
      </c>
      <c r="C144" s="151"/>
      <c r="D144" s="151"/>
      <c r="E144" s="151"/>
      <c r="F144" s="151"/>
      <c r="G144" s="146" t="n">
        <f aca="false">H18</f>
        <v>0</v>
      </c>
      <c r="H144" s="44" t="n"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v>0</v>
      </c>
      <c r="I145" s="6" t="n">
        <f aca="false">(G142+G145+G146+G144)</f>
        <v>13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v>0</v>
      </c>
      <c r="I146" s="6" t="n">
        <f aca="false">(H142+H144+H145+H146)</f>
        <v>13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25891.8462</v>
      </c>
      <c r="H147" s="154" t="n">
        <f aca="false">H141-((H144*1.2)+(H145*1.2)+(H146*1.2)+(H142*1.2))</f>
        <v>25891.8462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25891.8462</v>
      </c>
      <c r="Q147" s="154" t="n">
        <f aca="false">Q141-((Q144*1.2)+(Q145*1.2)+(Q146*1.2)+(Q142*1.2))</f>
        <v>33080.984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25891.8462</v>
      </c>
      <c r="Z147" s="154" t="n">
        <f aca="false">Z141-((Z144*1.2)+(Z145*1.2)+(Z146*1.2)+(Z142*1.2))</f>
        <v>18510.977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25891.8462</v>
      </c>
      <c r="AI147" s="154" t="n">
        <f aca="false">AI141-((AI144*1.2)+(AI145*1.2)+(AI146*1.2)+(AI142*1.2))</f>
        <v>18510.977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0</v>
      </c>
      <c r="I148" s="6" t="n">
        <f aca="false">(H148-G81)/1.2</f>
        <v>-21576.5385</v>
      </c>
      <c r="J148" s="145" t="s">
        <v>184</v>
      </c>
      <c r="K148" s="145"/>
      <c r="L148" s="145"/>
      <c r="M148" s="145"/>
      <c r="N148" s="145"/>
      <c r="O148" s="145"/>
      <c r="P148" s="146"/>
      <c r="Q148" s="44" t="n">
        <f aca="false">Q147-P147</f>
        <v>7189.1378</v>
      </c>
      <c r="S148" s="145" t="s">
        <v>184</v>
      </c>
      <c r="T148" s="145"/>
      <c r="U148" s="145"/>
      <c r="V148" s="145"/>
      <c r="W148" s="145"/>
      <c r="X148" s="145"/>
      <c r="Y148" s="146"/>
      <c r="Z148" s="44" t="n">
        <f aca="false">Z147-Y147</f>
        <v>-7380.86920000001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n">
        <f aca="false">AI147-AH147</f>
        <v>-7380.86920000001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25891.8462</v>
      </c>
      <c r="H158" s="160"/>
      <c r="J158" s="159" t="s">
        <v>192</v>
      </c>
      <c r="K158" s="36"/>
      <c r="L158" s="36"/>
      <c r="M158" s="27"/>
      <c r="N158" s="36"/>
      <c r="O158" s="27"/>
      <c r="P158" s="160" t="n">
        <f aca="false">Q147-P154-P157</f>
        <v>34080.984</v>
      </c>
      <c r="Q158" s="160"/>
      <c r="S158" s="159" t="s">
        <v>192</v>
      </c>
      <c r="T158" s="36"/>
      <c r="U158" s="36"/>
      <c r="V158" s="27"/>
      <c r="W158" s="36"/>
      <c r="X158" s="27"/>
      <c r="Y158" s="160" t="n">
        <f aca="false">Z147-Y154-Y157</f>
        <v>19510.977</v>
      </c>
      <c r="Z158" s="160"/>
      <c r="AB158" s="159" t="s">
        <v>192</v>
      </c>
      <c r="AC158" s="36"/>
      <c r="AD158" s="36"/>
      <c r="AE158" s="27"/>
      <c r="AF158" s="36"/>
      <c r="AG158" s="27"/>
      <c r="AH158" s="160" t="n">
        <f aca="false">AI147-AH154-AH157</f>
        <v>19510.977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241" t="n">
        <f aca="false">B95</f>
        <v>991.715761959823</v>
      </c>
      <c r="B167" s="166" t="n">
        <f aca="false">B94</f>
        <v>48.0043636363636</v>
      </c>
      <c r="C167" s="164"/>
      <c r="D167" s="164"/>
      <c r="E167" s="166" t="n">
        <f aca="false">B96</f>
        <v>1039.72012559619</v>
      </c>
      <c r="F167" s="27"/>
      <c r="G167" s="27" t="n">
        <f aca="false">ROUND(G95,2)</f>
        <v>871.35</v>
      </c>
      <c r="H167" s="37"/>
      <c r="J167" s="165" t="n">
        <f aca="false">K95</f>
        <v>3222.68409955326</v>
      </c>
      <c r="K167" s="166" t="n">
        <f aca="false">K94</f>
        <v>57.2052</v>
      </c>
      <c r="L167" s="164"/>
      <c r="M167" s="164"/>
      <c r="N167" s="166" t="n">
        <f aca="false">K96</f>
        <v>3279.88929955326</v>
      </c>
      <c r="O167" s="27"/>
      <c r="P167" s="27"/>
      <c r="Q167" s="37"/>
      <c r="S167" s="165" t="n">
        <f aca="false">T95</f>
        <v>381.726081271871</v>
      </c>
      <c r="T167" s="166" t="n">
        <f aca="false">T94</f>
        <v>48.0043636363636</v>
      </c>
      <c r="U167" s="164"/>
      <c r="V167" s="164"/>
      <c r="W167" s="166" t="n">
        <f aca="false">T96</f>
        <v>429.730444908234</v>
      </c>
      <c r="X167" s="27"/>
      <c r="Y167" s="27"/>
      <c r="Z167" s="37"/>
      <c r="AB167" s="165" t="n">
        <f aca="false">AC95</f>
        <v>381.726081271871</v>
      </c>
      <c r="AC167" s="166" t="n">
        <f aca="false">AC94</f>
        <v>57.6052363636364</v>
      </c>
      <c r="AD167" s="164"/>
      <c r="AE167" s="164"/>
      <c r="AF167" s="166" t="n">
        <f aca="false">AC96</f>
        <v>439.331317635507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12</v>
      </c>
      <c r="B170" s="168" t="n">
        <f aca="false">K30</f>
        <v>20000</v>
      </c>
      <c r="C170" s="169"/>
      <c r="D170" s="27"/>
      <c r="E170" s="170" t="n">
        <f aca="false">IF(A111="YES",A40,0)</f>
        <v>17950</v>
      </c>
      <c r="F170" s="27"/>
      <c r="G170" s="27"/>
      <c r="H170" s="37"/>
      <c r="J170" s="167" t="n">
        <f aca="false">K29</f>
        <v>12</v>
      </c>
      <c r="K170" s="168" t="n">
        <f aca="false">K30</f>
        <v>20000</v>
      </c>
      <c r="L170" s="169"/>
      <c r="M170" s="27"/>
      <c r="N170" s="170" t="n">
        <f aca="false">IF(A111="YES",A40,0)</f>
        <v>17950</v>
      </c>
      <c r="O170" s="27"/>
      <c r="P170" s="27"/>
      <c r="Q170" s="37"/>
      <c r="S170" s="167" t="n">
        <f aca="false">K29</f>
        <v>12</v>
      </c>
      <c r="T170" s="168" t="n">
        <f aca="false">K30</f>
        <v>20000</v>
      </c>
      <c r="U170" s="169"/>
      <c r="V170" s="27"/>
      <c r="W170" s="170" t="n">
        <f aca="false">IF(A111="YES",A40,0)</f>
        <v>17950</v>
      </c>
      <c r="X170" s="27"/>
      <c r="Y170" s="27"/>
      <c r="Z170" s="37"/>
      <c r="AB170" s="167" t="n">
        <f aca="false">K29</f>
        <v>12</v>
      </c>
      <c r="AC170" s="168" t="n">
        <f aca="false">K30</f>
        <v>20000</v>
      </c>
      <c r="AD170" s="169"/>
      <c r="AE170" s="27"/>
      <c r="AF170" s="170" t="n">
        <f aca="false">IF(A111="YES",A40,0)</f>
        <v>17950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21377.0385</v>
      </c>
      <c r="B173" s="42" t="n">
        <f aca="false">H137</f>
        <v>4275.4077</v>
      </c>
      <c r="C173" s="47"/>
      <c r="D173" s="27"/>
      <c r="E173" s="170" t="n">
        <f aca="false">H139+H140</f>
        <v>255</v>
      </c>
      <c r="F173" s="27"/>
      <c r="G173" s="27"/>
      <c r="H173" s="37"/>
      <c r="J173" s="171" t="n">
        <f aca="false">Q141-Q137-Q139-Q140</f>
        <v>27376.32</v>
      </c>
      <c r="K173" s="42" t="n">
        <f aca="false">Q137</f>
        <v>5475.264</v>
      </c>
      <c r="L173" s="47"/>
      <c r="M173" s="27"/>
      <c r="N173" s="170" t="n">
        <f aca="false">Q139+Q140</f>
        <v>245</v>
      </c>
      <c r="O173" s="27"/>
      <c r="P173" s="27"/>
      <c r="Q173" s="37"/>
      <c r="S173" s="171" t="n">
        <f aca="false">Z141-Z137-Z139-Z140</f>
        <v>15234.6475</v>
      </c>
      <c r="T173" s="42" t="n">
        <f aca="false">Z137</f>
        <v>3046.9295</v>
      </c>
      <c r="U173" s="47"/>
      <c r="V173" s="27"/>
      <c r="W173" s="170" t="n">
        <f aca="false">Z139+Z140</f>
        <v>245</v>
      </c>
      <c r="X173" s="27"/>
      <c r="Y173" s="27"/>
      <c r="Z173" s="37"/>
      <c r="AB173" s="171" t="n">
        <f aca="false">AI141-AI137-AI139-AI140</f>
        <v>15234.6475</v>
      </c>
      <c r="AC173" s="42" t="n">
        <f aca="false">AI137</f>
        <v>3046.9295</v>
      </c>
      <c r="AD173" s="47"/>
      <c r="AE173" s="27"/>
      <c r="AF173" s="170" t="n">
        <f aca="false">AI139+AI140</f>
        <v>245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H147</f>
        <v>25891.8462</v>
      </c>
      <c r="B176" s="42" t="n">
        <f aca="false">B111</f>
        <v>0</v>
      </c>
      <c r="C176" s="42"/>
      <c r="D176" s="27"/>
      <c r="E176" s="42" t="n">
        <f aca="false">E111</f>
        <v>0</v>
      </c>
      <c r="F176" s="27"/>
      <c r="G176" s="27"/>
      <c r="H176" s="107"/>
      <c r="J176" s="171" t="n">
        <f aca="false">Q141</f>
        <v>33096.584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n">
        <f aca="false">Z141</f>
        <v>18526.577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n">
        <f aca="false">AI141</f>
        <v>18526.577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0</v>
      </c>
      <c r="B179" s="42" t="n">
        <f aca="false">G154</f>
        <v>0</v>
      </c>
      <c r="C179" s="42"/>
      <c r="D179" s="27"/>
      <c r="E179" s="42" t="n">
        <f aca="false">G158</f>
        <v>25891.8462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n">
        <f aca="false">J176-J179-K179</f>
        <v>34096.584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n">
        <f aca="false">S176-S179-T179</f>
        <v>19526.577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n">
        <f aca="false">AB176-AB179-AC179</f>
        <v>19526.577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(ROUND(A167, 2)*B59)+ROUND(E185, 2)-ROUND(E179, 2)-ROUND(A185,2)</f>
        <v>2967.07</v>
      </c>
      <c r="B182" s="42" t="n">
        <f aca="false">B114</f>
        <v>199.991666666667</v>
      </c>
      <c r="C182" s="42"/>
      <c r="D182" s="27"/>
      <c r="E182" s="42" t="n">
        <f aca="false">ROUND(E179, 2)+ROUND(A182, 2)+(ROUND(B182, 2)*1.2)+ROUND(A185, 2)</f>
        <v>29108.908</v>
      </c>
      <c r="F182" s="27"/>
      <c r="G182" s="27"/>
      <c r="H182" s="107"/>
      <c r="J182" s="113" t="n">
        <f aca="false">(J167*K59)+N185-N179-J185</f>
        <v>19302.9410950859</v>
      </c>
      <c r="K182" s="42" t="n">
        <f aca="false">K114</f>
        <v>239.99</v>
      </c>
      <c r="L182" s="42"/>
      <c r="M182" s="27"/>
      <c r="N182" s="42" t="n">
        <f aca="false">N179+J182+K182+J185</f>
        <v>53659.5150950859</v>
      </c>
      <c r="O182" s="27"/>
      <c r="P182" s="27"/>
      <c r="Q182" s="107"/>
      <c r="S182" s="113" t="n">
        <f aca="false">(S167*T59)+W185-W179-S185</f>
        <v>2622.40989399057</v>
      </c>
      <c r="T182" s="42" t="n">
        <f aca="false">T114</f>
        <v>199.99</v>
      </c>
      <c r="U182" s="42"/>
      <c r="V182" s="27"/>
      <c r="W182" s="42" t="n">
        <f aca="false">W179+S182+T182+S185</f>
        <v>22358.9768939906</v>
      </c>
      <c r="X182" s="27"/>
      <c r="Y182" s="27"/>
      <c r="Z182" s="107"/>
      <c r="AB182" s="113" t="n">
        <f aca="false">(AB167*AC59)+AF185-AF179-AB185</f>
        <v>2622.40989399057</v>
      </c>
      <c r="AC182" s="42" t="n">
        <f aca="false">AC114</f>
        <v>239.99</v>
      </c>
      <c r="AD182" s="42"/>
      <c r="AE182" s="27"/>
      <c r="AF182" s="42" t="n">
        <f aca="false">AF179+AB182+AC182+AB185</f>
        <v>22398.9768939906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A179+(B182*1.2)</f>
        <v>239.99</v>
      </c>
      <c r="C185" s="42"/>
      <c r="D185" s="27"/>
      <c r="E185" s="42" t="n">
        <f aca="false">IF( E170=0, A185+E167, E170+A185)</f>
        <v>17960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17970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17960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17960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IF(E105="YES",J18*0.000002,0)*100</f>
        <v>5.6719992</v>
      </c>
      <c r="B188" s="42" t="n">
        <f aca="false">(G158*B67)</f>
        <v>258.918462</v>
      </c>
      <c r="C188" s="36"/>
      <c r="D188" s="36"/>
      <c r="E188" s="42" t="n">
        <f aca="false">(E40*A108)*0.1*(C45/100)</f>
        <v>8.8008</v>
      </c>
      <c r="F188" s="27"/>
      <c r="G188" s="27"/>
      <c r="H188" s="37"/>
      <c r="J188" s="113" t="n">
        <f aca="false">IF(N105="YES",H15*0.000002,0)</f>
        <v>0.0518148924</v>
      </c>
      <c r="K188" s="42" t="n">
        <f aca="false">(P158*K67)/1.2</f>
        <v>1420.041</v>
      </c>
      <c r="L188" s="36"/>
      <c r="M188" s="36"/>
      <c r="N188" s="42" t="n">
        <f aca="false">(E40*J108)*0.1</f>
        <v>13.2012</v>
      </c>
      <c r="O188" s="27"/>
      <c r="P188" s="27"/>
      <c r="Q188" s="37"/>
      <c r="S188" s="113" t="n">
        <f aca="false">IF(W105="YES",Z15*0.000002,0)</f>
        <v>0</v>
      </c>
      <c r="T188" s="42" t="n">
        <f aca="false">(Y158*T67)/1.2</f>
        <v>81.2957375</v>
      </c>
      <c r="U188" s="36"/>
      <c r="V188" s="36"/>
      <c r="W188" s="42" t="n">
        <f aca="false">(E40*S108)*0.1</f>
        <v>8.8008</v>
      </c>
      <c r="X188" s="36"/>
      <c r="Y188" s="36"/>
      <c r="Z188" s="37"/>
      <c r="AB188" s="113" t="n">
        <f aca="false">IF(AF105="YES",AI15*0.000002,0)</f>
        <v>0</v>
      </c>
      <c r="AC188" s="42" t="n">
        <f aca="false">(AH158*AC67)/1.2</f>
        <v>81.2957375</v>
      </c>
      <c r="AD188" s="36"/>
      <c r="AE188" s="36"/>
      <c r="AF188" s="42" t="n">
        <f aca="false">(E40*AB108)*0.1</f>
        <v>8.8008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287.719262</v>
      </c>
      <c r="C191" s="36"/>
      <c r="D191" s="36"/>
      <c r="E191" s="42" t="n">
        <f aca="false">H148</f>
        <v>0</v>
      </c>
      <c r="F191" s="27"/>
      <c r="G191" s="27"/>
      <c r="H191" s="37"/>
      <c r="J191" s="113" t="n">
        <f aca="false">K185-100</f>
        <v>1139.99</v>
      </c>
      <c r="K191" s="42" t="n">
        <f aca="false">K188+N188+J191</f>
        <v>2573.2322</v>
      </c>
      <c r="L191" s="36"/>
      <c r="M191" s="36"/>
      <c r="N191" s="42" t="n">
        <f aca="false">Q148</f>
        <v>7189.1378</v>
      </c>
      <c r="O191" s="27"/>
      <c r="P191" s="27"/>
      <c r="Q191" s="37"/>
      <c r="S191" s="113" t="n">
        <f aca="false">T185-100</f>
        <v>1099.99</v>
      </c>
      <c r="T191" s="42" t="n">
        <f aca="false">T188+W188+S191</f>
        <v>1190.0865375</v>
      </c>
      <c r="U191" s="36"/>
      <c r="V191" s="36"/>
      <c r="W191" s="42" t="n">
        <f aca="false">Z148</f>
        <v>-7380.86920000001</v>
      </c>
      <c r="X191" s="36"/>
      <c r="Y191" s="36"/>
      <c r="Z191" s="37"/>
      <c r="AB191" s="113" t="n">
        <f aca="false">AC185-100</f>
        <v>1139.99</v>
      </c>
      <c r="AC191" s="42" t="n">
        <f aca="false">AC188+AF188+AB191</f>
        <v>1230.0865375</v>
      </c>
      <c r="AD191" s="36"/>
      <c r="AE191" s="36"/>
      <c r="AF191" s="42" t="n">
        <f aca="false">AI148</f>
        <v>-7380.86920000001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20000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20000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20000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20000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12</v>
      </c>
      <c r="B197" s="78" t="n">
        <f aca="false">B96</f>
        <v>1039.72012559619</v>
      </c>
      <c r="C197" s="78"/>
      <c r="D197" s="78"/>
      <c r="E197" s="27"/>
      <c r="F197" s="27"/>
      <c r="G197" s="27"/>
      <c r="H197" s="37"/>
      <c r="J197" s="77" t="n">
        <f aca="false">K29</f>
        <v>12</v>
      </c>
      <c r="K197" s="78" t="n">
        <f aca="false">K96</f>
        <v>3279.88929955326</v>
      </c>
      <c r="L197" s="78"/>
      <c r="M197" s="78"/>
      <c r="N197" s="27"/>
      <c r="O197" s="27"/>
      <c r="P197" s="27"/>
      <c r="Q197" s="37"/>
      <c r="S197" s="77" t="n">
        <f aca="false">K29</f>
        <v>12</v>
      </c>
      <c r="T197" s="78" t="n">
        <f aca="false">T96</f>
        <v>429.730444908234</v>
      </c>
      <c r="U197" s="78"/>
      <c r="V197" s="78"/>
      <c r="W197" s="27"/>
      <c r="X197" s="27"/>
      <c r="Y197" s="27"/>
      <c r="Z197" s="37"/>
      <c r="AB197" s="77" t="n">
        <f aca="false">K29</f>
        <v>12</v>
      </c>
      <c r="AC197" s="78" t="n">
        <f aca="false">AC96</f>
        <v>439.331317635507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1643.00379999999</v>
      </c>
      <c r="B201" s="47" t="n">
        <f aca="false">E179+A201+(B182*1.2)+A185</f>
        <v>27784.84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n">
        <f aca="false">A197</f>
        <v>12</v>
      </c>
      <c r="C209" s="164"/>
      <c r="D209" s="164"/>
      <c r="E209" s="164" t="n">
        <f aca="false">B196</f>
        <v>20000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991.715761959823</v>
      </c>
      <c r="B212" s="166" t="n">
        <f aca="false">B167</f>
        <v>48.0043636363636</v>
      </c>
      <c r="C212" s="164"/>
      <c r="D212" s="164"/>
      <c r="E212" s="166" t="n">
        <f aca="false">E167</f>
        <v>1039.72012559619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21377.0385</v>
      </c>
      <c r="B215" s="42" t="n">
        <f aca="false">B173</f>
        <v>4275.4077</v>
      </c>
      <c r="C215" s="47"/>
      <c r="D215" s="27"/>
      <c r="E215" s="170" t="n">
        <f aca="false">E173</f>
        <v>255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25891.8462</v>
      </c>
      <c r="B218" s="42" t="n">
        <f aca="false">B176</f>
        <v>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0</v>
      </c>
      <c r="B221" s="42" t="n">
        <f aca="false">B179</f>
        <v>0</v>
      </c>
      <c r="C221" s="42"/>
      <c r="D221" s="27"/>
      <c r="E221" s="42" t="n">
        <f aca="false">E179</f>
        <v>25891.8462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2967.07</v>
      </c>
      <c r="B224" s="42" t="n">
        <f aca="false">B182</f>
        <v>199.991666666667</v>
      </c>
      <c r="C224" s="42"/>
      <c r="D224" s="27"/>
      <c r="E224" s="42" t="n">
        <f aca="false">E182</f>
        <v>29108.908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239.99</v>
      </c>
      <c r="C227" s="42"/>
      <c r="D227" s="27"/>
      <c r="E227" s="42" t="n">
        <f aca="false">B59</f>
        <v>11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991.715761959823</v>
      </c>
      <c r="B230" s="42" t="n">
        <f aca="false">B167</f>
        <v>48.0043636363636</v>
      </c>
      <c r="C230" s="47"/>
      <c r="D230" s="47"/>
      <c r="E230" s="42" t="n">
        <f aca="false">E167</f>
        <v>1039.72012559619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17950</v>
      </c>
      <c r="B233" s="42" t="n">
        <f aca="false">E185</f>
        <v>17960</v>
      </c>
      <c r="C233" s="36"/>
      <c r="D233" s="36"/>
      <c r="E233" s="42" t="n">
        <f aca="false">A188</f>
        <v>5.6719992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0</v>
      </c>
      <c r="B240" s="42" t="n">
        <f aca="false">B68</f>
        <v>258.918462</v>
      </c>
      <c r="C240" s="36"/>
      <c r="D240" s="36"/>
      <c r="E240" s="42" t="n">
        <f aca="false">E188</f>
        <v>8.8008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287.719262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0.075</v>
      </c>
      <c r="C253" s="182"/>
      <c r="D253" s="183" t="s">
        <v>227</v>
      </c>
      <c r="E253" s="183"/>
      <c r="F253" s="181" t="n">
        <f aca="false">B83</f>
        <v>0.1355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1334.068</v>
      </c>
      <c r="C254" s="182"/>
      <c r="D254" s="183" t="s">
        <v>229</v>
      </c>
      <c r="E254" s="183"/>
      <c r="F254" s="185" t="n">
        <f aca="false">F261+F267+F269+B270+B271</f>
        <v>258.918462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108.008</v>
      </c>
      <c r="C255" s="182"/>
      <c r="D255" s="183" t="s">
        <v>231</v>
      </c>
      <c r="E255" s="183"/>
      <c r="F255" s="185" t="n">
        <f aca="false">(B254-F254)+B255</f>
        <v>1183.157538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0.1355</v>
      </c>
      <c r="C260" s="47"/>
      <c r="D260" s="156" t="s">
        <v>228</v>
      </c>
      <c r="E260" s="156"/>
      <c r="F260" s="135" t="n">
        <f aca="false">B254</f>
        <v>1334.068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</v>
      </c>
      <c r="C261" s="36"/>
      <c r="D261" s="156" t="s">
        <v>234</v>
      </c>
      <c r="E261" s="156"/>
      <c r="F261" s="142" t="n">
        <f aca="false">B68</f>
        <v>258.918462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0.3</v>
      </c>
      <c r="C262" s="36"/>
      <c r="D262" s="156" t="s">
        <v>235</v>
      </c>
      <c r="E262" s="156"/>
      <c r="F262" s="135" t="n">
        <f aca="false">E240*10</f>
        <v>88.008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1183.157538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  <c r="J271" s="6" t="n">
        <v>4</v>
      </c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87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A18:A20 B105 K105 N105 T105 W105 AC105 AF105 B108:D108 K108:M108 T108:V108 AC108:AE108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 A111" type="list">
      <formula1>$K$9:$K$10</formula1>
      <formula2>0</formula2>
    </dataValidation>
    <dataValidation allowBlank="true" errorStyle="stop" operator="between" showDropDown="false" showErrorMessage="true" showInputMessage="false" sqref="B70" type="list">
      <formula1>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37" colorId="64" zoomScale="100" zoomScaleNormal="100" zoomScalePageLayoutView="100" workbookViewId="0">
      <selection pane="topLeft" activeCell="F262" activeCellId="0" sqref="F262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20945</v>
      </c>
      <c r="C3" s="398" t="n">
        <v>0</v>
      </c>
      <c r="D3" s="398" t="n">
        <v>0</v>
      </c>
      <c r="E3" s="398"/>
      <c r="F3" s="398" t="n">
        <v>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123" t="n">
        <v>0</v>
      </c>
      <c r="C4" s="123" t="n">
        <v>0</v>
      </c>
      <c r="D4" s="123" t="n">
        <v>0</v>
      </c>
      <c r="E4" s="123"/>
      <c r="F4" s="123" t="n">
        <v>0</v>
      </c>
      <c r="G4" s="123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0</v>
      </c>
      <c r="C5" s="398" t="n">
        <v>0</v>
      </c>
      <c r="D5" s="398" t="n">
        <v>0</v>
      </c>
      <c r="E5" s="398"/>
      <c r="F5" s="398" t="n">
        <v>0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880.1666</v>
      </c>
      <c r="C6" s="209" t="n">
        <f aca="false">(C3*C4/100)+C5</f>
        <v>0</v>
      </c>
      <c r="D6" s="209" t="n">
        <f aca="false">(D3*D4/100)+D5</f>
        <v>0</v>
      </c>
      <c r="E6" s="209"/>
      <c r="F6" s="209" t="n">
        <f aca="false">(F3*F4/100)+F5</f>
        <v>0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43128.1634</v>
      </c>
      <c r="C7" s="209" t="n">
        <f aca="false">C3-C6</f>
        <v>0</v>
      </c>
      <c r="D7" s="209" t="n">
        <f aca="false">D3-D6</f>
        <v>0</v>
      </c>
      <c r="E7" s="209"/>
      <c r="F7" s="209" t="n">
        <f aca="false">F3-F6</f>
        <v>0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1095</v>
      </c>
    </row>
    <row r="9" customFormat="false" ht="19.7" hidden="false" customHeight="false" outlineLevel="0" collapsed="false">
      <c r="A9" s="143" t="s">
        <v>173</v>
      </c>
      <c r="B9" s="143"/>
      <c r="C9" s="143"/>
      <c r="D9" s="143"/>
      <c r="E9" s="143" t="n">
        <f aca="false">(B7+C7+D7+E3)</f>
        <v>43128.1634</v>
      </c>
      <c r="F9" s="143"/>
      <c r="G9" s="129"/>
      <c r="H9" s="355" t="n">
        <f aca="false">B7+D7+F7+H3</f>
        <v>43128.1634</v>
      </c>
      <c r="I9" s="7"/>
      <c r="J9" s="7"/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 t="n">
        <v>50</v>
      </c>
      <c r="F10" s="145"/>
      <c r="G10" s="146"/>
      <c r="H10" s="354" t="n">
        <v>995</v>
      </c>
      <c r="I10" s="7"/>
      <c r="J10" s="7"/>
      <c r="L10" s="20" t="s">
        <v>15</v>
      </c>
      <c r="M10" s="14" t="n">
        <f aca="false">H15-H11-M8</f>
        <v>43278.1634</v>
      </c>
    </row>
    <row r="11" customFormat="false" ht="18.75" hidden="false" customHeight="false" outlineLevel="0" collapsed="false">
      <c r="A11" s="145" t="s">
        <v>175</v>
      </c>
      <c r="B11" s="145"/>
      <c r="C11" s="145"/>
      <c r="D11" s="145"/>
      <c r="E11" s="145"/>
      <c r="F11" s="145"/>
      <c r="G11" s="146"/>
      <c r="H11" s="37" t="n">
        <f aca="false">(H9+H10)*20%</f>
        <v>8655.63268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/>
      <c r="C13" s="145"/>
      <c r="D13" s="145"/>
      <c r="E13" s="145" t="n">
        <v>585</v>
      </c>
      <c r="F13" s="145"/>
      <c r="G13" s="146"/>
      <c r="H13" s="354" t="n">
        <v>290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 t="n">
        <v>55</v>
      </c>
      <c r="F14" s="145"/>
      <c r="G14" s="146"/>
      <c r="H14" s="354" t="n">
        <v>55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53028.79608</v>
      </c>
      <c r="I15" s="7"/>
      <c r="J15" s="21" t="n">
        <f aca="false">H15</f>
        <v>53028.79608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 t="n">
        <v>120</v>
      </c>
      <c r="F16" s="145"/>
      <c r="G16" s="146"/>
      <c r="H16" s="354" t="n">
        <v>0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52989.996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/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53028.79608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31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41</v>
      </c>
      <c r="K29" s="360" t="n">
        <v>35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35000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3615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 t="n">
        <v>0</v>
      </c>
      <c r="J32" s="33" t="s">
        <v>49</v>
      </c>
      <c r="K32" s="46" t="n">
        <v>2040.85</v>
      </c>
    </row>
    <row r="33" customFormat="false" ht="34.3" hidden="false" customHeight="false" outlineLevel="0" collapsed="false">
      <c r="A33" s="167" t="n">
        <f aca="false">A52</f>
        <v>35</v>
      </c>
      <c r="B33" s="217" t="n">
        <f aca="false">B51</f>
        <v>35000</v>
      </c>
      <c r="C33" s="36"/>
      <c r="D33" s="36"/>
      <c r="E33" s="361" t="n">
        <f aca="false">K48</f>
        <v>1310.58763327616</v>
      </c>
      <c r="F33" s="361"/>
      <c r="G33" s="361"/>
      <c r="H33" s="51"/>
      <c r="I33" s="7"/>
      <c r="J33" s="38" t="s">
        <v>366</v>
      </c>
      <c r="K33" s="52" t="n">
        <f aca="false">H21-H11+(H16*20%)</f>
        <v>44373.1634</v>
      </c>
      <c r="L33" s="6" t="n">
        <f aca="false">H21-H11+(H16*20%)</f>
        <v>44373.1634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0.07</v>
      </c>
    </row>
    <row r="36" customFormat="false" ht="18.75" hidden="false" customHeight="false" outlineLevel="0" collapsed="false">
      <c r="A36" s="171" t="n">
        <f aca="false">K47</f>
        <v>1310.58763327616</v>
      </c>
      <c r="B36" s="217" t="str">
        <f aca="false">IF(B26="YES",K42,"0.00")</f>
        <v>0.00</v>
      </c>
      <c r="C36" s="217"/>
      <c r="D36" s="217"/>
      <c r="E36" s="361" t="n">
        <f aca="false">K31</f>
        <v>4425</v>
      </c>
      <c r="F36" s="361"/>
      <c r="G36" s="361"/>
      <c r="H36" s="51"/>
      <c r="I36" s="7"/>
      <c r="J36" s="7" t="s">
        <v>63</v>
      </c>
      <c r="K36" s="7" t="n">
        <f aca="false">K29</f>
        <v>35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44373.1634</v>
      </c>
      <c r="L39" s="7" t="n">
        <f aca="false">(L47*K46)+K44</f>
        <v>28251.1620506994</v>
      </c>
      <c r="N39" s="6" t="n">
        <f aca="false">K39-L39</f>
        <v>16122.0013493007</v>
      </c>
    </row>
    <row r="40" customFormat="false" ht="18.75" hidden="false" customHeight="false" outlineLevel="0" collapsed="false">
      <c r="A40" s="109" t="n">
        <f aca="false">E36*A45/100</f>
        <v>10500</v>
      </c>
      <c r="B40" s="109" t="str">
        <f aca="false">IF(B26="YES",K42,"0.00")</f>
        <v>0.00</v>
      </c>
      <c r="C40" s="109"/>
      <c r="D40" s="109"/>
      <c r="E40" s="170" t="n">
        <f aca="false">K32</f>
        <v>0</v>
      </c>
      <c r="F40" s="47"/>
      <c r="G40" s="47"/>
      <c r="H40" s="51"/>
      <c r="J40" s="7" t="s">
        <v>119</v>
      </c>
      <c r="K40" s="7" t="n">
        <f aca="false">(A40)/1.2</f>
        <v>3687.5</v>
      </c>
      <c r="L40" s="7" t="n">
        <f aca="false">K39-L39</f>
        <v>16122.0013493007</v>
      </c>
      <c r="N40" s="6" t="n">
        <f aca="false">N38-N39</f>
        <v>-13210.3213493007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0.00583333333333333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(K32/K36/100)*C45</f>
        <v>0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2990.85365528518</v>
      </c>
      <c r="L44" s="7"/>
    </row>
    <row r="45" customFormat="false" ht="18.75" hidden="false" customHeight="false" outlineLevel="0" collapsed="false">
      <c r="A45" s="403" t="n">
        <v>100</v>
      </c>
      <c r="B45" s="36"/>
      <c r="C45" s="404" t="n">
        <v>100</v>
      </c>
      <c r="D45" s="404"/>
      <c r="E45" s="404"/>
      <c r="F45" s="36"/>
      <c r="G45" s="36"/>
      <c r="H45" s="37"/>
      <c r="J45" s="7" t="s">
        <v>377</v>
      </c>
      <c r="K45" s="7" t="n">
        <f aca="false">(K39-K44)</f>
        <v>41382.3097447148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31.5753854942677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1310.58763327616</v>
      </c>
      <c r="L47" s="7" t="n">
        <f aca="false">L49-K42</f>
        <v>800</v>
      </c>
      <c r="M47" s="6" t="n">
        <f aca="false">K47-L47</f>
        <v>510.587633276163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1310.58763327616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35000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35</v>
      </c>
      <c r="B52" s="78" t="n">
        <f aca="false">K48</f>
        <v>1310.58763327616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34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34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34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34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52989.996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52989.996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52989.996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52989.996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0.07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28177.2340520041</v>
      </c>
      <c r="C65" s="36"/>
      <c r="D65" s="36"/>
      <c r="E65" s="27"/>
      <c r="F65" s="27"/>
      <c r="G65" s="27"/>
      <c r="H65" s="37"/>
      <c r="J65" s="60" t="s">
        <v>103</v>
      </c>
      <c r="K65" s="69" t="n">
        <f aca="false">(K89*K59)-(K47*K29)</f>
        <v>3948.98964597873</v>
      </c>
      <c r="L65" s="36"/>
      <c r="M65" s="36"/>
      <c r="N65" s="27"/>
      <c r="O65" s="27"/>
      <c r="P65" s="27"/>
      <c r="Q65" s="37"/>
      <c r="S65" s="60" t="s">
        <v>103</v>
      </c>
      <c r="T65" s="69" t="n">
        <f aca="false">(T89*T59)-(K47*K29)</f>
        <v>16567.6176838283</v>
      </c>
      <c r="U65" s="36"/>
      <c r="V65" s="36"/>
      <c r="W65" s="27"/>
      <c r="X65" s="27"/>
      <c r="Y65" s="27"/>
      <c r="Z65" s="37"/>
      <c r="AB65" s="60" t="s">
        <v>103</v>
      </c>
      <c r="AC65" s="69" t="n">
        <f aca="false">(AC89*AC59)-(K47*K29)</f>
        <v>851.364483335594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0.015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0.0739583333333333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0.00979166666666667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0.00979166666666667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984.5179806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3919.0517875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518.8603775</v>
      </c>
      <c r="U68" s="36"/>
      <c r="V68" s="36"/>
      <c r="W68" s="27"/>
      <c r="X68" s="27"/>
      <c r="Y68" s="27"/>
      <c r="Z68" s="37"/>
      <c r="AB68" s="60" t="s">
        <v>106</v>
      </c>
      <c r="AC68" s="69" t="n">
        <f aca="false">AH158*AC67</f>
        <v>410.099449791667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B73*B29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27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27"/>
      <c r="G77" s="27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B77/H29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1310.58763327616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1310.58763327616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1310.58763327616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1310.58763327616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65634.53204</v>
      </c>
      <c r="C81" s="36"/>
      <c r="D81" s="36"/>
      <c r="E81" s="27"/>
      <c r="F81" s="29" t="s">
        <v>118</v>
      </c>
      <c r="G81" s="31" t="n">
        <f aca="false">G158</f>
        <v>65634.53204</v>
      </c>
      <c r="H81" s="37"/>
      <c r="J81" s="29" t="s">
        <v>118</v>
      </c>
      <c r="K81" s="31" t="n">
        <f aca="false">P158</f>
        <v>36630.004</v>
      </c>
      <c r="L81" s="36"/>
      <c r="M81" s="36"/>
      <c r="N81" s="27"/>
      <c r="O81" s="27"/>
      <c r="P81" s="27"/>
      <c r="Q81" s="37"/>
      <c r="S81" s="29" t="s">
        <v>118</v>
      </c>
      <c r="T81" s="31" t="n">
        <f aca="false">Y158</f>
        <v>54952.97101</v>
      </c>
      <c r="U81" s="36"/>
      <c r="V81" s="36"/>
      <c r="W81" s="27"/>
      <c r="X81" s="27"/>
      <c r="Y81" s="27"/>
      <c r="Z81" s="37"/>
      <c r="AB81" s="29" t="s">
        <v>118</v>
      </c>
      <c r="AC81" s="31" t="n">
        <f aca="false">AH158</f>
        <v>41882.497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4425</v>
      </c>
      <c r="C82" s="36"/>
      <c r="D82" s="36"/>
      <c r="E82" s="27"/>
      <c r="F82" s="35" t="s">
        <v>119</v>
      </c>
      <c r="G82" s="37" t="n">
        <f aca="false">IF(A111="YES",A40,0)</f>
        <v>4425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4425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4425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88" t="n">
        <f aca="false">B62+B63+B64</f>
        <v>0.12</v>
      </c>
      <c r="C83" s="36"/>
      <c r="D83" s="36"/>
      <c r="E83" s="27"/>
      <c r="F83" s="35" t="s">
        <v>120</v>
      </c>
      <c r="G83" s="95" t="n">
        <f aca="false">B63</f>
        <v>0.07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0.131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0.131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</v>
      </c>
      <c r="C84" s="36"/>
      <c r="D84" s="36"/>
      <c r="E84" s="27"/>
      <c r="F84" s="35" t="s">
        <v>121</v>
      </c>
      <c r="G84" s="88" t="n">
        <f aca="false">G83/12</f>
        <v>0.00583333333333333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0.0109166666666667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0.0109166666666667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34</v>
      </c>
      <c r="C85" s="36"/>
      <c r="D85" s="36"/>
      <c r="E85" s="27"/>
      <c r="F85" s="35" t="s">
        <v>122</v>
      </c>
      <c r="G85" s="37" t="n">
        <f aca="false">IF(G82=0,(B59+B58),(B59))</f>
        <v>34</v>
      </c>
      <c r="H85" s="37"/>
      <c r="J85" s="35" t="s">
        <v>122</v>
      </c>
      <c r="K85" s="37" t="n">
        <f aca="false">IF(K82=0,(K59+K58),(K59))</f>
        <v>35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34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34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3123.67033112163</v>
      </c>
      <c r="C86" s="36"/>
      <c r="D86" s="36"/>
      <c r="E86" s="27"/>
      <c r="F86" s="35" t="s">
        <v>123</v>
      </c>
      <c r="G86" s="37" t="n">
        <f aca="false">(G82/((1+G84)^(G85+1)))</f>
        <v>3609.96036192921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3026.04785071713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3026.04785071713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28.7026658885233</v>
      </c>
      <c r="C87" s="36"/>
      <c r="D87" s="36"/>
      <c r="E87" s="27"/>
      <c r="F87" s="35" t="s">
        <v>124</v>
      </c>
      <c r="G87" s="37" t="n">
        <f aca="false">((1-(1/((1+G84)^G85)))/G84)</f>
        <v>30.7595752429843</v>
      </c>
      <c r="H87" s="37"/>
      <c r="J87" s="35" t="s">
        <v>124</v>
      </c>
      <c r="K87" s="37" t="n">
        <f aca="false">((1-(1/((1+K84)^K85)))/K84)</f>
        <v>24.9986193320352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28.2762125724768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28.2762125724768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62510.8617088784</v>
      </c>
      <c r="C88" s="36"/>
      <c r="D88" s="36"/>
      <c r="E88" s="27"/>
      <c r="F88" s="35" t="s">
        <v>125</v>
      </c>
      <c r="G88" s="37" t="n">
        <f aca="false">G81-G86</f>
        <v>62024.5716780708</v>
      </c>
      <c r="H88" s="37"/>
      <c r="J88" s="35" t="s">
        <v>125</v>
      </c>
      <c r="K88" s="37" t="n">
        <f aca="false">K81-K86</f>
        <v>36630.004</v>
      </c>
      <c r="L88" s="36"/>
      <c r="M88" s="36"/>
      <c r="N88" s="27"/>
      <c r="O88" s="27"/>
      <c r="P88" s="27"/>
      <c r="Q88" s="37"/>
      <c r="S88" s="35" t="s">
        <v>125</v>
      </c>
      <c r="T88" s="37" t="n">
        <f aca="false">T81-T86</f>
        <v>51926.9231592829</v>
      </c>
      <c r="U88" s="36"/>
      <c r="V88" s="36"/>
      <c r="W88" s="27"/>
      <c r="X88" s="27"/>
      <c r="Y88" s="27"/>
      <c r="Z88" s="37"/>
      <c r="AB88" s="35" t="s">
        <v>125</v>
      </c>
      <c r="AC88" s="37" t="n">
        <f aca="false">AC81-AC86</f>
        <v>38856.4491492829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2177.87650637264</v>
      </c>
      <c r="C89" s="36"/>
      <c r="D89" s="36"/>
      <c r="E89" s="27"/>
      <c r="F89" s="35" t="s">
        <v>126</v>
      </c>
      <c r="G89" s="37" t="n">
        <f aca="false">(G88/G87)</f>
        <v>2016.43134497501</v>
      </c>
      <c r="H89" s="37"/>
      <c r="J89" s="35" t="s">
        <v>126</v>
      </c>
      <c r="K89" s="37" t="n">
        <f aca="false">(K88/K87)</f>
        <v>1465.28108266601</v>
      </c>
      <c r="L89" s="36"/>
      <c r="M89" s="36"/>
      <c r="N89" s="27"/>
      <c r="O89" s="27"/>
      <c r="P89" s="27"/>
      <c r="Q89" s="37"/>
      <c r="S89" s="35" t="s">
        <v>126</v>
      </c>
      <c r="T89" s="37" t="n">
        <f aca="false">(T88/T87)</f>
        <v>1836.41720142629</v>
      </c>
      <c r="U89" s="36"/>
      <c r="V89" s="36"/>
      <c r="W89" s="27"/>
      <c r="X89" s="27"/>
      <c r="Y89" s="27"/>
      <c r="Z89" s="37"/>
      <c r="AB89" s="35" t="s">
        <v>126</v>
      </c>
      <c r="AC89" s="37" t="n">
        <f aca="false">(AC88/AC87)</f>
        <v>1374.17446023533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74047.8012166698</v>
      </c>
      <c r="C90" s="36"/>
      <c r="D90" s="36"/>
      <c r="E90" s="27"/>
      <c r="F90" s="35" t="s">
        <v>127</v>
      </c>
      <c r="G90" s="37" t="n">
        <f aca="false">((G89*(G85))+G77)</f>
        <v>68558.6657291503</v>
      </c>
      <c r="H90" s="37"/>
      <c r="J90" s="35" t="s">
        <v>127</v>
      </c>
      <c r="K90" s="37" t="n">
        <f aca="false">((K89*(K85))+K77)</f>
        <v>51284.8378933105</v>
      </c>
      <c r="L90" s="36"/>
      <c r="M90" s="36"/>
      <c r="N90" s="27"/>
      <c r="O90" s="27"/>
      <c r="P90" s="27"/>
      <c r="Q90" s="37"/>
      <c r="S90" s="35" t="s">
        <v>127</v>
      </c>
      <c r="T90" s="37" t="n">
        <f aca="false">(T89*(T85))+T77</f>
        <v>62438.184848494</v>
      </c>
      <c r="U90" s="36"/>
      <c r="V90" s="36"/>
      <c r="W90" s="27"/>
      <c r="X90" s="27"/>
      <c r="Y90" s="27"/>
      <c r="Z90" s="37"/>
      <c r="AB90" s="35" t="s">
        <v>127</v>
      </c>
      <c r="AC90" s="37" t="n">
        <f aca="false">(AC89*(AC59))+AC77</f>
        <v>46721.9316480013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(B90/(1-B71))*B71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n">
        <f aca="false">(K90/(1-K71))*K71</f>
        <v>0</v>
      </c>
      <c r="L91" s="36"/>
      <c r="M91" s="36"/>
      <c r="N91" s="27"/>
      <c r="O91" s="27"/>
      <c r="P91" s="27"/>
      <c r="Q91" s="37"/>
      <c r="S91" s="35" t="s">
        <v>128</v>
      </c>
      <c r="T91" s="37" t="n">
        <f aca="false">(T90/(1-T71))*T71</f>
        <v>0</v>
      </c>
      <c r="U91" s="36"/>
      <c r="V91" s="36"/>
      <c r="W91" s="27"/>
      <c r="X91" s="27"/>
      <c r="Y91" s="27"/>
      <c r="Z91" s="37"/>
      <c r="AB91" s="35" t="s">
        <v>128</v>
      </c>
      <c r="AC91" s="37" t="n">
        <f aca="false">(AC90/(1-AC71))*AC71</f>
        <v>0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74047.8012166698</v>
      </c>
      <c r="C92" s="36"/>
      <c r="D92" s="36"/>
      <c r="E92" s="27"/>
      <c r="F92" s="60" t="s">
        <v>129</v>
      </c>
      <c r="G92" s="69" t="n">
        <f aca="false">(G90+G91)</f>
        <v>68558.6657291503</v>
      </c>
      <c r="H92" s="37"/>
      <c r="J92" s="60" t="s">
        <v>129</v>
      </c>
      <c r="K92" s="69" t="n">
        <f aca="false">(K90+K91)</f>
        <v>51284.8378933105</v>
      </c>
      <c r="L92" s="36"/>
      <c r="M92" s="36"/>
      <c r="N92" s="27"/>
      <c r="O92" s="27"/>
      <c r="P92" s="27"/>
      <c r="Q92" s="37"/>
      <c r="S92" s="60" t="s">
        <v>129</v>
      </c>
      <c r="T92" s="69" t="n">
        <f aca="false">(T90+T91)</f>
        <v>62438.184848494</v>
      </c>
      <c r="U92" s="36"/>
      <c r="V92" s="36"/>
      <c r="W92" s="27"/>
      <c r="X92" s="27"/>
      <c r="Y92" s="27"/>
      <c r="Z92" s="37"/>
      <c r="AB92" s="60" t="s">
        <v>129</v>
      </c>
      <c r="AC92" s="69" t="n">
        <f aca="false">(AC90+AC91)</f>
        <v>46721.9316480013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3" t="str">
        <f aca="false">IF(B26="YES",((E40/B85)*(1+A108)*1.2*(C45/100)),"0")</f>
        <v>0</v>
      </c>
      <c r="C94" s="36"/>
      <c r="D94" s="36"/>
      <c r="E94" s="27"/>
      <c r="F94" s="92" t="s">
        <v>130</v>
      </c>
      <c r="G94" s="96" t="str">
        <f aca="false">IF(B26="YES",((E40/B85)*(1+A108)*(C45/100)),"0")</f>
        <v>0</v>
      </c>
      <c r="H94" s="37"/>
      <c r="J94" s="92" t="s">
        <v>130</v>
      </c>
      <c r="K94" s="93" t="n">
        <f aca="false">((E40/K85)*(1+J108))*1.2</f>
        <v>0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0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0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2177.87650637264</v>
      </c>
      <c r="C95" s="36"/>
      <c r="D95" s="36"/>
      <c r="E95" s="27"/>
      <c r="F95" s="97" t="s">
        <v>131</v>
      </c>
      <c r="G95" s="98" t="n">
        <f aca="false">G92/(G85)</f>
        <v>2016.43134497501</v>
      </c>
      <c r="H95" s="37"/>
      <c r="J95" s="97" t="s">
        <v>131</v>
      </c>
      <c r="K95" s="98" t="n">
        <f aca="false">K92/(K85)</f>
        <v>1465.28108266601</v>
      </c>
      <c r="L95" s="36"/>
      <c r="M95" s="36"/>
      <c r="N95" s="27"/>
      <c r="O95" s="27"/>
      <c r="P95" s="27"/>
      <c r="Q95" s="37"/>
      <c r="S95" s="97" t="s">
        <v>131</v>
      </c>
      <c r="T95" s="98" t="n">
        <f aca="false">T92/(T85)</f>
        <v>1836.41720142629</v>
      </c>
      <c r="U95" s="36"/>
      <c r="V95" s="36"/>
      <c r="W95" s="27"/>
      <c r="X95" s="27"/>
      <c r="Y95" s="27"/>
      <c r="Z95" s="37"/>
      <c r="AB95" s="97" t="s">
        <v>131</v>
      </c>
      <c r="AC95" s="98" t="n">
        <f aca="false">AC92/(AC59)</f>
        <v>1374.17446023533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(B94+B95)</f>
        <v>2177.87650637264</v>
      </c>
      <c r="C96" s="36"/>
      <c r="D96" s="36"/>
      <c r="E96" s="27"/>
      <c r="F96" s="99" t="s">
        <v>132</v>
      </c>
      <c r="G96" s="100" t="n">
        <f aca="false">G94+G95</f>
        <v>2016.43134497501</v>
      </c>
      <c r="H96" s="37"/>
      <c r="J96" s="99" t="s">
        <v>132</v>
      </c>
      <c r="K96" s="100" t="n">
        <f aca="false">(K94+K95)</f>
        <v>1465.28108266601</v>
      </c>
      <c r="L96" s="36"/>
      <c r="M96" s="36"/>
      <c r="N96" s="27"/>
      <c r="O96" s="27"/>
      <c r="P96" s="27"/>
      <c r="Q96" s="37"/>
      <c r="S96" s="99" t="s">
        <v>132</v>
      </c>
      <c r="T96" s="100" t="n">
        <f aca="false">T94+T95</f>
        <v>1836.41720142629</v>
      </c>
      <c r="U96" s="36"/>
      <c r="V96" s="36"/>
      <c r="W96" s="27"/>
      <c r="X96" s="27"/>
      <c r="Y96" s="27"/>
      <c r="Z96" s="37"/>
      <c r="AB96" s="99" t="s">
        <v>132</v>
      </c>
      <c r="AC96" s="100" t="n">
        <f aca="false">AC94+AC95</f>
        <v>1374.17446023533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134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31</v>
      </c>
      <c r="F105" s="106"/>
      <c r="G105" s="106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0.3</v>
      </c>
      <c r="B108" s="109" t="s">
        <v>9</v>
      </c>
      <c r="C108" s="109"/>
      <c r="D108" s="109"/>
      <c r="E108" s="110" t="n">
        <f aca="false">B83</f>
        <v>0.12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0.131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0.131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1000</v>
      </c>
      <c r="C111" s="109"/>
      <c r="D111" s="109"/>
      <c r="E111" s="109" t="n">
        <v>1000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2000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B3</f>
        <v>44008.33</v>
      </c>
      <c r="C121" s="44" t="n">
        <f aca="false">B121</f>
        <v>44008.33</v>
      </c>
      <c r="D121" s="29" t="n">
        <f aca="false">D3</f>
        <v>0</v>
      </c>
      <c r="E121" s="44" t="n">
        <f aca="false">D121</f>
        <v>0</v>
      </c>
      <c r="F121" s="29" t="n">
        <f aca="false">F3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44008.33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n">
        <f aca="false">F3</f>
        <v>0</v>
      </c>
      <c r="P121" s="44" t="n">
        <f aca="false">O121</f>
        <v>0</v>
      </c>
      <c r="Q121" s="121" t="n">
        <f aca="false">H3</f>
        <v>0</v>
      </c>
      <c r="S121" s="29" t="s">
        <v>161</v>
      </c>
      <c r="T121" s="29" t="n">
        <f aca="false">B3</f>
        <v>44008.33</v>
      </c>
      <c r="U121" s="44" t="n">
        <f aca="false">T121</f>
        <v>44008.33</v>
      </c>
      <c r="V121" s="29" t="n">
        <f aca="false">D3</f>
        <v>0</v>
      </c>
      <c r="W121" s="44" t="n">
        <f aca="false">V121</f>
        <v>0</v>
      </c>
      <c r="X121" s="29" t="n">
        <f aca="false">F3</f>
        <v>0</v>
      </c>
      <c r="Y121" s="44" t="n">
        <f aca="false">X121</f>
        <v>0</v>
      </c>
      <c r="Z121" s="121" t="n">
        <f aca="false">H3</f>
        <v>0</v>
      </c>
      <c r="AB121" s="29" t="s">
        <v>161</v>
      </c>
      <c r="AC121" s="29" t="n">
        <f aca="false">B3</f>
        <v>44008.33</v>
      </c>
      <c r="AD121" s="44" t="n">
        <f aca="false">AC121</f>
        <v>44008.33</v>
      </c>
      <c r="AE121" s="29" t="n">
        <f aca="false">D3</f>
        <v>0</v>
      </c>
      <c r="AF121" s="44" t="n">
        <f aca="false">AE121</f>
        <v>0</v>
      </c>
      <c r="AG121" s="29" t="n">
        <f aca="false">F3</f>
        <v>0</v>
      </c>
      <c r="AH121" s="44" t="n">
        <f aca="false">AG121</f>
        <v>0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f aca="false">B4</f>
        <v>2</v>
      </c>
      <c r="C122" s="123" t="n">
        <v>0</v>
      </c>
      <c r="D122" s="122" t="n">
        <f aca="false">D4</f>
        <v>0</v>
      </c>
      <c r="E122" s="123" t="n">
        <v>0</v>
      </c>
      <c r="F122" s="122" t="n">
        <f aca="false">F4</f>
        <v>0</v>
      </c>
      <c r="G122" s="363" t="n">
        <v>0</v>
      </c>
      <c r="H122" s="125"/>
      <c r="J122" s="35" t="s">
        <v>162</v>
      </c>
      <c r="K122" s="122" t="n">
        <f aca="false">B4</f>
        <v>2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n">
        <f aca="false">F4</f>
        <v>0</v>
      </c>
      <c r="P122" s="124" t="n">
        <f aca="false">O122</f>
        <v>0</v>
      </c>
      <c r="Q122" s="125"/>
      <c r="S122" s="35" t="s">
        <v>162</v>
      </c>
      <c r="T122" s="122" t="n">
        <f aca="false">B4</f>
        <v>2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n">
        <f aca="false">F4</f>
        <v>0</v>
      </c>
      <c r="Y122" s="124" t="n">
        <f aca="false">X122</f>
        <v>0</v>
      </c>
      <c r="Z122" s="125"/>
      <c r="AB122" s="35" t="s">
        <v>162</v>
      </c>
      <c r="AC122" s="122" t="n">
        <f aca="false">B4</f>
        <v>2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n">
        <f aca="false">F4</f>
        <v>0</v>
      </c>
      <c r="AH122" s="124" t="n">
        <f aca="false">AG122</f>
        <v>0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f aca="false">B5</f>
        <v>0</v>
      </c>
      <c r="C123" s="44" t="n">
        <v>-4445.5</v>
      </c>
      <c r="D123" s="35" t="n">
        <f aca="false">D5</f>
        <v>0</v>
      </c>
      <c r="E123" s="44" t="n">
        <v>0</v>
      </c>
      <c r="F123" s="35" t="n">
        <f aca="false">F5</f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n">
        <f aca="false">F5</f>
        <v>0</v>
      </c>
      <c r="P123" s="44" t="n">
        <f aca="false">O123</f>
        <v>0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n">
        <f aca="false">F5</f>
        <v>0</v>
      </c>
      <c r="Y123" s="44" t="n">
        <f aca="false">X123</f>
        <v>0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n">
        <f aca="false">F5</f>
        <v>0</v>
      </c>
      <c r="AH123" s="44" t="n">
        <f aca="false">AG123</f>
        <v>0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88016.66</v>
      </c>
      <c r="C124" s="31" t="n">
        <f aca="false">(C121*C122/100)+C123</f>
        <v>-7957.9467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88016.66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n">
        <f aca="false">(O121*O122)+O123</f>
        <v>0</v>
      </c>
      <c r="P124" s="31" t="n">
        <f aca="false">(P121*P122)+P123</f>
        <v>0</v>
      </c>
      <c r="Q124" s="37"/>
      <c r="S124" s="35" t="s">
        <v>164</v>
      </c>
      <c r="T124" s="35" t="n">
        <f aca="false">(T121*T122)+T123</f>
        <v>88016.66</v>
      </c>
      <c r="U124" s="31" t="n">
        <f aca="false">(U121*U122/100)+U123</f>
        <v>110.020825</v>
      </c>
      <c r="V124" s="35" t="n">
        <f aca="false">(V121*V122)+V123</f>
        <v>0</v>
      </c>
      <c r="W124" s="31" t="n">
        <f aca="false">(W121*W122/100)+W123</f>
        <v>0</v>
      </c>
      <c r="X124" s="35" t="n">
        <f aca="false">(X121*X122)+X123</f>
        <v>0</v>
      </c>
      <c r="Y124" s="31" t="n">
        <f aca="false">(Y121*Y122/100)+Y123</f>
        <v>0</v>
      </c>
      <c r="Z124" s="37"/>
      <c r="AB124" s="35" t="s">
        <v>164</v>
      </c>
      <c r="AC124" s="35" t="n">
        <f aca="false">(AC121*AC122)+AC123</f>
        <v>88016.66</v>
      </c>
      <c r="AD124" s="31" t="n">
        <f aca="false">(AD121*AD122)+AD123</f>
        <v>11002.0825</v>
      </c>
      <c r="AE124" s="35" t="n">
        <f aca="false">(AE121*AE122)+AE123</f>
        <v>0</v>
      </c>
      <c r="AF124" s="31" t="n">
        <f aca="false">(AF121*AF122)+AF123</f>
        <v>0</v>
      </c>
      <c r="AG124" s="35" t="n">
        <f aca="false">(AG121*AG122)+AG123</f>
        <v>0</v>
      </c>
      <c r="AH124" s="31" t="n">
        <f aca="false">(AH121*AH122)+AH123</f>
        <v>0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-44008.33</v>
      </c>
      <c r="C125" s="69" t="n">
        <f aca="false">C121-C124</f>
        <v>51966.2767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-44008.33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n">
        <f aca="false">O121-O124</f>
        <v>0</v>
      </c>
      <c r="P125" s="69" t="n">
        <f aca="false">P121-P124</f>
        <v>0</v>
      </c>
      <c r="Q125" s="69"/>
      <c r="S125" s="60" t="s">
        <v>165</v>
      </c>
      <c r="T125" s="60" t="n">
        <f aca="false">T121-T124</f>
        <v>-44008.33</v>
      </c>
      <c r="U125" s="69" t="n">
        <f aca="false">U121-U124</f>
        <v>43898.309175</v>
      </c>
      <c r="V125" s="60" t="n">
        <f aca="false">V121-V124</f>
        <v>0</v>
      </c>
      <c r="W125" s="69" t="n">
        <f aca="false">W121-W124</f>
        <v>0</v>
      </c>
      <c r="X125" s="60" t="n">
        <f aca="false">X121-X124</f>
        <v>0</v>
      </c>
      <c r="Y125" s="69" t="n">
        <f aca="false">Y121-Y124</f>
        <v>0</v>
      </c>
      <c r="Z125" s="69"/>
      <c r="AB125" s="60" t="s">
        <v>165</v>
      </c>
      <c r="AC125" s="60" t="n">
        <f aca="false">AC121-AC124</f>
        <v>-44008.33</v>
      </c>
      <c r="AD125" s="69" t="n">
        <f aca="false">AD121-AD124</f>
        <v>33006.2475</v>
      </c>
      <c r="AE125" s="60" t="n">
        <f aca="false">AE121-AE124</f>
        <v>0</v>
      </c>
      <c r="AF125" s="69" t="n">
        <f aca="false">AF121-AF124</f>
        <v>0</v>
      </c>
      <c r="AG125" s="60" t="n">
        <f aca="false">AG121-AG124</f>
        <v>0</v>
      </c>
      <c r="AH125" s="69" t="n">
        <f aca="false">AH121-AH124</f>
        <v>0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H9</f>
        <v>43128.1634</v>
      </c>
      <c r="H135" s="144" t="n">
        <f aca="false">C125+E125+G125+H128</f>
        <v>51966.2767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43128.1634</v>
      </c>
      <c r="Q135" s="144" t="n">
        <f aca="false">L125+N125+P125+Q128</f>
        <v>28629.17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43128.1634</v>
      </c>
      <c r="Z135" s="144" t="n">
        <f aca="false">U125+W125+Y125+Z128</f>
        <v>43898.309175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43128.1634</v>
      </c>
      <c r="AI135" s="144" t="n">
        <f aca="false">AD125+AF125+AH125+AI128</f>
        <v>33006.2475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150</v>
      </c>
      <c r="H136" s="37" t="n">
        <f aca="false">G136</f>
        <v>150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150</v>
      </c>
      <c r="Q136" s="37" t="n">
        <f aca="false">P136</f>
        <v>150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150</v>
      </c>
      <c r="Z136" s="37" t="n">
        <f aca="false">Y136</f>
        <v>150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150</v>
      </c>
      <c r="AI136" s="37" t="n">
        <f aca="false">AH136</f>
        <v>150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146" t="n">
        <f aca="false">H11</f>
        <v>8655.63268</v>
      </c>
      <c r="H137" s="37" t="n">
        <f aca="false">(H135+H136)*20%</f>
        <v>10423.25534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8655.63268</v>
      </c>
      <c r="Q137" s="37" t="n">
        <f aca="false">(Q135+Q136)*20%</f>
        <v>5755.834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8655.63268</v>
      </c>
      <c r="Z137" s="37" t="n">
        <f aca="false">(Z135+Z136)*20%</f>
        <v>8809.661835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8655.63268</v>
      </c>
      <c r="AI137" s="37" t="n">
        <f aca="false">(AI135+AI136)*20%</f>
        <v>6631.2495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f aca="false">G138</f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1040</v>
      </c>
      <c r="H139" s="37" t="n">
        <f aca="false">G139</f>
        <v>1040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1040</v>
      </c>
      <c r="Q139" s="37" t="n">
        <f aca="false">P139</f>
        <v>1040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1040</v>
      </c>
      <c r="Z139" s="37" t="n">
        <f aca="false">Y139</f>
        <v>1040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1040</v>
      </c>
      <c r="AI139" s="37" t="n">
        <f aca="false">AH139</f>
        <v>1040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55</v>
      </c>
      <c r="H140" s="37" t="n">
        <f aca="false">G140</f>
        <v>55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55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55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55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8" t="n">
        <f aca="false">H15</f>
        <v>53028.79608</v>
      </c>
      <c r="H141" s="147" t="n">
        <f aca="false">(H135+H136+H139+H140+H137)-H138</f>
        <v>63634.53204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53028.79608</v>
      </c>
      <c r="Q141" s="147" t="n">
        <f aca="false">(Q135+Q136+Q139+Q140+Q137)-Q138</f>
        <v>35630.004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53028.79608</v>
      </c>
      <c r="Z141" s="147" t="n">
        <f aca="false">(Z135+Z136+Z139+Z140+Z137)-Z138</f>
        <v>53952.97101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53028.79608</v>
      </c>
      <c r="AI141" s="147" t="n">
        <f aca="false">(AI135+AI136+AI139+AI140+AI137)-AI138</f>
        <v>40882.497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s">
        <v>182</v>
      </c>
      <c r="C144" s="151"/>
      <c r="D144" s="151"/>
      <c r="E144" s="151"/>
      <c r="F144" s="151"/>
      <c r="G144" s="146" t="n">
        <f aca="false">H18</f>
        <v>0</v>
      </c>
      <c r="H144" s="44" t="n">
        <f aca="false">G144</f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f aca="false">G145</f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f aca="false">G146</f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53028.79608</v>
      </c>
      <c r="H147" s="154" t="n">
        <f aca="false">H141-((H144*1.2)+(H145*1.2)+(H146*1.2)+(H142*1.2))</f>
        <v>63634.53204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53028.79608</v>
      </c>
      <c r="Q147" s="154" t="n">
        <f aca="false">Q141-((Q144*1.2)+(Q145*1.2)+(Q146*1.2)+(Q142*1.2))</f>
        <v>35630.004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53028.79608</v>
      </c>
      <c r="Z147" s="154" t="n">
        <f aca="false">Z141-((Z144*1.2)+(Z145*1.2)+(Z146*1.2)+(Z142*1.2))</f>
        <v>53952.97101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53028.79608</v>
      </c>
      <c r="AI147" s="154" t="n">
        <f aca="false">AI141-((AI144*1.2)+(AI145*1.2)+(AI146*1.2)+(AI142*1.2))</f>
        <v>40882.497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8838.1133</v>
      </c>
      <c r="I148" s="6" t="n">
        <f aca="false">(H148-G81)/1.2</f>
        <v>-47330.34895</v>
      </c>
      <c r="J148" s="145" t="s">
        <v>184</v>
      </c>
      <c r="K148" s="145"/>
      <c r="L148" s="145"/>
      <c r="M148" s="145"/>
      <c r="N148" s="145"/>
      <c r="O148" s="145"/>
      <c r="P148" s="146"/>
      <c r="Q148" s="44" t="n">
        <f aca="false">Q147-P147</f>
        <v>-17398.79208</v>
      </c>
      <c r="S148" s="145" t="s">
        <v>184</v>
      </c>
      <c r="T148" s="145"/>
      <c r="U148" s="145"/>
      <c r="V148" s="145"/>
      <c r="W148" s="145"/>
      <c r="X148" s="145"/>
      <c r="Y148" s="146"/>
      <c r="Z148" s="44" t="n">
        <f aca="false">Z147-Y147</f>
        <v>924.174929999994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n">
        <f aca="false">AI147-AH147</f>
        <v>-12146.29908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2000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65634.53204</v>
      </c>
      <c r="H158" s="160"/>
      <c r="J158" s="159" t="s">
        <v>192</v>
      </c>
      <c r="K158" s="36"/>
      <c r="L158" s="36"/>
      <c r="M158" s="27"/>
      <c r="N158" s="36"/>
      <c r="O158" s="27"/>
      <c r="P158" s="160" t="n">
        <f aca="false">Q147-P154-P157</f>
        <v>36630.004</v>
      </c>
      <c r="Q158" s="160"/>
      <c r="S158" s="159" t="s">
        <v>192</v>
      </c>
      <c r="T158" s="36"/>
      <c r="U158" s="36"/>
      <c r="V158" s="27"/>
      <c r="W158" s="36"/>
      <c r="X158" s="27"/>
      <c r="Y158" s="160" t="n">
        <f aca="false">Z147-Y154-Y157</f>
        <v>54952.97101</v>
      </c>
      <c r="Z158" s="160"/>
      <c r="AB158" s="159" t="s">
        <v>192</v>
      </c>
      <c r="AC158" s="36"/>
      <c r="AD158" s="36"/>
      <c r="AE158" s="27"/>
      <c r="AF158" s="36"/>
      <c r="AG158" s="27"/>
      <c r="AH158" s="160" t="n">
        <f aca="false">AI147-AH154-AH157</f>
        <v>41882.497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165" t="n">
        <f aca="false">B95</f>
        <v>2177.87650637264</v>
      </c>
      <c r="B167" s="166" t="str">
        <f aca="false">B94</f>
        <v>0</v>
      </c>
      <c r="C167" s="164"/>
      <c r="D167" s="164"/>
      <c r="E167" s="166" t="n">
        <f aca="false">B96</f>
        <v>2177.87650637264</v>
      </c>
      <c r="F167" s="27"/>
      <c r="G167" s="27" t="n">
        <f aca="false">ROUND(G95,2)</f>
        <v>2016.43</v>
      </c>
      <c r="H167" s="37"/>
      <c r="J167" s="165" t="n">
        <f aca="false">K95</f>
        <v>1465.28108266601</v>
      </c>
      <c r="K167" s="166" t="n">
        <f aca="false">K94</f>
        <v>0</v>
      </c>
      <c r="L167" s="164"/>
      <c r="M167" s="164"/>
      <c r="N167" s="166" t="n">
        <f aca="false">K96</f>
        <v>1465.28108266601</v>
      </c>
      <c r="O167" s="27"/>
      <c r="P167" s="27"/>
      <c r="Q167" s="37"/>
      <c r="S167" s="165" t="n">
        <f aca="false">T95</f>
        <v>1836.41720142629</v>
      </c>
      <c r="T167" s="166" t="n">
        <f aca="false">T94</f>
        <v>0</v>
      </c>
      <c r="U167" s="164"/>
      <c r="V167" s="164"/>
      <c r="W167" s="166" t="n">
        <f aca="false">T96</f>
        <v>1836.41720142629</v>
      </c>
      <c r="X167" s="27"/>
      <c r="Y167" s="27"/>
      <c r="Z167" s="37"/>
      <c r="AB167" s="165" t="n">
        <f aca="false">AC95</f>
        <v>1374.17446023533</v>
      </c>
      <c r="AC167" s="166" t="n">
        <f aca="false">AC94</f>
        <v>0</v>
      </c>
      <c r="AD167" s="164"/>
      <c r="AE167" s="164"/>
      <c r="AF167" s="166" t="n">
        <f aca="false">AC96</f>
        <v>1374.17446023533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35</v>
      </c>
      <c r="B170" s="168" t="n">
        <f aca="false">K30</f>
        <v>35000</v>
      </c>
      <c r="C170" s="169"/>
      <c r="D170" s="27"/>
      <c r="E170" s="170" t="n">
        <f aca="false">IF(A111="YES",A40,0)</f>
        <v>4425</v>
      </c>
      <c r="F170" s="27"/>
      <c r="G170" s="27"/>
      <c r="H170" s="37"/>
      <c r="J170" s="167" t="n">
        <f aca="false">K29</f>
        <v>35</v>
      </c>
      <c r="K170" s="168" t="n">
        <f aca="false">K30</f>
        <v>35000</v>
      </c>
      <c r="L170" s="169"/>
      <c r="M170" s="27"/>
      <c r="N170" s="170" t="n">
        <f aca="false">IF(A111="YES",A40,0)</f>
        <v>4425</v>
      </c>
      <c r="O170" s="27"/>
      <c r="P170" s="27"/>
      <c r="Q170" s="37"/>
      <c r="S170" s="167" t="n">
        <f aca="false">K29</f>
        <v>35</v>
      </c>
      <c r="T170" s="168" t="n">
        <f aca="false">K30</f>
        <v>35000</v>
      </c>
      <c r="U170" s="169"/>
      <c r="V170" s="27"/>
      <c r="W170" s="170" t="n">
        <f aca="false">IF(A111="YES",A40,0)</f>
        <v>4425</v>
      </c>
      <c r="X170" s="27"/>
      <c r="Y170" s="27"/>
      <c r="Z170" s="37"/>
      <c r="AB170" s="167" t="n">
        <f aca="false">K29</f>
        <v>35</v>
      </c>
      <c r="AC170" s="168" t="n">
        <f aca="false">K30</f>
        <v>35000</v>
      </c>
      <c r="AD170" s="169"/>
      <c r="AE170" s="27"/>
      <c r="AF170" s="170" t="n">
        <f aca="false">IF(A111="YES",A40,0)</f>
        <v>4425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52116.2767</v>
      </c>
      <c r="B173" s="42" t="n">
        <f aca="false">H137</f>
        <v>10423.25534</v>
      </c>
      <c r="C173" s="47"/>
      <c r="D173" s="27"/>
      <c r="E173" s="170" t="n">
        <f aca="false">H139+H140</f>
        <v>1095</v>
      </c>
      <c r="F173" s="27"/>
      <c r="G173" s="27"/>
      <c r="H173" s="37"/>
      <c r="J173" s="171" t="n">
        <f aca="false">Q141-Q137-Q139-Q140</f>
        <v>28779.17</v>
      </c>
      <c r="K173" s="42" t="n">
        <f aca="false">Q137</f>
        <v>5755.834</v>
      </c>
      <c r="L173" s="47"/>
      <c r="M173" s="27"/>
      <c r="N173" s="170" t="n">
        <f aca="false">Q139+Q140</f>
        <v>1095</v>
      </c>
      <c r="O173" s="27"/>
      <c r="P173" s="27"/>
      <c r="Q173" s="37"/>
      <c r="S173" s="171" t="n">
        <f aca="false">Z141-Z137-Z139-Z140</f>
        <v>44048.309175</v>
      </c>
      <c r="T173" s="42" t="n">
        <f aca="false">Z137</f>
        <v>8809.661835</v>
      </c>
      <c r="U173" s="47"/>
      <c r="V173" s="27"/>
      <c r="W173" s="170" t="n">
        <f aca="false">Z139+Z140</f>
        <v>1095</v>
      </c>
      <c r="X173" s="27"/>
      <c r="Y173" s="27"/>
      <c r="Z173" s="37"/>
      <c r="AB173" s="171" t="n">
        <f aca="false">AI141-AI137-AI139-AI140</f>
        <v>33156.2475</v>
      </c>
      <c r="AC173" s="42" t="n">
        <f aca="false">AI137</f>
        <v>6631.2495</v>
      </c>
      <c r="AD173" s="47"/>
      <c r="AE173" s="27"/>
      <c r="AF173" s="170" t="n">
        <f aca="false">AI139+AI140</f>
        <v>1095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H147</f>
        <v>63634.53204</v>
      </c>
      <c r="B176" s="42" t="n">
        <f aca="false">B111</f>
        <v>1000</v>
      </c>
      <c r="C176" s="42"/>
      <c r="D176" s="27"/>
      <c r="E176" s="42" t="n">
        <f aca="false">E111</f>
        <v>1000</v>
      </c>
      <c r="F176" s="27"/>
      <c r="G176" s="27"/>
      <c r="H176" s="107"/>
      <c r="J176" s="171" t="n">
        <f aca="false">Q141</f>
        <v>35630.004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n">
        <f aca="false">Z141</f>
        <v>53952.97101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n">
        <f aca="false">AI141</f>
        <v>40882.497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2000</v>
      </c>
      <c r="B179" s="42" t="n">
        <f aca="false">G154</f>
        <v>0</v>
      </c>
      <c r="C179" s="42"/>
      <c r="D179" s="27"/>
      <c r="E179" s="42" t="n">
        <f aca="false">G158</f>
        <v>65634.53204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n">
        <f aca="false">J176-J179-K179</f>
        <v>36630.004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n">
        <f aca="false">S176-S179-T179</f>
        <v>54952.97101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n">
        <f aca="false">AB176-AB179-AC179</f>
        <v>41882.497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(ROUND(A167, 2)*B59)+ROUND(E185, 2)-ROUND(E179, 2)-ROUND(A185,2)</f>
        <v>12838.39</v>
      </c>
      <c r="B182" s="42" t="n">
        <f aca="false">B114</f>
        <v>239.99</v>
      </c>
      <c r="C182" s="42"/>
      <c r="D182" s="27"/>
      <c r="E182" s="42" t="n">
        <f aca="false">ROUND(E179, 2) + ROUND(A182, 2) + ROUND(B182, 2) + ROUND(A185, 2)</f>
        <v>78737.91</v>
      </c>
      <c r="F182" s="27"/>
      <c r="G182" s="27"/>
      <c r="H182" s="107"/>
      <c r="J182" s="113" t="n">
        <f aca="false">(J167*K59)+N185-N179-J185</f>
        <v>17614.5528106444</v>
      </c>
      <c r="K182" s="42" t="n">
        <f aca="false">K114</f>
        <v>239.99</v>
      </c>
      <c r="L182" s="42"/>
      <c r="M182" s="27"/>
      <c r="N182" s="42" t="n">
        <f aca="false">N179+J182+K182+J185</f>
        <v>54504.5468106444</v>
      </c>
      <c r="O182" s="27"/>
      <c r="P182" s="27"/>
      <c r="Q182" s="107"/>
      <c r="S182" s="113" t="n">
        <f aca="false">(S167*T59)+W185-W179-S185</f>
        <v>11910.213838494</v>
      </c>
      <c r="T182" s="42" t="n">
        <f aca="false">T114</f>
        <v>199.99</v>
      </c>
      <c r="U182" s="42"/>
      <c r="V182" s="27"/>
      <c r="W182" s="42" t="n">
        <f aca="false">W179+S182+T182+S185</f>
        <v>67073.174848494</v>
      </c>
      <c r="X182" s="27"/>
      <c r="Y182" s="27"/>
      <c r="Z182" s="107"/>
      <c r="AB182" s="113" t="n">
        <f aca="false">(AB167*AC59)+AF185-AF179-AB185</f>
        <v>9264.43464800132</v>
      </c>
      <c r="AC182" s="42" t="n">
        <f aca="false">AC114</f>
        <v>239.99</v>
      </c>
      <c r="AD182" s="42"/>
      <c r="AE182" s="27"/>
      <c r="AF182" s="42" t="n">
        <f aca="false">AF179+AB182+AC182+AB185</f>
        <v>51396.9216480013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A179+(B182)</f>
        <v>2239.99</v>
      </c>
      <c r="C185" s="42"/>
      <c r="D185" s="27"/>
      <c r="E185" s="42" t="n">
        <f aca="false">(IF(E170=0,E167+A185,E170+A185))</f>
        <v>4450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4445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4435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4435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IF(E105="YES",J18*0.000002,0)*100*1.2</f>
        <v>0</v>
      </c>
      <c r="B188" s="42" t="n">
        <f aca="false">B68</f>
        <v>984.5179806</v>
      </c>
      <c r="C188" s="36"/>
      <c r="D188" s="36"/>
      <c r="E188" s="42" t="n">
        <f aca="false">(E40*A108)*0.1*(C45/100)</f>
        <v>0</v>
      </c>
      <c r="F188" s="27"/>
      <c r="G188" s="27"/>
      <c r="H188" s="37"/>
      <c r="J188" s="113" t="n">
        <f aca="false">IF(N105="YES",H15*0.000002,0)</f>
        <v>0.10605759216</v>
      </c>
      <c r="K188" s="42" t="n">
        <f aca="false">(P158*K67)/1.2</f>
        <v>2257.57837152778</v>
      </c>
      <c r="L188" s="36"/>
      <c r="M188" s="36"/>
      <c r="N188" s="42" t="n">
        <f aca="false">(E40*J108)*0.1</f>
        <v>0</v>
      </c>
      <c r="O188" s="27"/>
      <c r="P188" s="27"/>
      <c r="Q188" s="37"/>
      <c r="S188" s="113" t="n">
        <f aca="false">IF(W105="YES",Z15*0.000002,0)</f>
        <v>0</v>
      </c>
      <c r="T188" s="42" t="n">
        <f aca="false">(Y158*T67)/1.2</f>
        <v>448.400978727431</v>
      </c>
      <c r="U188" s="36"/>
      <c r="V188" s="36"/>
      <c r="W188" s="42" t="n">
        <f aca="false">(E40*S108)*0.1</f>
        <v>0</v>
      </c>
      <c r="X188" s="36"/>
      <c r="Y188" s="36"/>
      <c r="Z188" s="37"/>
      <c r="AB188" s="113" t="n">
        <f aca="false">IF(AF105="YES",AI15*0.000002,0)</f>
        <v>0</v>
      </c>
      <c r="AC188" s="42" t="n">
        <f aca="false">(AH158*AC67)/1.2</f>
        <v>341.749541493056</v>
      </c>
      <c r="AD188" s="36"/>
      <c r="AE188" s="36"/>
      <c r="AF188" s="42" t="n">
        <f aca="false">(E40*AB108)*0.1</f>
        <v>0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1004.5179806</v>
      </c>
      <c r="C191" s="36"/>
      <c r="D191" s="36"/>
      <c r="E191" s="42" t="n">
        <f aca="false">H148</f>
        <v>8838.1133</v>
      </c>
      <c r="F191" s="27"/>
      <c r="G191" s="27"/>
      <c r="H191" s="37"/>
      <c r="J191" s="113" t="n">
        <f aca="false">K185-100</f>
        <v>1139.99</v>
      </c>
      <c r="K191" s="42" t="n">
        <f aca="false">K188+N188+J191</f>
        <v>3397.56837152778</v>
      </c>
      <c r="L191" s="36"/>
      <c r="M191" s="36"/>
      <c r="N191" s="42" t="n">
        <f aca="false">Q148</f>
        <v>-17398.79208</v>
      </c>
      <c r="O191" s="27"/>
      <c r="P191" s="27"/>
      <c r="Q191" s="37"/>
      <c r="S191" s="113" t="n">
        <f aca="false">T185-100</f>
        <v>1099.99</v>
      </c>
      <c r="T191" s="42" t="n">
        <f aca="false">T188+W188+S191</f>
        <v>1548.39097872743</v>
      </c>
      <c r="U191" s="36"/>
      <c r="V191" s="36"/>
      <c r="W191" s="42" t="n">
        <f aca="false">Z148</f>
        <v>924.174929999994</v>
      </c>
      <c r="X191" s="36"/>
      <c r="Y191" s="36"/>
      <c r="Z191" s="37"/>
      <c r="AB191" s="113" t="n">
        <f aca="false">AC185-100</f>
        <v>1139.99</v>
      </c>
      <c r="AC191" s="42" t="n">
        <f aca="false">AC188+AF188+AB191</f>
        <v>1481.73954149306</v>
      </c>
      <c r="AD191" s="36"/>
      <c r="AE191" s="36"/>
      <c r="AF191" s="42" t="n">
        <f aca="false">AI148</f>
        <v>-12146.29908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35000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35000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35000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35000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35</v>
      </c>
      <c r="B197" s="78" t="n">
        <f aca="false">B96</f>
        <v>2177.87650637264</v>
      </c>
      <c r="C197" s="78"/>
      <c r="D197" s="78"/>
      <c r="E197" s="27"/>
      <c r="F197" s="27"/>
      <c r="G197" s="27"/>
      <c r="H197" s="37"/>
      <c r="J197" s="77" t="n">
        <f aca="false">K29</f>
        <v>35</v>
      </c>
      <c r="K197" s="78" t="n">
        <f aca="false">K96</f>
        <v>1465.28108266601</v>
      </c>
      <c r="L197" s="78"/>
      <c r="M197" s="78"/>
      <c r="N197" s="27"/>
      <c r="O197" s="27"/>
      <c r="P197" s="27"/>
      <c r="Q197" s="37"/>
      <c r="S197" s="77" t="n">
        <f aca="false">K29</f>
        <v>35</v>
      </c>
      <c r="T197" s="78" t="n">
        <f aca="false">T96</f>
        <v>1836.41720142629</v>
      </c>
      <c r="U197" s="78"/>
      <c r="V197" s="78"/>
      <c r="W197" s="27"/>
      <c r="X197" s="27"/>
      <c r="Y197" s="27"/>
      <c r="Z197" s="37"/>
      <c r="AB197" s="77" t="n">
        <f aca="false">K29</f>
        <v>35</v>
      </c>
      <c r="AC197" s="78" t="n">
        <f aca="false">AC96</f>
        <v>1374.17446023533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7349.08795999999</v>
      </c>
      <c r="B201" s="47" t="n">
        <f aca="false">E179+A201+B182+A185</f>
        <v>73248.61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63" t="s">
        <v>282</v>
      </c>
      <c r="B209" s="164" t="n">
        <f aca="false">A197</f>
        <v>35</v>
      </c>
      <c r="C209" s="164"/>
      <c r="D209" s="164"/>
      <c r="E209" s="164" t="n">
        <f aca="false">B196</f>
        <v>35000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2177.87650637264</v>
      </c>
      <c r="B212" s="166" t="str">
        <f aca="false">B167</f>
        <v>0</v>
      </c>
      <c r="C212" s="164"/>
      <c r="D212" s="164"/>
      <c r="E212" s="166" t="n">
        <f aca="false">E167</f>
        <v>2177.87650637264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52116.2767</v>
      </c>
      <c r="B215" s="42" t="n">
        <f aca="false">B173</f>
        <v>10423.25534</v>
      </c>
      <c r="C215" s="47"/>
      <c r="D215" s="27"/>
      <c r="E215" s="170" t="n">
        <f aca="false">E173</f>
        <v>1095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63634.53204</v>
      </c>
      <c r="B218" s="42" t="n">
        <f aca="false">B176</f>
        <v>1000</v>
      </c>
      <c r="C218" s="42"/>
      <c r="D218" s="27"/>
      <c r="E218" s="42" t="n">
        <f aca="false">E176</f>
        <v>1000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2000</v>
      </c>
      <c r="B221" s="42" t="n">
        <f aca="false">B179</f>
        <v>0</v>
      </c>
      <c r="C221" s="42"/>
      <c r="D221" s="27"/>
      <c r="E221" s="42" t="n">
        <f aca="false">E179</f>
        <v>65634.53204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12838.39</v>
      </c>
      <c r="B224" s="42" t="n">
        <f aca="false">B182</f>
        <v>239.99</v>
      </c>
      <c r="C224" s="42"/>
      <c r="D224" s="27"/>
      <c r="E224" s="42" t="n">
        <f aca="false">E182</f>
        <v>78737.91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2239.99</v>
      </c>
      <c r="C227" s="42"/>
      <c r="D227" s="27"/>
      <c r="E227" s="42" t="n">
        <f aca="false">B59</f>
        <v>34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2177.87650637264</v>
      </c>
      <c r="B230" s="42" t="str">
        <f aca="false">B167</f>
        <v>0</v>
      </c>
      <c r="C230" s="47"/>
      <c r="D230" s="47"/>
      <c r="E230" s="42" t="n">
        <f aca="false">E167</f>
        <v>2177.87650637264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199</v>
      </c>
      <c r="B232" s="36" t="s">
        <v>221</v>
      </c>
      <c r="C232" s="36"/>
      <c r="D232" s="36"/>
      <c r="E232" s="36" t="s">
        <v>222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4425</v>
      </c>
      <c r="B233" s="42" t="n">
        <f aca="false">E185</f>
        <v>4450</v>
      </c>
      <c r="C233" s="36"/>
      <c r="D233" s="36"/>
      <c r="E233" s="42" t="n">
        <f aca="false">A188</f>
        <v>0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143</v>
      </c>
      <c r="B235" s="42"/>
      <c r="C235" s="36"/>
      <c r="D235" s="36"/>
      <c r="E235" s="42"/>
      <c r="F235" s="27"/>
      <c r="G235" s="27"/>
      <c r="H235" s="37"/>
    </row>
    <row r="236" customFormat="false" ht="18.75" hidden="false" customHeight="false" outlineLevel="0" collapsed="false">
      <c r="A236" s="113"/>
      <c r="B236" s="42"/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8838.1133</v>
      </c>
      <c r="B240" s="42" t="n">
        <f aca="false">B68</f>
        <v>984.5179806</v>
      </c>
      <c r="C240" s="36"/>
      <c r="D240" s="36"/>
      <c r="E240" s="42" t="n">
        <f aca="false">E188</f>
        <v>0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5842.6312806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</v>
      </c>
      <c r="C253" s="182"/>
      <c r="D253" s="183" t="s">
        <v>227</v>
      </c>
      <c r="E253" s="183"/>
      <c r="F253" s="181" t="n">
        <f aca="false">B83</f>
        <v>0.12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5514.3</v>
      </c>
      <c r="C254" s="182"/>
      <c r="D254" s="183" t="s">
        <v>229</v>
      </c>
      <c r="E254" s="183"/>
      <c r="F254" s="185" t="n">
        <f aca="false">F261+F267+F269+B270+B271</f>
        <v>984.5179806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20</v>
      </c>
      <c r="C255" s="182"/>
      <c r="D255" s="183" t="s">
        <v>231</v>
      </c>
      <c r="E255" s="183"/>
      <c r="F255" s="185" t="n">
        <f aca="false">(B254-F254)+B255</f>
        <v>4549.7820194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0.12</v>
      </c>
      <c r="C260" s="47"/>
      <c r="D260" s="156" t="s">
        <v>228</v>
      </c>
      <c r="E260" s="156"/>
      <c r="F260" s="135" t="n">
        <f aca="false">B254</f>
        <v>5514.3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0.015</v>
      </c>
      <c r="C261" s="36"/>
      <c r="D261" s="156" t="s">
        <v>234</v>
      </c>
      <c r="E261" s="156"/>
      <c r="F261" s="142" t="n">
        <f aca="false">B68</f>
        <v>984.5179806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0.2</v>
      </c>
      <c r="C262" s="36"/>
      <c r="D262" s="156" t="s">
        <v>235</v>
      </c>
      <c r="E262" s="156"/>
      <c r="F262" s="135" t="n">
        <f aca="false">E240*10</f>
        <v>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4549.7820194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87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4">
    <dataValidation allowBlank="true" errorStyle="stop" operator="between" showDropDown="false" showErrorMessage="true" showInputMessage="true" sqref="A18:A20 A144:A146 J144:J146 S144:S146 AB144:AB146" type="list">
      <formula1>$AB$16:$AB$18</formula1>
      <formula2>0</formula2>
    </dataValidation>
    <dataValidation allowBlank="true" errorStyle="stop" operator="between" showDropDown="false" showErrorMessage="true" showInputMessage="true" sqref="B26 E105 N105 W105 AF105 A111 J111 S111 AB111" type="list">
      <formula1>$Z$19:$Z$20</formula1>
      <formula2>0</formula2>
    </dataValidation>
    <dataValidation allowBlank="true" errorStyle="stop" operator="between" showDropDown="false" showErrorMessage="true" showInputMessage="true" sqref="B105 K105 T105 AC105" type="list">
      <formula1>$Y$127:$Y$136</formula1>
      <formula2>0</formula2>
    </dataValidation>
    <dataValidation allowBlank="true" errorStyle="stop" operator="between" showDropDown="false" showErrorMessage="true" showInputMessage="true" sqref="B108:D108 K108:M108 T108:V108 AC108:AE108" type="list">
      <formula1>$AP$108:$AP$109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55" colorId="64" zoomScale="100" zoomScaleNormal="100" zoomScalePageLayoutView="100" workbookViewId="0">
      <selection pane="topLeft" activeCell="F262" activeCellId="0" sqref="F262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5" customWidth="true" hidden="false" style="6" width="18.88" collapsed="false" outlineLevel="0"/>
    <col min="6" max="6" customWidth="true" hidden="false" style="6" width="32.5" collapsed="false" outlineLevel="0"/>
    <col min="7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20945</v>
      </c>
      <c r="C3" s="398" t="n">
        <v>0</v>
      </c>
      <c r="D3" s="398" t="n">
        <v>0</v>
      </c>
      <c r="E3" s="398"/>
      <c r="F3" s="398" t="n">
        <v>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123" t="n">
        <v>0</v>
      </c>
      <c r="C4" s="123" t="n">
        <v>0</v>
      </c>
      <c r="D4" s="123" t="n">
        <v>0</v>
      </c>
      <c r="E4" s="123"/>
      <c r="F4" s="123" t="n">
        <v>0</v>
      </c>
      <c r="G4" s="123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0</v>
      </c>
      <c r="C5" s="398" t="n">
        <v>0</v>
      </c>
      <c r="D5" s="398" t="n">
        <v>0</v>
      </c>
      <c r="E5" s="398"/>
      <c r="F5" s="398" t="n">
        <v>0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880.1666</v>
      </c>
      <c r="C6" s="209" t="n">
        <f aca="false">(C3*C4/100)+C5</f>
        <v>0</v>
      </c>
      <c r="D6" s="209" t="n">
        <f aca="false">(D3*D4/100)+D5</f>
        <v>0</v>
      </c>
      <c r="E6" s="209"/>
      <c r="F6" s="209" t="n">
        <f aca="false">(F3*F4/100)+F5</f>
        <v>0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43128.1634</v>
      </c>
      <c r="C7" s="209" t="n">
        <f aca="false">C3-C6</f>
        <v>0</v>
      </c>
      <c r="D7" s="209" t="n">
        <f aca="false">D3-D6</f>
        <v>0</v>
      </c>
      <c r="E7" s="209"/>
      <c r="F7" s="209" t="n">
        <f aca="false">F3-F6</f>
        <v>0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1095</v>
      </c>
    </row>
    <row r="9" customFormat="false" ht="19.7" hidden="false" customHeight="false" outlineLevel="0" collapsed="false">
      <c r="A9" s="143" t="s">
        <v>173</v>
      </c>
      <c r="B9" s="143"/>
      <c r="C9" s="143"/>
      <c r="D9" s="143"/>
      <c r="E9" s="143" t="n">
        <f aca="false">(B7+C7+D7+E3)</f>
        <v>43128.1634</v>
      </c>
      <c r="F9" s="143"/>
      <c r="G9" s="129"/>
      <c r="H9" s="355" t="n">
        <f aca="false">B7+D7+F7+H3</f>
        <v>43128.1634</v>
      </c>
      <c r="I9" s="7"/>
      <c r="J9" s="7"/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 t="n">
        <v>550</v>
      </c>
      <c r="F10" s="145"/>
      <c r="G10" s="146"/>
      <c r="H10" s="354" t="n">
        <v>995</v>
      </c>
      <c r="I10" s="7"/>
      <c r="J10" s="7"/>
      <c r="L10" s="20" t="s">
        <v>15</v>
      </c>
      <c r="M10" s="14" t="n">
        <f aca="false">H15-H11-M8</f>
        <v>43278.1634</v>
      </c>
    </row>
    <row r="11" customFormat="false" ht="18.75" hidden="false" customHeight="false" outlineLevel="0" collapsed="false">
      <c r="A11" s="145" t="s">
        <v>175</v>
      </c>
      <c r="B11" s="145"/>
      <c r="C11" s="145"/>
      <c r="D11" s="145"/>
      <c r="E11" s="145"/>
      <c r="F11" s="145"/>
      <c r="G11" s="146"/>
      <c r="H11" s="37" t="n">
        <f aca="false">(H9+H10)*20%</f>
        <v>8655.63268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/>
      <c r="C13" s="145"/>
      <c r="D13" s="145"/>
      <c r="E13" s="145" t="n">
        <v>555</v>
      </c>
      <c r="F13" s="145"/>
      <c r="G13" s="146"/>
      <c r="H13" s="354" t="n">
        <v>290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 t="n">
        <v>55</v>
      </c>
      <c r="F14" s="145"/>
      <c r="G14" s="146"/>
      <c r="H14" s="354" t="n">
        <v>55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53028.79608</v>
      </c>
      <c r="I15" s="7"/>
      <c r="J15" s="21" t="n">
        <f aca="false">H15</f>
        <v>53028.79608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 t="n">
        <v>0</v>
      </c>
      <c r="F16" s="145"/>
      <c r="G16" s="146"/>
      <c r="H16" s="354" t="n">
        <v>0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52989.996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/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53028.79608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31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41</v>
      </c>
      <c r="K29" s="360" t="n">
        <v>35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35000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2892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 t="n">
        <v>0</v>
      </c>
      <c r="J32" s="33" t="s">
        <v>49</v>
      </c>
      <c r="K32" s="46" t="n">
        <v>2449.3</v>
      </c>
    </row>
    <row r="33" customFormat="false" ht="34.3" hidden="false" customHeight="false" outlineLevel="0" collapsed="false">
      <c r="A33" s="167" t="n">
        <f aca="false">A52</f>
        <v>24</v>
      </c>
      <c r="B33" s="217" t="n">
        <f aca="false">B51</f>
        <v>8000</v>
      </c>
      <c r="C33" s="36"/>
      <c r="D33" s="36"/>
      <c r="E33" s="361" t="n">
        <f aca="false">K48</f>
        <v>1276.04937773205</v>
      </c>
      <c r="F33" s="361"/>
      <c r="G33" s="361"/>
      <c r="H33" s="51"/>
      <c r="I33" s="7"/>
      <c r="J33" s="38" t="s">
        <v>366</v>
      </c>
      <c r="K33" s="52" t="n">
        <f aca="false">H21-H11+(H16*20%)</f>
        <v>44373.1634</v>
      </c>
      <c r="L33" s="6" t="n">
        <f aca="false">H21-H11+(H16*20%)</f>
        <v>44373.1634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0.07</v>
      </c>
    </row>
    <row r="36" customFormat="false" ht="18.75" hidden="false" customHeight="false" outlineLevel="0" collapsed="false">
      <c r="A36" s="171" t="n">
        <f aca="false">K47</f>
        <v>1226.04937773205</v>
      </c>
      <c r="B36" s="217" t="n">
        <f aca="false">IF(B26="YES",K42,"0.00")</f>
        <v>50</v>
      </c>
      <c r="C36" s="217"/>
      <c r="D36" s="217"/>
      <c r="E36" s="361" t="n">
        <f aca="false">K31</f>
        <v>25825</v>
      </c>
      <c r="F36" s="361"/>
      <c r="G36" s="361"/>
      <c r="H36" s="51"/>
      <c r="I36" s="7"/>
      <c r="J36" s="7" t="s">
        <v>63</v>
      </c>
      <c r="K36" s="7" t="n">
        <f aca="false">K29</f>
        <v>24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44373.1634</v>
      </c>
      <c r="L39" s="7" t="n">
        <f aca="false">(L47*K46)+K44</f>
        <v>34004.9910269136</v>
      </c>
      <c r="N39" s="6" t="n">
        <f aca="false">K39-L39</f>
        <v>10368.1723730864</v>
      </c>
    </row>
    <row r="40" customFormat="false" ht="18.75" hidden="false" customHeight="false" outlineLevel="0" collapsed="false">
      <c r="A40" s="285" t="n">
        <f aca="false">E36*A45/100</f>
        <v>10500</v>
      </c>
      <c r="B40" s="109" t="n">
        <f aca="false">IF(B26="YES",K42,"0.00")</f>
        <v>50</v>
      </c>
      <c r="C40" s="109"/>
      <c r="D40" s="109"/>
      <c r="E40" s="170" t="n">
        <f aca="false">K32</f>
        <v>1200</v>
      </c>
      <c r="F40" s="47"/>
      <c r="G40" s="47"/>
      <c r="H40" s="51"/>
      <c r="J40" s="7" t="s">
        <v>119</v>
      </c>
      <c r="K40" s="7" t="n">
        <f aca="false">(A40)/1.2</f>
        <v>21520.8333333333</v>
      </c>
      <c r="L40" s="7" t="n">
        <f aca="false">K39-L39</f>
        <v>10368.1723730864</v>
      </c>
      <c r="N40" s="6" t="n">
        <f aca="false">N38-N39</f>
        <v>-7456.4923730864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0.00791666666666667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(K32/K36/100)*C45</f>
        <v>50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17670.2794537967</v>
      </c>
      <c r="L44" s="7"/>
    </row>
    <row r="45" customFormat="false" ht="18.75" hidden="false" customHeight="false" outlineLevel="0" collapsed="false">
      <c r="A45" s="405" t="n">
        <v>100</v>
      </c>
      <c r="B45" s="36"/>
      <c r="C45" s="404" t="n">
        <v>100</v>
      </c>
      <c r="D45" s="404"/>
      <c r="E45" s="404"/>
      <c r="F45" s="36"/>
      <c r="G45" s="36"/>
      <c r="H45" s="37"/>
      <c r="J45" s="7" t="s">
        <v>377</v>
      </c>
      <c r="K45" s="7" t="n">
        <f aca="false">(K39-K44)</f>
        <v>26702.8839462033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21.7796154308225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1226.04937773205</v>
      </c>
      <c r="L47" s="7" t="n">
        <f aca="false">L49-K42</f>
        <v>750</v>
      </c>
      <c r="M47" s="6" t="n">
        <f aca="false">K47-L47</f>
        <v>476.04937773205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1276.04937773205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8000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24</v>
      </c>
      <c r="B52" s="78" t="n">
        <f aca="false">K48</f>
        <v>1276.04937773205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23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23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23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23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52989.996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52989.996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52989.996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52989.996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0.0105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0.0105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0.07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21669.5130207694</v>
      </c>
      <c r="C65" s="36"/>
      <c r="D65" s="36"/>
      <c r="E65" s="27"/>
      <c r="F65" s="27"/>
      <c r="G65" s="27"/>
      <c r="H65" s="37"/>
      <c r="J65" s="60" t="s">
        <v>103</v>
      </c>
      <c r="K65" s="69" t="n">
        <f aca="false">(K89*K59)-(K47*K29)</f>
        <v>15118.1905234622</v>
      </c>
      <c r="L65" s="36"/>
      <c r="M65" s="36"/>
      <c r="N65" s="27"/>
      <c r="O65" s="27"/>
      <c r="P65" s="27"/>
      <c r="Q65" s="37"/>
      <c r="S65" s="60" t="s">
        <v>103</v>
      </c>
      <c r="T65" s="69" t="n">
        <f aca="false">(T89*T59)-(K47*K29)</f>
        <v>11269.054942797</v>
      </c>
      <c r="U65" s="36"/>
      <c r="V65" s="36"/>
      <c r="W65" s="27"/>
      <c r="X65" s="27"/>
      <c r="Y65" s="27"/>
      <c r="Z65" s="37"/>
      <c r="AB65" s="60" t="s">
        <v>103</v>
      </c>
      <c r="AC65" s="69" t="n">
        <f aca="false">(AC89*AC59)-(K47*K29)</f>
        <v>-3730.29100619487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0.015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0.0625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0.0075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0.0075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956.0179806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3311.87475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397.42497</v>
      </c>
      <c r="U68" s="36"/>
      <c r="V68" s="36"/>
      <c r="W68" s="27"/>
      <c r="X68" s="27"/>
      <c r="Y68" s="27"/>
      <c r="Z68" s="37"/>
      <c r="AB68" s="60" t="s">
        <v>106</v>
      </c>
      <c r="AC68" s="69" t="n">
        <f aca="false">AH158*AC67</f>
        <v>314.1187275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0.05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B73*B29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27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27"/>
      <c r="G77" s="27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B77/K29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1226.04937773205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1226.04937773205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1276.04937773205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1276.04937773205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63734.53204</v>
      </c>
      <c r="C81" s="36"/>
      <c r="D81" s="36"/>
      <c r="E81" s="27"/>
      <c r="F81" s="29" t="s">
        <v>118</v>
      </c>
      <c r="G81" s="31" t="n">
        <f aca="false">G158</f>
        <v>63734.53204</v>
      </c>
      <c r="H81" s="37"/>
      <c r="J81" s="29" t="s">
        <v>118</v>
      </c>
      <c r="K81" s="31" t="n">
        <f aca="false">P158</f>
        <v>36630.004</v>
      </c>
      <c r="L81" s="36"/>
      <c r="M81" s="36"/>
      <c r="N81" s="27"/>
      <c r="O81" s="27"/>
      <c r="P81" s="27"/>
      <c r="Q81" s="37"/>
      <c r="S81" s="29" t="s">
        <v>118</v>
      </c>
      <c r="T81" s="31" t="n">
        <f aca="false">Y158</f>
        <v>54952.97101</v>
      </c>
      <c r="U81" s="36"/>
      <c r="V81" s="36"/>
      <c r="W81" s="27"/>
      <c r="X81" s="27"/>
      <c r="Y81" s="27"/>
      <c r="Z81" s="37"/>
      <c r="AB81" s="29" t="s">
        <v>118</v>
      </c>
      <c r="AC81" s="31" t="n">
        <f aca="false">AH158</f>
        <v>41882.497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25825</v>
      </c>
      <c r="C82" s="36"/>
      <c r="D82" s="36"/>
      <c r="E82" s="27"/>
      <c r="F82" s="35" t="s">
        <v>119</v>
      </c>
      <c r="G82" s="37" t="n">
        <f aca="false">IF(A111="YES",A40,0)</f>
        <v>25825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25825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25825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88" t="n">
        <f aca="false">B62+B63+B64</f>
        <v>0.145</v>
      </c>
      <c r="C83" s="36"/>
      <c r="D83" s="36"/>
      <c r="E83" s="27"/>
      <c r="F83" s="35" t="s">
        <v>120</v>
      </c>
      <c r="G83" s="95" t="n">
        <f aca="false">B63</f>
        <v>0.095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0.1415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0.1415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0.0120833333333333</v>
      </c>
      <c r="C84" s="36"/>
      <c r="D84" s="36"/>
      <c r="E84" s="27"/>
      <c r="F84" s="35" t="s">
        <v>121</v>
      </c>
      <c r="G84" s="88" t="n">
        <f aca="false">G83/12</f>
        <v>0.00791666666666667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0.0117916666666667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0.0117916666666667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23</v>
      </c>
      <c r="C85" s="36"/>
      <c r="D85" s="36"/>
      <c r="E85" s="27"/>
      <c r="F85" s="35" t="s">
        <v>122</v>
      </c>
      <c r="G85" s="37" t="n">
        <f aca="false">IF(G82=0,(B59+B58),(B59))</f>
        <v>23</v>
      </c>
      <c r="H85" s="37"/>
      <c r="J85" s="35" t="s">
        <v>122</v>
      </c>
      <c r="K85" s="37" t="n">
        <f aca="false">IF(K82=0,(K59+K58),(K59))</f>
        <v>24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23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23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19357.5226432496</v>
      </c>
      <c r="C86" s="36"/>
      <c r="D86" s="36"/>
      <c r="E86" s="27"/>
      <c r="F86" s="35" t="s">
        <v>123</v>
      </c>
      <c r="G86" s="37" t="n">
        <f aca="false">(G82/((1+G84)^(G85+1)))</f>
        <v>21372.2029993672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19491.8910272557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19491.8910272557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19.9760690316744</v>
      </c>
      <c r="C87" s="36"/>
      <c r="D87" s="36"/>
      <c r="E87" s="27"/>
      <c r="F87" s="35" t="s">
        <v>124</v>
      </c>
      <c r="G87" s="37" t="n">
        <f aca="false">((1-(1/((1+G84)^G85)))/G84)</f>
        <v>20.9520373863165</v>
      </c>
      <c r="H87" s="37"/>
      <c r="J87" s="35" t="s">
        <v>124</v>
      </c>
      <c r="K87" s="37" t="n">
        <f aca="false">((1-(1/((1+K84)^K85)))/K84)</f>
        <v>18.9139256030578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20.0422673930129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20.0422673930129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44377.0093967504</v>
      </c>
      <c r="C88" s="36"/>
      <c r="D88" s="36"/>
      <c r="E88" s="27"/>
      <c r="F88" s="35" t="s">
        <v>125</v>
      </c>
      <c r="G88" s="37" t="n">
        <f aca="false">G81-G86</f>
        <v>42362.3290406328</v>
      </c>
      <c r="H88" s="37"/>
      <c r="J88" s="35" t="s">
        <v>125</v>
      </c>
      <c r="K88" s="37" t="n">
        <f aca="false">K81-K86</f>
        <v>36630.004</v>
      </c>
      <c r="L88" s="36"/>
      <c r="M88" s="36"/>
      <c r="N88" s="27"/>
      <c r="O88" s="27"/>
      <c r="P88" s="27"/>
      <c r="Q88" s="37"/>
      <c r="S88" s="35" t="s">
        <v>125</v>
      </c>
      <c r="T88" s="37" t="n">
        <f aca="false">T81-T86</f>
        <v>35461.0799827443</v>
      </c>
      <c r="U88" s="36"/>
      <c r="V88" s="36"/>
      <c r="W88" s="27"/>
      <c r="X88" s="27"/>
      <c r="Y88" s="27"/>
      <c r="Z88" s="37"/>
      <c r="AB88" s="35" t="s">
        <v>125</v>
      </c>
      <c r="AC88" s="37" t="n">
        <f aca="false">AC81-AC86</f>
        <v>22390.6059727443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2221.5086124495</v>
      </c>
      <c r="C89" s="36"/>
      <c r="D89" s="36"/>
      <c r="E89" s="27"/>
      <c r="F89" s="35" t="s">
        <v>126</v>
      </c>
      <c r="G89" s="37" t="n">
        <f aca="false">(G88/G87)</f>
        <v>2021.87158506595</v>
      </c>
      <c r="H89" s="37"/>
      <c r="J89" s="35" t="s">
        <v>126</v>
      </c>
      <c r="K89" s="37" t="n">
        <f aca="false">(K88/K87)</f>
        <v>1936.66850387093</v>
      </c>
      <c r="L89" s="36"/>
      <c r="M89" s="36"/>
      <c r="N89" s="27"/>
      <c r="O89" s="27"/>
      <c r="P89" s="27"/>
      <c r="Q89" s="37"/>
      <c r="S89" s="35" t="s">
        <v>126</v>
      </c>
      <c r="T89" s="37" t="n">
        <f aca="false">(T88/T87)</f>
        <v>1769.31478297244</v>
      </c>
      <c r="U89" s="36"/>
      <c r="V89" s="36"/>
      <c r="W89" s="27"/>
      <c r="X89" s="27"/>
      <c r="Y89" s="27"/>
      <c r="Z89" s="37"/>
      <c r="AB89" s="35" t="s">
        <v>126</v>
      </c>
      <c r="AC89" s="37" t="n">
        <f aca="false">(AC88/AC87)</f>
        <v>1117.16930692932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51094.6980863386</v>
      </c>
      <c r="C90" s="36"/>
      <c r="D90" s="36"/>
      <c r="E90" s="27"/>
      <c r="F90" s="35" t="s">
        <v>127</v>
      </c>
      <c r="G90" s="37" t="n">
        <f aca="false">((G89*(G85))+G77)</f>
        <v>46503.0464565169</v>
      </c>
      <c r="H90" s="37"/>
      <c r="J90" s="35" t="s">
        <v>127</v>
      </c>
      <c r="K90" s="37" t="n">
        <f aca="false">((K89*(K85))+K77)</f>
        <v>46480.0440929024</v>
      </c>
      <c r="L90" s="36"/>
      <c r="M90" s="36"/>
      <c r="N90" s="27"/>
      <c r="O90" s="27"/>
      <c r="P90" s="27"/>
      <c r="Q90" s="37"/>
      <c r="S90" s="35" t="s">
        <v>127</v>
      </c>
      <c r="T90" s="37" t="n">
        <f aca="false">(T89*(T85))+T77</f>
        <v>40694.2400083662</v>
      </c>
      <c r="U90" s="36"/>
      <c r="V90" s="36"/>
      <c r="W90" s="27"/>
      <c r="X90" s="27"/>
      <c r="Y90" s="27"/>
      <c r="Z90" s="37"/>
      <c r="AB90" s="35" t="s">
        <v>127</v>
      </c>
      <c r="AC90" s="37" t="n">
        <f aca="false">(AC89*(AC59))+AC77</f>
        <v>25694.8940593743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(B90/(1-B71))*B71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n">
        <f aca="false">(K90/(1-K71))*K71</f>
        <v>0</v>
      </c>
      <c r="L91" s="36"/>
      <c r="M91" s="36"/>
      <c r="N91" s="27"/>
      <c r="O91" s="27"/>
      <c r="P91" s="27"/>
      <c r="Q91" s="37"/>
      <c r="S91" s="35" t="s">
        <v>128</v>
      </c>
      <c r="T91" s="37" t="n">
        <f aca="false">(T90/(1-T71))*T71</f>
        <v>0</v>
      </c>
      <c r="U91" s="36"/>
      <c r="V91" s="36"/>
      <c r="W91" s="27"/>
      <c r="X91" s="27"/>
      <c r="Y91" s="27"/>
      <c r="Z91" s="37"/>
      <c r="AB91" s="35" t="s">
        <v>128</v>
      </c>
      <c r="AC91" s="37" t="n">
        <f aca="false">(AC90/(1-AC71))*AC71</f>
        <v>0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51094.6980863386</v>
      </c>
      <c r="C92" s="36"/>
      <c r="D92" s="36"/>
      <c r="E92" s="27"/>
      <c r="F92" s="60" t="s">
        <v>129</v>
      </c>
      <c r="G92" s="69" t="n">
        <f aca="false">(G90+G91)</f>
        <v>46503.0464565169</v>
      </c>
      <c r="H92" s="37"/>
      <c r="J92" s="60" t="s">
        <v>129</v>
      </c>
      <c r="K92" s="69" t="n">
        <f aca="false">(K90+K91)</f>
        <v>46480.0440929024</v>
      </c>
      <c r="L92" s="36"/>
      <c r="M92" s="36"/>
      <c r="N92" s="27"/>
      <c r="O92" s="27"/>
      <c r="P92" s="27"/>
      <c r="Q92" s="37"/>
      <c r="S92" s="60" t="s">
        <v>129</v>
      </c>
      <c r="T92" s="69" t="n">
        <f aca="false">(T90+T91)</f>
        <v>40694.2400083662</v>
      </c>
      <c r="U92" s="36"/>
      <c r="V92" s="36"/>
      <c r="W92" s="27"/>
      <c r="X92" s="27"/>
      <c r="Y92" s="27"/>
      <c r="Z92" s="37"/>
      <c r="AB92" s="60" t="s">
        <v>129</v>
      </c>
      <c r="AC92" s="69" t="n">
        <f aca="false">(AC90+AC91)</f>
        <v>25694.8940593743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3" t="n">
        <f aca="false">IF(B26="YES",((E40/B85)*(1+A108)*1.2*(C45/100)),"0")</f>
        <v>81.3913043478261</v>
      </c>
      <c r="C94" s="36"/>
      <c r="D94" s="36"/>
      <c r="E94" s="27"/>
      <c r="F94" s="92" t="s">
        <v>130</v>
      </c>
      <c r="G94" s="96" t="n">
        <f aca="false">IF(B26="YES",((E40/B85)*(1+A108)*(C45/100)),"0")</f>
        <v>67.8260869565217</v>
      </c>
      <c r="H94" s="37"/>
      <c r="J94" s="92" t="s">
        <v>130</v>
      </c>
      <c r="K94" s="93" t="n">
        <f aca="false">((E40/K85)*(1+J108))*1.2</f>
        <v>78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62.6086956521739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75.1304347826087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2221.5086124495</v>
      </c>
      <c r="C95" s="36"/>
      <c r="D95" s="36"/>
      <c r="E95" s="27"/>
      <c r="F95" s="97" t="s">
        <v>131</v>
      </c>
      <c r="G95" s="98" t="n">
        <f aca="false">G92/(G85)</f>
        <v>2021.87158506595</v>
      </c>
      <c r="H95" s="37"/>
      <c r="J95" s="97" t="s">
        <v>131</v>
      </c>
      <c r="K95" s="98" t="n">
        <f aca="false">K92/(K85)</f>
        <v>1936.66850387093</v>
      </c>
      <c r="L95" s="36"/>
      <c r="M95" s="36"/>
      <c r="N95" s="27"/>
      <c r="O95" s="27"/>
      <c r="P95" s="27"/>
      <c r="Q95" s="37"/>
      <c r="S95" s="97" t="s">
        <v>131</v>
      </c>
      <c r="T95" s="98" t="n">
        <f aca="false">T92/(T85)</f>
        <v>1769.31478297244</v>
      </c>
      <c r="U95" s="36"/>
      <c r="V95" s="36"/>
      <c r="W95" s="27"/>
      <c r="X95" s="27"/>
      <c r="Y95" s="27"/>
      <c r="Z95" s="37"/>
      <c r="AB95" s="97" t="s">
        <v>131</v>
      </c>
      <c r="AC95" s="98" t="n">
        <f aca="false">AC92/(AC59)</f>
        <v>1117.16930692932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(B94+B95)</f>
        <v>2302.89991679733</v>
      </c>
      <c r="C96" s="36"/>
      <c r="D96" s="36"/>
      <c r="E96" s="27"/>
      <c r="F96" s="99" t="s">
        <v>132</v>
      </c>
      <c r="G96" s="100" t="n">
        <f aca="false">G94+G95</f>
        <v>2089.69767202247</v>
      </c>
      <c r="H96" s="37"/>
      <c r="J96" s="99" t="s">
        <v>132</v>
      </c>
      <c r="K96" s="100" t="n">
        <f aca="false">(K94+K95)</f>
        <v>2014.66850387093</v>
      </c>
      <c r="L96" s="36"/>
      <c r="M96" s="36"/>
      <c r="N96" s="27"/>
      <c r="O96" s="27"/>
      <c r="P96" s="27"/>
      <c r="Q96" s="37"/>
      <c r="S96" s="99" t="s">
        <v>132</v>
      </c>
      <c r="T96" s="100" t="n">
        <f aca="false">T94+T95</f>
        <v>1831.92347862462</v>
      </c>
      <c r="U96" s="36"/>
      <c r="V96" s="36"/>
      <c r="W96" s="27"/>
      <c r="X96" s="27"/>
      <c r="Y96" s="27"/>
      <c r="Z96" s="37"/>
      <c r="AB96" s="99" t="s">
        <v>132</v>
      </c>
      <c r="AC96" s="100" t="n">
        <f aca="false">AC94+AC95</f>
        <v>1192.29974171193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136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31</v>
      </c>
      <c r="F105" s="106"/>
      <c r="G105" s="106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0.3</v>
      </c>
      <c r="B108" s="109" t="s">
        <v>9</v>
      </c>
      <c r="C108" s="109"/>
      <c r="D108" s="109"/>
      <c r="E108" s="110" t="n">
        <f aca="false">B83</f>
        <v>0.145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0.1415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0.1415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200</v>
      </c>
      <c r="C111" s="109"/>
      <c r="D111" s="109"/>
      <c r="E111" s="109" t="n">
        <v>200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1000</v>
      </c>
      <c r="B114" s="109" t="n">
        <v>239.99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s">
        <v>154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B3</f>
        <v>44008.33</v>
      </c>
      <c r="C121" s="44" t="n">
        <f aca="false">B121</f>
        <v>44008.33</v>
      </c>
      <c r="D121" s="29" t="n">
        <f aca="false">D3</f>
        <v>0</v>
      </c>
      <c r="E121" s="44" t="n">
        <f aca="false">D121</f>
        <v>0</v>
      </c>
      <c r="F121" s="29" t="n">
        <f aca="false">F3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44008.33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n">
        <f aca="false">F3</f>
        <v>0</v>
      </c>
      <c r="P121" s="44" t="n">
        <f aca="false">O121</f>
        <v>0</v>
      </c>
      <c r="Q121" s="121" t="n">
        <f aca="false">H3</f>
        <v>0</v>
      </c>
      <c r="S121" s="29" t="s">
        <v>161</v>
      </c>
      <c r="T121" s="29" t="n">
        <f aca="false">B3</f>
        <v>44008.33</v>
      </c>
      <c r="U121" s="44" t="n">
        <f aca="false">T121</f>
        <v>44008.33</v>
      </c>
      <c r="V121" s="29" t="n">
        <f aca="false">D3</f>
        <v>0</v>
      </c>
      <c r="W121" s="44" t="n">
        <f aca="false">V121</f>
        <v>0</v>
      </c>
      <c r="X121" s="29" t="n">
        <f aca="false">F3</f>
        <v>0</v>
      </c>
      <c r="Y121" s="44" t="n">
        <f aca="false">X121</f>
        <v>0</v>
      </c>
      <c r="Z121" s="121" t="n">
        <f aca="false">H3</f>
        <v>0</v>
      </c>
      <c r="AB121" s="29" t="s">
        <v>161</v>
      </c>
      <c r="AC121" s="29" t="n">
        <f aca="false">B3</f>
        <v>44008.33</v>
      </c>
      <c r="AD121" s="44" t="n">
        <f aca="false">AC121</f>
        <v>44008.33</v>
      </c>
      <c r="AE121" s="29" t="n">
        <f aca="false">D3</f>
        <v>0</v>
      </c>
      <c r="AF121" s="44" t="n">
        <f aca="false">AE121</f>
        <v>0</v>
      </c>
      <c r="AG121" s="29" t="n">
        <f aca="false">F3</f>
        <v>0</v>
      </c>
      <c r="AH121" s="44" t="n">
        <f aca="false">AG121</f>
        <v>0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f aca="false">B4</f>
        <v>2</v>
      </c>
      <c r="C122" s="123" t="n">
        <v>0</v>
      </c>
      <c r="D122" s="122" t="n">
        <f aca="false">D4</f>
        <v>0</v>
      </c>
      <c r="E122" s="123" t="n">
        <v>0</v>
      </c>
      <c r="F122" s="122" t="n">
        <f aca="false">F4</f>
        <v>0</v>
      </c>
      <c r="G122" s="363" t="n">
        <v>0</v>
      </c>
      <c r="H122" s="125"/>
      <c r="J122" s="35" t="s">
        <v>162</v>
      </c>
      <c r="K122" s="122" t="n">
        <f aca="false">B4</f>
        <v>2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n">
        <f aca="false">F4</f>
        <v>0</v>
      </c>
      <c r="P122" s="124" t="n">
        <f aca="false">O122</f>
        <v>0</v>
      </c>
      <c r="Q122" s="125"/>
      <c r="S122" s="35" t="s">
        <v>162</v>
      </c>
      <c r="T122" s="122" t="n">
        <f aca="false">B4</f>
        <v>2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n">
        <f aca="false">F4</f>
        <v>0</v>
      </c>
      <c r="Y122" s="124" t="n">
        <f aca="false">X122</f>
        <v>0</v>
      </c>
      <c r="Z122" s="125"/>
      <c r="AB122" s="35" t="s">
        <v>162</v>
      </c>
      <c r="AC122" s="122" t="n">
        <f aca="false">B4</f>
        <v>2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n">
        <f aca="false">F4</f>
        <v>0</v>
      </c>
      <c r="AH122" s="124" t="n">
        <f aca="false">AG122</f>
        <v>0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f aca="false">B5</f>
        <v>0</v>
      </c>
      <c r="C123" s="44" t="n">
        <v>-4445.5</v>
      </c>
      <c r="D123" s="35" t="n">
        <f aca="false">D5</f>
        <v>0</v>
      </c>
      <c r="E123" s="44" t="n">
        <v>0</v>
      </c>
      <c r="F123" s="35" t="n">
        <f aca="false">F5</f>
        <v>0</v>
      </c>
      <c r="G123" s="44" t="n">
        <v>0</v>
      </c>
      <c r="H123" s="37"/>
      <c r="J123" s="35" t="s">
        <v>163</v>
      </c>
      <c r="K123" s="35" t="n">
        <f aca="false">B5</f>
        <v>0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n">
        <f aca="false">F5</f>
        <v>0</v>
      </c>
      <c r="P123" s="44" t="n">
        <f aca="false">O123</f>
        <v>0</v>
      </c>
      <c r="Q123" s="37"/>
      <c r="S123" s="35" t="s">
        <v>163</v>
      </c>
      <c r="T123" s="35" t="n">
        <f aca="false">B5</f>
        <v>0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n">
        <f aca="false">F5</f>
        <v>0</v>
      </c>
      <c r="Y123" s="44" t="n">
        <f aca="false">X123</f>
        <v>0</v>
      </c>
      <c r="Z123" s="37"/>
      <c r="AB123" s="35" t="s">
        <v>163</v>
      </c>
      <c r="AC123" s="35" t="n">
        <f aca="false">B5</f>
        <v>0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n">
        <f aca="false">F5</f>
        <v>0</v>
      </c>
      <c r="AH123" s="44" t="n">
        <f aca="false">AG123</f>
        <v>0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88016.66</v>
      </c>
      <c r="C124" s="31" t="n">
        <f aca="false">(C121*C122/100)+C123</f>
        <v>-7957.9467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88016.66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n">
        <f aca="false">(O121*O122)+O123</f>
        <v>0</v>
      </c>
      <c r="P124" s="31" t="n">
        <f aca="false">(P121*P122)+P123</f>
        <v>0</v>
      </c>
      <c r="Q124" s="37"/>
      <c r="S124" s="35" t="s">
        <v>164</v>
      </c>
      <c r="T124" s="35" t="n">
        <f aca="false">(T121*T122)+T123</f>
        <v>88016.66</v>
      </c>
      <c r="U124" s="31" t="n">
        <f aca="false">(U121*U122/100)+U123</f>
        <v>110.020825</v>
      </c>
      <c r="V124" s="35" t="n">
        <f aca="false">(V121*V122)+V123</f>
        <v>0</v>
      </c>
      <c r="W124" s="31" t="n">
        <f aca="false">(W121*W122/100)+W123</f>
        <v>0</v>
      </c>
      <c r="X124" s="35" t="n">
        <f aca="false">(X121*X122)+X123</f>
        <v>0</v>
      </c>
      <c r="Y124" s="31" t="n">
        <f aca="false">(Y121*Y122/100)+Y123</f>
        <v>0</v>
      </c>
      <c r="Z124" s="37"/>
      <c r="AB124" s="35" t="s">
        <v>164</v>
      </c>
      <c r="AC124" s="35" t="n">
        <f aca="false">(AC121*AC122)+AC123</f>
        <v>88016.66</v>
      </c>
      <c r="AD124" s="31" t="n">
        <f aca="false">(AD121*AD122)+AD123</f>
        <v>11002.0825</v>
      </c>
      <c r="AE124" s="35" t="n">
        <f aca="false">(AE121*AE122)+AE123</f>
        <v>0</v>
      </c>
      <c r="AF124" s="31" t="n">
        <f aca="false">(AF121*AF122)+AF123</f>
        <v>0</v>
      </c>
      <c r="AG124" s="35" t="n">
        <f aca="false">(AG121*AG122)+AG123</f>
        <v>0</v>
      </c>
      <c r="AH124" s="31" t="n">
        <f aca="false">(AH121*AH122)+AH123</f>
        <v>0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-44008.33</v>
      </c>
      <c r="C125" s="69" t="n">
        <f aca="false">C121-C124</f>
        <v>51966.2767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-44008.33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n">
        <f aca="false">O121-O124</f>
        <v>0</v>
      </c>
      <c r="P125" s="69" t="n">
        <f aca="false">P121-P124</f>
        <v>0</v>
      </c>
      <c r="Q125" s="69"/>
      <c r="S125" s="60" t="s">
        <v>165</v>
      </c>
      <c r="T125" s="60" t="n">
        <f aca="false">T121-T124</f>
        <v>-44008.33</v>
      </c>
      <c r="U125" s="69" t="n">
        <f aca="false">U121-U124</f>
        <v>43898.309175</v>
      </c>
      <c r="V125" s="60" t="n">
        <f aca="false">V121-V124</f>
        <v>0</v>
      </c>
      <c r="W125" s="69" t="n">
        <f aca="false">W121-W124</f>
        <v>0</v>
      </c>
      <c r="X125" s="60" t="n">
        <f aca="false">X121-X124</f>
        <v>0</v>
      </c>
      <c r="Y125" s="69" t="n">
        <f aca="false">Y121-Y124</f>
        <v>0</v>
      </c>
      <c r="Z125" s="69"/>
      <c r="AB125" s="60" t="s">
        <v>165</v>
      </c>
      <c r="AC125" s="60" t="n">
        <f aca="false">AC121-AC124</f>
        <v>-44008.33</v>
      </c>
      <c r="AD125" s="69" t="n">
        <f aca="false">AD121-AD124</f>
        <v>33006.2475</v>
      </c>
      <c r="AE125" s="60" t="n">
        <f aca="false">AE121-AE124</f>
        <v>0</v>
      </c>
      <c r="AF125" s="69" t="n">
        <f aca="false">AF121-AF124</f>
        <v>0</v>
      </c>
      <c r="AG125" s="60" t="n">
        <f aca="false">AG121-AG124</f>
        <v>0</v>
      </c>
      <c r="AH125" s="69" t="n">
        <f aca="false">AH121-AH124</f>
        <v>0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H9</f>
        <v>43128.1634</v>
      </c>
      <c r="H135" s="144" t="n">
        <f aca="false">C125+E125+G125+H128</f>
        <v>51966.2767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43128.1634</v>
      </c>
      <c r="Q135" s="144" t="n">
        <f aca="false">L125+N125+P125+Q128</f>
        <v>28629.17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43128.1634</v>
      </c>
      <c r="Z135" s="144" t="n">
        <f aca="false">U125+W125+Y125+Z128</f>
        <v>43898.309175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43128.1634</v>
      </c>
      <c r="AI135" s="144" t="n">
        <f aca="false">AD125+AF125+AH125+AI128</f>
        <v>33006.2475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150</v>
      </c>
      <c r="H136" s="37" t="n">
        <f aca="false">G136</f>
        <v>150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150</v>
      </c>
      <c r="Q136" s="37" t="n">
        <f aca="false">P136</f>
        <v>150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150</v>
      </c>
      <c r="Z136" s="37" t="n">
        <f aca="false">Y136</f>
        <v>150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150</v>
      </c>
      <c r="AI136" s="37" t="n">
        <f aca="false">AH136</f>
        <v>150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146" t="n">
        <f aca="false">H11</f>
        <v>8655.63268</v>
      </c>
      <c r="H137" s="37" t="n">
        <f aca="false">(H135+H136)*20%</f>
        <v>10423.25534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8655.63268</v>
      </c>
      <c r="Q137" s="37" t="n">
        <f aca="false">(Q135+Q136)*20%</f>
        <v>5755.834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8655.63268</v>
      </c>
      <c r="Z137" s="37" t="n">
        <f aca="false">(Z135+Z136)*20%</f>
        <v>8809.661835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8655.63268</v>
      </c>
      <c r="AI137" s="37" t="n">
        <f aca="false">(AI135+AI136)*20%</f>
        <v>6631.2495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f aca="false">G138</f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1040</v>
      </c>
      <c r="H139" s="37" t="n">
        <f aca="false">G139</f>
        <v>1040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1040</v>
      </c>
      <c r="Q139" s="37" t="n">
        <f aca="false">P139</f>
        <v>1040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1040</v>
      </c>
      <c r="Z139" s="37" t="n">
        <f aca="false">Y139</f>
        <v>1040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1040</v>
      </c>
      <c r="AI139" s="37" t="n">
        <f aca="false">AH139</f>
        <v>1040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55</v>
      </c>
      <c r="H140" s="37" t="n">
        <f aca="false">G140</f>
        <v>55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55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55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55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8" t="n">
        <f aca="false">H15</f>
        <v>53028.79608</v>
      </c>
      <c r="H141" s="147" t="n">
        <f aca="false">(H135+H136+H139+H140+H137)-H138</f>
        <v>63634.53204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53028.79608</v>
      </c>
      <c r="Q141" s="147" t="n">
        <f aca="false">(Q135+Q136+Q139+Q140+Q137)-Q138</f>
        <v>35630.004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53028.79608</v>
      </c>
      <c r="Z141" s="147" t="n">
        <f aca="false">(Z135+Z136+Z139+Z140+Z137)-Z138</f>
        <v>53952.97101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53028.79608</v>
      </c>
      <c r="AI141" s="147" t="n">
        <f aca="false">(AI135+AI136+AI139+AI140+AI137)-AI138</f>
        <v>40882.497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0</v>
      </c>
      <c r="H142" s="44" t="n">
        <f aca="false">G142</f>
        <v>0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0</v>
      </c>
      <c r="Q142" s="44" t="n">
        <f aca="false">P142</f>
        <v>0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0</v>
      </c>
      <c r="Z142" s="44" t="n">
        <f aca="false">Y142</f>
        <v>0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0</v>
      </c>
      <c r="AI142" s="44" t="n">
        <f aca="false">AH142</f>
        <v>0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s">
        <v>182</v>
      </c>
      <c r="C144" s="151"/>
      <c r="D144" s="151"/>
      <c r="E144" s="151"/>
      <c r="F144" s="151"/>
      <c r="G144" s="146" t="n">
        <f aca="false">H18</f>
        <v>0</v>
      </c>
      <c r="H144" s="44" t="n">
        <f aca="false">G144</f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f aca="false">G145</f>
        <v>0</v>
      </c>
      <c r="I145" s="6" t="n">
        <f aca="false">(G142+G145+G146+G144)</f>
        <v>0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f aca="false">G146</f>
        <v>0</v>
      </c>
      <c r="I146" s="6" t="n">
        <f aca="false">(H142+H144+H145+H146)</f>
        <v>0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53028.79608</v>
      </c>
      <c r="H147" s="154" t="n">
        <f aca="false">H141-((H144*1.2)+(H145*1.2)+(H146*1.2)+(H142*1.2))</f>
        <v>63634.53204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53028.79608</v>
      </c>
      <c r="Q147" s="154" t="n">
        <f aca="false">Q141-((Q144*1.2)+(Q145*1.2)+(Q146*1.2)+(Q142*1.2))</f>
        <v>35630.004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53028.79608</v>
      </c>
      <c r="Z147" s="154" t="n">
        <f aca="false">Z141-((Z144*1.2)+(Z145*1.2)+(Z146*1.2)+(Z142*1.2))</f>
        <v>53952.97101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53028.79608</v>
      </c>
      <c r="AI147" s="154" t="n">
        <f aca="false">AI141-((AI144*1.2)+(AI145*1.2)+(AI146*1.2)+(AI142*1.2))</f>
        <v>40882.497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8838.1133</v>
      </c>
      <c r="I148" s="6" t="n">
        <f aca="false">(H148-G81)/1.2</f>
        <v>-45747.0156166667</v>
      </c>
      <c r="J148" s="145" t="s">
        <v>184</v>
      </c>
      <c r="K148" s="145"/>
      <c r="L148" s="145"/>
      <c r="M148" s="145"/>
      <c r="N148" s="145"/>
      <c r="O148" s="145"/>
      <c r="P148" s="146"/>
      <c r="Q148" s="44" t="n">
        <f aca="false">Q147-P147</f>
        <v>-17398.79208</v>
      </c>
      <c r="S148" s="145" t="s">
        <v>184</v>
      </c>
      <c r="T148" s="145"/>
      <c r="U148" s="145"/>
      <c r="V148" s="145"/>
      <c r="W148" s="145"/>
      <c r="X148" s="145"/>
      <c r="Y148" s="146"/>
      <c r="Z148" s="44" t="n">
        <f aca="false">Z147-Y147</f>
        <v>924.174929999994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n">
        <f aca="false">AI147-AH147</f>
        <v>-12146.29908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1000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63734.53204</v>
      </c>
      <c r="H158" s="160"/>
      <c r="J158" s="159" t="s">
        <v>192</v>
      </c>
      <c r="K158" s="36"/>
      <c r="L158" s="36"/>
      <c r="M158" s="27"/>
      <c r="N158" s="36"/>
      <c r="O158" s="27"/>
      <c r="P158" s="160" t="n">
        <f aca="false">Q147-P154-P157</f>
        <v>36630.004</v>
      </c>
      <c r="Q158" s="160"/>
      <c r="S158" s="159" t="s">
        <v>192</v>
      </c>
      <c r="T158" s="36"/>
      <c r="U158" s="36"/>
      <c r="V158" s="27"/>
      <c r="W158" s="36"/>
      <c r="X158" s="27"/>
      <c r="Y158" s="160" t="n">
        <f aca="false">Z147-Y154-Y157</f>
        <v>54952.97101</v>
      </c>
      <c r="Z158" s="160"/>
      <c r="AB158" s="159" t="s">
        <v>192</v>
      </c>
      <c r="AC158" s="36"/>
      <c r="AD158" s="36"/>
      <c r="AE158" s="27"/>
      <c r="AF158" s="36"/>
      <c r="AG158" s="27"/>
      <c r="AH158" s="160" t="n">
        <f aca="false">AI147-AH154-AH157</f>
        <v>41882.497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239.99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165" t="n">
        <f aca="false">B95</f>
        <v>2221.5086124495</v>
      </c>
      <c r="B167" s="166" t="n">
        <f aca="false">B94</f>
        <v>81.3913043478261</v>
      </c>
      <c r="C167" s="164"/>
      <c r="D167" s="164"/>
      <c r="E167" s="166" t="n">
        <f aca="false">B96</f>
        <v>2302.89991679733</v>
      </c>
      <c r="F167" s="27"/>
      <c r="G167" s="27" t="n">
        <f aca="false">ROUND(G95,2)</f>
        <v>2021.87</v>
      </c>
      <c r="H167" s="37"/>
      <c r="J167" s="165" t="n">
        <f aca="false">K95</f>
        <v>1936.66850387093</v>
      </c>
      <c r="K167" s="166" t="n">
        <f aca="false">K94</f>
        <v>78</v>
      </c>
      <c r="L167" s="164"/>
      <c r="M167" s="164"/>
      <c r="N167" s="166" t="n">
        <f aca="false">K96</f>
        <v>2014.66850387093</v>
      </c>
      <c r="O167" s="27"/>
      <c r="P167" s="27"/>
      <c r="Q167" s="37"/>
      <c r="S167" s="165" t="n">
        <f aca="false">T95</f>
        <v>1769.31478297244</v>
      </c>
      <c r="T167" s="166" t="n">
        <f aca="false">T94</f>
        <v>62.6086956521739</v>
      </c>
      <c r="U167" s="164"/>
      <c r="V167" s="164"/>
      <c r="W167" s="166" t="n">
        <f aca="false">T96</f>
        <v>1831.92347862462</v>
      </c>
      <c r="X167" s="27"/>
      <c r="Y167" s="27"/>
      <c r="Z167" s="37"/>
      <c r="AB167" s="165" t="n">
        <f aca="false">AC95</f>
        <v>1117.16930692932</v>
      </c>
      <c r="AC167" s="166" t="n">
        <f aca="false">AC94</f>
        <v>75.1304347826087</v>
      </c>
      <c r="AD167" s="164"/>
      <c r="AE167" s="164"/>
      <c r="AF167" s="166" t="n">
        <f aca="false">AC96</f>
        <v>1192.29974171193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24</v>
      </c>
      <c r="B170" s="168" t="n">
        <f aca="false">K30</f>
        <v>8000</v>
      </c>
      <c r="C170" s="169"/>
      <c r="D170" s="27"/>
      <c r="E170" s="170" t="n">
        <f aca="false">IF(A111="YES",A40,0)</f>
        <v>25825</v>
      </c>
      <c r="F170" s="27"/>
      <c r="G170" s="27"/>
      <c r="H170" s="37"/>
      <c r="J170" s="167" t="n">
        <f aca="false">K29</f>
        <v>24</v>
      </c>
      <c r="K170" s="168" t="n">
        <f aca="false">K30</f>
        <v>8000</v>
      </c>
      <c r="L170" s="169"/>
      <c r="M170" s="27"/>
      <c r="N170" s="170" t="n">
        <f aca="false">IF(A111="YES",A40,0)</f>
        <v>25825</v>
      </c>
      <c r="O170" s="27"/>
      <c r="P170" s="27"/>
      <c r="Q170" s="37"/>
      <c r="S170" s="167" t="n">
        <f aca="false">K29</f>
        <v>24</v>
      </c>
      <c r="T170" s="168" t="n">
        <f aca="false">K30</f>
        <v>8000</v>
      </c>
      <c r="U170" s="169"/>
      <c r="V170" s="27"/>
      <c r="W170" s="170" t="n">
        <f aca="false">IF(A111="YES",A40,0)</f>
        <v>25825</v>
      </c>
      <c r="X170" s="27"/>
      <c r="Y170" s="27"/>
      <c r="Z170" s="37"/>
      <c r="AB170" s="167" t="n">
        <f aca="false">K29</f>
        <v>24</v>
      </c>
      <c r="AC170" s="168" t="n">
        <f aca="false">K30</f>
        <v>8000</v>
      </c>
      <c r="AD170" s="169"/>
      <c r="AE170" s="27"/>
      <c r="AF170" s="170" t="n">
        <f aca="false">IF(A111="YES",A40,0)</f>
        <v>25825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</f>
        <v>52116.2767</v>
      </c>
      <c r="B173" s="42" t="n">
        <f aca="false">H137</f>
        <v>10423.25534</v>
      </c>
      <c r="C173" s="47"/>
      <c r="D173" s="27"/>
      <c r="E173" s="170" t="n">
        <f aca="false">H139+H140</f>
        <v>1095</v>
      </c>
      <c r="F173" s="27"/>
      <c r="G173" s="27"/>
      <c r="H173" s="37"/>
      <c r="J173" s="171" t="n">
        <f aca="false">Q141-Q137-Q139-Q140</f>
        <v>28779.17</v>
      </c>
      <c r="K173" s="42" t="n">
        <f aca="false">Q137</f>
        <v>5755.834</v>
      </c>
      <c r="L173" s="47"/>
      <c r="M173" s="27"/>
      <c r="N173" s="170" t="n">
        <f aca="false">Q139+Q140</f>
        <v>1095</v>
      </c>
      <c r="O173" s="27"/>
      <c r="P173" s="27"/>
      <c r="Q173" s="37"/>
      <c r="S173" s="171" t="n">
        <f aca="false">Z141-Z137-Z139-Z140</f>
        <v>44048.309175</v>
      </c>
      <c r="T173" s="42" t="n">
        <f aca="false">Z137</f>
        <v>8809.661835</v>
      </c>
      <c r="U173" s="47"/>
      <c r="V173" s="27"/>
      <c r="W173" s="170" t="n">
        <f aca="false">Z139+Z140</f>
        <v>1095</v>
      </c>
      <c r="X173" s="27"/>
      <c r="Y173" s="27"/>
      <c r="Z173" s="37"/>
      <c r="AB173" s="171" t="n">
        <f aca="false">AI141-AI137-AI139-AI140</f>
        <v>33156.2475</v>
      </c>
      <c r="AC173" s="42" t="n">
        <f aca="false">AI137</f>
        <v>6631.2495</v>
      </c>
      <c r="AD173" s="47"/>
      <c r="AE173" s="27"/>
      <c r="AF173" s="170" t="n">
        <f aca="false">AI139+AI140</f>
        <v>1095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H141</f>
        <v>63634.53204</v>
      </c>
      <c r="B176" s="42" t="n">
        <f aca="false">B111</f>
        <v>1000</v>
      </c>
      <c r="C176" s="42"/>
      <c r="D176" s="27"/>
      <c r="E176" s="42" t="n">
        <f aca="false">E111</f>
        <v>0</v>
      </c>
      <c r="F176" s="27"/>
      <c r="G176" s="27"/>
      <c r="H176" s="107"/>
      <c r="J176" s="171" t="n">
        <f aca="false">Q141</f>
        <v>35630.004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n">
        <f aca="false">Z141</f>
        <v>53952.97101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n">
        <f aca="false">AI141</f>
        <v>40882.497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1000</v>
      </c>
      <c r="B179" s="42" t="n">
        <f aca="false">G154</f>
        <v>0</v>
      </c>
      <c r="C179" s="42"/>
      <c r="D179" s="27"/>
      <c r="E179" s="42" t="n">
        <f aca="false">G158</f>
        <v>63734.53204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n">
        <f aca="false">J176-J179-K179</f>
        <v>36630.004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n">
        <f aca="false">S176-S179-T179</f>
        <v>54952.97101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n">
        <f aca="false">AB176-AB179-AC179</f>
        <v>41882.497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(ROUND(A167, 2)*B59)+ROUND(E185, 2)-ROUND(E179, 2)-ROUND(A185,2)</f>
        <v>13185.2</v>
      </c>
      <c r="B182" s="42" t="n">
        <f aca="false">B114</f>
        <v>239.99</v>
      </c>
      <c r="C182" s="42"/>
      <c r="D182" s="27"/>
      <c r="E182" s="42" t="n">
        <f aca="false">ROUND(E179, 2) + ROUND(A182, 2) + ROUND(B182, 2) + ROUND(A185, 2)</f>
        <v>77184.72</v>
      </c>
      <c r="F182" s="27"/>
      <c r="G182" s="27"/>
      <c r="H182" s="107"/>
      <c r="J182" s="113" t="n">
        <f aca="false">(J167*K59)+N185-N179-J185</f>
        <v>33738.3715890314</v>
      </c>
      <c r="K182" s="42" t="n">
        <f aca="false">K114</f>
        <v>239.99</v>
      </c>
      <c r="L182" s="42"/>
      <c r="M182" s="27"/>
      <c r="N182" s="42" t="n">
        <f aca="false">N179+J182+K182+J185</f>
        <v>70628.3655890314</v>
      </c>
      <c r="O182" s="27"/>
      <c r="P182" s="27"/>
      <c r="Q182" s="107"/>
      <c r="S182" s="113" t="n">
        <f aca="false">(S167*T59)+W185-W179-S185</f>
        <v>11566.2689983662</v>
      </c>
      <c r="T182" s="42" t="n">
        <f aca="false">T114</f>
        <v>199.99</v>
      </c>
      <c r="U182" s="42"/>
      <c r="V182" s="27"/>
      <c r="W182" s="42" t="n">
        <f aca="false">W179+S182+T182+S185</f>
        <v>66729.2300083662</v>
      </c>
      <c r="X182" s="27"/>
      <c r="Y182" s="27"/>
      <c r="Z182" s="107"/>
      <c r="AB182" s="113" t="n">
        <f aca="false">(AB167*AC59)+AF185-AF179-AB185</f>
        <v>9637.39705937432</v>
      </c>
      <c r="AC182" s="42" t="n">
        <f aca="false">AC114</f>
        <v>239.99</v>
      </c>
      <c r="AD182" s="42"/>
      <c r="AE182" s="27"/>
      <c r="AF182" s="42" t="n">
        <f aca="false">AF179+AB182+AC182+AB185</f>
        <v>51769.8840593743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25</v>
      </c>
      <c r="B185" s="42" t="n">
        <f aca="false">A179+B182</f>
        <v>1239.99</v>
      </c>
      <c r="C185" s="42"/>
      <c r="D185" s="27"/>
      <c r="E185" s="42" t="n">
        <f aca="false">IF( E170=0, A185+E167, E170+A185)</f>
        <v>25850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25845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25835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25835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IF(E105="YES",J18*0.000002,0)</f>
        <v>0.105979992</v>
      </c>
      <c r="B188" s="42" t="n">
        <f aca="false">(G158*B67)</f>
        <v>956.0179806</v>
      </c>
      <c r="C188" s="36"/>
      <c r="D188" s="36"/>
      <c r="E188" s="42" t="n">
        <f aca="false">(E40*A108)*0.1*C45/100</f>
        <v>36</v>
      </c>
      <c r="F188" s="27"/>
      <c r="G188" s="27"/>
      <c r="H188" s="37"/>
      <c r="J188" s="113" t="n">
        <f aca="false">IF(N105="YES",H15*0.000002,0)</f>
        <v>0.10605759216</v>
      </c>
      <c r="K188" s="42" t="n">
        <f aca="false">(P158*K67)/1.2</f>
        <v>1907.81270833333</v>
      </c>
      <c r="L188" s="36"/>
      <c r="M188" s="36"/>
      <c r="N188" s="42" t="n">
        <f aca="false">(E40*J108)*0.1</f>
        <v>36</v>
      </c>
      <c r="O188" s="27"/>
      <c r="P188" s="27"/>
      <c r="Q188" s="37"/>
      <c r="S188" s="113" t="n">
        <f aca="false">IF(W105="YES",Z15*0.000002,0)</f>
        <v>0</v>
      </c>
      <c r="T188" s="42" t="n">
        <f aca="false">(Y158*T67)/1.2</f>
        <v>343.4560688125</v>
      </c>
      <c r="U188" s="36"/>
      <c r="V188" s="36"/>
      <c r="W188" s="42" t="n">
        <f aca="false">(E40*S108)*0.1</f>
        <v>24</v>
      </c>
      <c r="X188" s="36"/>
      <c r="Y188" s="36"/>
      <c r="Z188" s="37"/>
      <c r="AB188" s="113" t="n">
        <f aca="false">IF(AF105="YES",AI15*0.000002,0)</f>
        <v>0</v>
      </c>
      <c r="AC188" s="42" t="n">
        <f aca="false">(AH158*AC67)/1.2</f>
        <v>261.76560625</v>
      </c>
      <c r="AD188" s="36"/>
      <c r="AE188" s="36"/>
      <c r="AF188" s="42" t="n">
        <f aca="false">(E40*AB108)*0.1</f>
        <v>24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1012.0179806</v>
      </c>
      <c r="C191" s="36"/>
      <c r="D191" s="36"/>
      <c r="E191" s="42" t="n">
        <f aca="false">H148</f>
        <v>8838.1133</v>
      </c>
      <c r="F191" s="27"/>
      <c r="G191" s="27"/>
      <c r="H191" s="37"/>
      <c r="J191" s="113" t="n">
        <f aca="false">K185-100</f>
        <v>1139.99</v>
      </c>
      <c r="K191" s="42" t="n">
        <f aca="false">K188+N188+J191</f>
        <v>3083.80270833333</v>
      </c>
      <c r="L191" s="36"/>
      <c r="M191" s="36"/>
      <c r="N191" s="42" t="n">
        <f aca="false">Q148</f>
        <v>-17398.79208</v>
      </c>
      <c r="O191" s="27"/>
      <c r="P191" s="27"/>
      <c r="Q191" s="37"/>
      <c r="S191" s="113" t="n">
        <f aca="false">T185-100</f>
        <v>1099.99</v>
      </c>
      <c r="T191" s="42" t="n">
        <f aca="false">T188+W188+S191</f>
        <v>1467.4460688125</v>
      </c>
      <c r="U191" s="36"/>
      <c r="V191" s="36"/>
      <c r="W191" s="42" t="n">
        <f aca="false">Z148</f>
        <v>924.174929999994</v>
      </c>
      <c r="X191" s="36"/>
      <c r="Y191" s="36"/>
      <c r="Z191" s="37"/>
      <c r="AB191" s="113" t="n">
        <f aca="false">AC185-100</f>
        <v>1139.99</v>
      </c>
      <c r="AC191" s="42" t="n">
        <f aca="false">AC188+AF188+AB191</f>
        <v>1425.75560625</v>
      </c>
      <c r="AD191" s="36"/>
      <c r="AE191" s="36"/>
      <c r="AF191" s="42" t="n">
        <f aca="false">AI148</f>
        <v>-12146.29908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8000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8000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8000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8000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24</v>
      </c>
      <c r="B197" s="78" t="n">
        <f aca="false">B96</f>
        <v>2302.89991679733</v>
      </c>
      <c r="C197" s="78"/>
      <c r="D197" s="78"/>
      <c r="E197" s="27"/>
      <c r="F197" s="27"/>
      <c r="G197" s="27"/>
      <c r="H197" s="37"/>
      <c r="J197" s="77" t="n">
        <f aca="false">K29</f>
        <v>24</v>
      </c>
      <c r="K197" s="78" t="n">
        <f aca="false">K96</f>
        <v>2014.66850387093</v>
      </c>
      <c r="L197" s="78"/>
      <c r="M197" s="78"/>
      <c r="N197" s="27"/>
      <c r="O197" s="27"/>
      <c r="P197" s="27"/>
      <c r="Q197" s="37"/>
      <c r="S197" s="77" t="n">
        <f aca="false">K29</f>
        <v>24</v>
      </c>
      <c r="T197" s="78" t="n">
        <f aca="false">T96</f>
        <v>1831.92347862462</v>
      </c>
      <c r="U197" s="78"/>
      <c r="V197" s="78"/>
      <c r="W197" s="27"/>
      <c r="X197" s="27"/>
      <c r="Y197" s="27"/>
      <c r="Z197" s="37"/>
      <c r="AB197" s="77" t="n">
        <f aca="false">K29</f>
        <v>24</v>
      </c>
      <c r="AC197" s="78" t="n">
        <f aca="false">AC96</f>
        <v>1192.29974171193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8593.47795999999</v>
      </c>
      <c r="B201" s="47" t="n">
        <f aca="false">E179+A201+B182+A185</f>
        <v>72593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n">
        <f aca="false">A197</f>
        <v>24</v>
      </c>
      <c r="C209" s="164"/>
      <c r="D209" s="164"/>
      <c r="E209" s="164" t="n">
        <f aca="false">B196</f>
        <v>8000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2221.5086124495</v>
      </c>
      <c r="B212" s="166" t="n">
        <f aca="false">B167</f>
        <v>81.3913043478261</v>
      </c>
      <c r="C212" s="164"/>
      <c r="D212" s="164"/>
      <c r="E212" s="166" t="n">
        <f aca="false">E167</f>
        <v>2302.89991679733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52116.2767</v>
      </c>
      <c r="B215" s="42" t="n">
        <f aca="false">B173</f>
        <v>10423.25534</v>
      </c>
      <c r="C215" s="47"/>
      <c r="D215" s="27"/>
      <c r="E215" s="170" t="n">
        <f aca="false">E173</f>
        <v>1095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63634.53204</v>
      </c>
      <c r="B218" s="42" t="n">
        <f aca="false">B176</f>
        <v>1000</v>
      </c>
      <c r="C218" s="42"/>
      <c r="D218" s="27"/>
      <c r="E218" s="42" t="n">
        <f aca="false">E176</f>
        <v>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1000</v>
      </c>
      <c r="B221" s="42" t="n">
        <f aca="false">B179</f>
        <v>0</v>
      </c>
      <c r="C221" s="42"/>
      <c r="D221" s="27"/>
      <c r="E221" s="42" t="n">
        <f aca="false">E179</f>
        <v>63734.53204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13185.2</v>
      </c>
      <c r="B224" s="42" t="n">
        <f aca="false">B182</f>
        <v>239.99</v>
      </c>
      <c r="C224" s="42"/>
      <c r="D224" s="27"/>
      <c r="E224" s="42" t="n">
        <f aca="false">E182</f>
        <v>77184.72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25</v>
      </c>
      <c r="B227" s="42" t="n">
        <f aca="false">B185</f>
        <v>1239.99</v>
      </c>
      <c r="C227" s="42"/>
      <c r="D227" s="27"/>
      <c r="E227" s="42" t="n">
        <f aca="false">B59</f>
        <v>23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2221.5086124495</v>
      </c>
      <c r="B230" s="42" t="n">
        <f aca="false">B167</f>
        <v>81.3913043478261</v>
      </c>
      <c r="C230" s="47"/>
      <c r="D230" s="47"/>
      <c r="E230" s="42" t="n">
        <f aca="false">E167</f>
        <v>2302.89991679733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25825</v>
      </c>
      <c r="B233" s="42" t="n">
        <f aca="false">E185</f>
        <v>25850</v>
      </c>
      <c r="C233" s="36"/>
      <c r="D233" s="36"/>
      <c r="E233" s="42" t="n">
        <f aca="false">J18*0.000006*100*1.2</f>
        <v>38.15279712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IF(E105="YES",J18*0.000002,0)*100*1.2</f>
        <v>12.71759904</v>
      </c>
      <c r="B236" s="42" t="n">
        <f aca="false">E233+A236</f>
        <v>50.87039616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8838.1133</v>
      </c>
      <c r="B240" s="42" t="n">
        <f aca="false">B68</f>
        <v>956.0179806</v>
      </c>
      <c r="C240" s="36"/>
      <c r="D240" s="36"/>
      <c r="E240" s="42" t="n">
        <f aca="false">E188</f>
        <v>36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8750.1312806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0.095</v>
      </c>
      <c r="C253" s="182"/>
      <c r="D253" s="183" t="s">
        <v>227</v>
      </c>
      <c r="E253" s="183"/>
      <c r="F253" s="181" t="n">
        <f aca="false">B83</f>
        <v>0.145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4" t="n">
        <f aca="false">(E182-B182)-(B201-B182-A185)</f>
        <v>4616.72</v>
      </c>
      <c r="C254" s="182"/>
      <c r="D254" s="183" t="s">
        <v>229</v>
      </c>
      <c r="E254" s="183"/>
      <c r="F254" s="185" t="n">
        <f aca="false">F261+F267+F269+B270+B271</f>
        <v>956.0179806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380</v>
      </c>
      <c r="C255" s="182"/>
      <c r="D255" s="183" t="s">
        <v>231</v>
      </c>
      <c r="E255" s="183"/>
      <c r="F255" s="185" t="n">
        <f aca="false">(B254-F254)+B255</f>
        <v>4040.7020194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0.095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0.145</v>
      </c>
      <c r="C260" s="47"/>
      <c r="D260" s="156" t="s">
        <v>228</v>
      </c>
      <c r="E260" s="156"/>
      <c r="F260" s="135" t="n">
        <f aca="false">B254</f>
        <v>4616.72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0.015</v>
      </c>
      <c r="C261" s="36"/>
      <c r="D261" s="156" t="s">
        <v>234</v>
      </c>
      <c r="E261" s="156"/>
      <c r="F261" s="142" t="n">
        <f aca="false">B68</f>
        <v>956.0179806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0.3</v>
      </c>
      <c r="C262" s="36"/>
      <c r="D262" s="156" t="s">
        <v>235</v>
      </c>
      <c r="E262" s="156"/>
      <c r="F262" s="135" t="n">
        <f aca="false">E240*10</f>
        <v>360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4040.7020194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87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3">
    <dataValidation allowBlank="true" errorStyle="stop" operator="between" showDropDown="false" showErrorMessage="true" showInputMessage="true" sqref="A18:A20 B105 K105 N105 T105 W105 AC105 AF105 B108:D108 K108:M108 T108:V108 AC108:AE108 A111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E105" type="list">
      <formula1>$Z$19:$Z$20</formula1>
      <formula2>0</formula2>
    </dataValidation>
    <dataValidation allowBlank="true" errorStyle="stop" operator="between" showDropDown="false" showErrorMessage="true" showInputMessage="true" sqref="B26" type="list">
      <formula1>HirePurchaseNonRegulated!$K$9:$K$10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2"/>
  <sheetViews>
    <sheetView showFormulas="false" showGridLines="true" showRowColHeaders="true" showZeros="true" rightToLeft="false" tabSelected="false" showOutlineSymbols="true" defaultGridColor="true" view="normal" topLeftCell="A235" colorId="64" zoomScale="100" zoomScaleNormal="100" zoomScalePageLayoutView="100" workbookViewId="0">
      <selection pane="topLeft" activeCell="F261" activeCellId="0" sqref="F261"/>
    </sheetView>
  </sheetViews>
  <sheetFormatPr defaultColWidth="8.37890625" defaultRowHeight="18.75" customHeight="true" zeroHeight="false" outlineLevelRow="0" outlineLevelCol="0"/>
  <cols>
    <col min="1" max="1" customWidth="true" hidden="false" style="6" width="41.62" collapsed="false" outlineLevel="0"/>
    <col min="2" max="9" customWidth="true" hidden="false" style="6" width="18.88" collapsed="false" outlineLevel="0"/>
    <col min="10" max="10" customWidth="true" hidden="false" style="6" width="41.62" collapsed="false" outlineLevel="0"/>
    <col min="11" max="17" customWidth="true" hidden="false" style="6" width="18.88" collapsed="false" outlineLevel="0"/>
    <col min="18" max="18" customWidth="false" hidden="false" style="6" width="8.38" collapsed="false" outlineLevel="0"/>
    <col min="19" max="19" customWidth="true" hidden="false" style="6" width="41.62" collapsed="false" outlineLevel="0"/>
    <col min="20" max="24" customWidth="true" hidden="false" style="6" width="18.88" collapsed="false" outlineLevel="0"/>
    <col min="25" max="26" customWidth="true" hidden="false" style="7" width="18.88" collapsed="false" outlineLevel="0"/>
    <col min="27" max="27" customWidth="false" hidden="false" style="6" width="8.38" collapsed="false" outlineLevel="0"/>
    <col min="28" max="28" customWidth="true" hidden="false" style="6" width="41.62" collapsed="false" outlineLevel="0"/>
    <col min="29" max="35" customWidth="true" hidden="false" style="6" width="18.88" collapsed="false" outlineLevel="0"/>
    <col min="36" max="1024" customWidth="false" hidden="false" style="6" width="8.38" collapsed="false" outlineLevel="0"/>
  </cols>
  <sheetData>
    <row r="1" customFormat="false" ht="46.5" hidden="false" customHeight="true" outlineLevel="0" collapsed="false">
      <c r="A1" s="102" t="s">
        <v>393</v>
      </c>
      <c r="B1" s="102"/>
      <c r="C1" s="102"/>
      <c r="D1" s="102"/>
      <c r="E1" s="102"/>
      <c r="F1" s="102"/>
      <c r="G1" s="102"/>
      <c r="H1" s="102"/>
      <c r="I1" s="7"/>
      <c r="J1" s="7"/>
    </row>
    <row r="2" customFormat="false" ht="19.7" hidden="false" customHeight="false" outlineLevel="0" collapsed="false">
      <c r="A2" s="84"/>
      <c r="B2" s="397" t="s">
        <v>155</v>
      </c>
      <c r="C2" s="397"/>
      <c r="D2" s="397" t="s">
        <v>156</v>
      </c>
      <c r="E2" s="397"/>
      <c r="F2" s="397" t="s">
        <v>157</v>
      </c>
      <c r="G2" s="397"/>
      <c r="H2" s="352" t="s">
        <v>158</v>
      </c>
      <c r="I2" s="7"/>
      <c r="J2" s="7"/>
    </row>
    <row r="3" customFormat="false" ht="18.75" hidden="false" customHeight="false" outlineLevel="0" collapsed="false">
      <c r="A3" s="35" t="s">
        <v>161</v>
      </c>
      <c r="B3" s="398" t="n">
        <v>20945</v>
      </c>
      <c r="C3" s="398" t="n">
        <v>0</v>
      </c>
      <c r="D3" s="398" t="n">
        <v>0</v>
      </c>
      <c r="E3" s="398"/>
      <c r="F3" s="398" t="n">
        <v>0</v>
      </c>
      <c r="G3" s="398"/>
      <c r="H3" s="354" t="n">
        <v>0</v>
      </c>
      <c r="I3" s="7"/>
      <c r="J3" s="7"/>
    </row>
    <row r="4" customFormat="false" ht="18.75" hidden="false" customHeight="false" outlineLevel="0" collapsed="false">
      <c r="A4" s="35" t="s">
        <v>162</v>
      </c>
      <c r="B4" s="123" t="n">
        <v>0</v>
      </c>
      <c r="C4" s="123" t="n">
        <v>0</v>
      </c>
      <c r="D4" s="123" t="n">
        <v>0</v>
      </c>
      <c r="E4" s="123"/>
      <c r="F4" s="123" t="n">
        <v>0</v>
      </c>
      <c r="G4" s="123"/>
      <c r="H4" s="125"/>
      <c r="I4" s="7"/>
      <c r="J4" s="7"/>
    </row>
    <row r="5" customFormat="false" ht="18.75" hidden="false" customHeight="false" outlineLevel="0" collapsed="false">
      <c r="A5" s="35" t="s">
        <v>163</v>
      </c>
      <c r="B5" s="398" t="n">
        <v>0</v>
      </c>
      <c r="C5" s="398" t="n">
        <v>0</v>
      </c>
      <c r="D5" s="398" t="n">
        <v>0</v>
      </c>
      <c r="E5" s="398"/>
      <c r="F5" s="398" t="n">
        <v>0</v>
      </c>
      <c r="G5" s="398"/>
      <c r="H5" s="37"/>
      <c r="I5" s="7"/>
      <c r="J5" s="7"/>
    </row>
    <row r="6" customFormat="false" ht="18.75" hidden="false" customHeight="false" outlineLevel="0" collapsed="false">
      <c r="A6" s="35" t="s">
        <v>164</v>
      </c>
      <c r="B6" s="209" t="n">
        <f aca="false">(B3*B4/100)+B5</f>
        <v>4422.833</v>
      </c>
      <c r="C6" s="209" t="n">
        <f aca="false">(C3*C4/100)+C5</f>
        <v>0</v>
      </c>
      <c r="D6" s="209" t="n">
        <f aca="false">(D3*D4/100)+D5</f>
        <v>0</v>
      </c>
      <c r="E6" s="209"/>
      <c r="F6" s="209" t="n">
        <f aca="false">(F3*F4/100)+F5</f>
        <v>0</v>
      </c>
      <c r="G6" s="209"/>
      <c r="H6" s="37"/>
      <c r="I6" s="7"/>
      <c r="J6" s="7"/>
    </row>
    <row r="7" customFormat="false" ht="18.75" hidden="false" customHeight="false" outlineLevel="0" collapsed="false">
      <c r="A7" s="35" t="s">
        <v>165</v>
      </c>
      <c r="B7" s="209" t="n">
        <f aca="false">B3-B6</f>
        <v>39585.497</v>
      </c>
      <c r="C7" s="209" t="n">
        <f aca="false">C3-C6</f>
        <v>0</v>
      </c>
      <c r="D7" s="209" t="n">
        <f aca="false">D3-D6</f>
        <v>0</v>
      </c>
      <c r="E7" s="209"/>
      <c r="F7" s="209" t="n">
        <f aca="false">F3-F6</f>
        <v>0</v>
      </c>
      <c r="G7" s="209"/>
      <c r="H7" s="37"/>
      <c r="I7" s="7"/>
      <c r="J7" s="7"/>
    </row>
    <row r="8" customFormat="false" ht="18.75" hidden="false" customHeight="false" outlineLevel="0" collapsed="false">
      <c r="A8" s="35"/>
      <c r="B8" s="36"/>
      <c r="C8" s="36"/>
      <c r="D8" s="36"/>
      <c r="E8" s="36"/>
      <c r="F8" s="36"/>
      <c r="G8" s="36"/>
      <c r="H8" s="37"/>
      <c r="I8" s="7"/>
      <c r="J8" s="7"/>
      <c r="L8" s="18" t="s">
        <v>17</v>
      </c>
      <c r="M8" s="14" t="n">
        <f aca="false">H13+H14</f>
        <v>1010</v>
      </c>
    </row>
    <row r="9" customFormat="false" ht="19.7" hidden="false" customHeight="false" outlineLevel="0" collapsed="false">
      <c r="A9" s="143" t="s">
        <v>173</v>
      </c>
      <c r="B9" s="143"/>
      <c r="C9" s="143"/>
      <c r="D9" s="143"/>
      <c r="E9" s="143" t="n">
        <f aca="false">(B7+C7+D7+E3)</f>
        <v>39585.497</v>
      </c>
      <c r="F9" s="143"/>
      <c r="G9" s="129"/>
      <c r="H9" s="355" t="n">
        <f aca="false">B7+D7+F7+H3</f>
        <v>39585.497</v>
      </c>
      <c r="I9" s="7"/>
      <c r="J9" s="7"/>
      <c r="L9" s="14"/>
      <c r="M9" s="14"/>
    </row>
    <row r="10" customFormat="false" ht="18.75" hidden="false" customHeight="false" outlineLevel="0" collapsed="false">
      <c r="A10" s="145" t="s">
        <v>174</v>
      </c>
      <c r="B10" s="145"/>
      <c r="C10" s="145"/>
      <c r="D10" s="145"/>
      <c r="E10" s="145" t="n">
        <v>50</v>
      </c>
      <c r="F10" s="145"/>
      <c r="G10" s="146"/>
      <c r="H10" s="354" t="n">
        <v>995</v>
      </c>
      <c r="I10" s="7"/>
      <c r="J10" s="7"/>
      <c r="L10" s="20" t="s">
        <v>15</v>
      </c>
      <c r="M10" s="14" t="n">
        <f aca="false">H15-H11-M8</f>
        <v>40256.327</v>
      </c>
    </row>
    <row r="11" customFormat="false" ht="18.75" hidden="false" customHeight="false" outlineLevel="0" collapsed="false">
      <c r="A11" s="145" t="s">
        <v>175</v>
      </c>
      <c r="B11" s="145"/>
      <c r="C11" s="145"/>
      <c r="D11" s="145"/>
      <c r="E11" s="145"/>
      <c r="F11" s="145"/>
      <c r="G11" s="146"/>
      <c r="H11" s="37" t="n">
        <f aca="false">(H9+H10)*20%</f>
        <v>8051.2654</v>
      </c>
      <c r="I11" s="7"/>
      <c r="J11" s="7"/>
      <c r="L11" s="14"/>
      <c r="M11" s="14"/>
    </row>
    <row r="12" customFormat="false" ht="18.75" hidden="false" customHeight="false" outlineLevel="0" collapsed="false">
      <c r="A12" s="145" t="s">
        <v>176</v>
      </c>
      <c r="B12" s="145"/>
      <c r="C12" s="145"/>
      <c r="D12" s="145"/>
      <c r="E12" s="145"/>
      <c r="F12" s="145"/>
      <c r="G12" s="146"/>
      <c r="H12" s="354" t="n">
        <v>0</v>
      </c>
      <c r="I12" s="7"/>
      <c r="J12" s="7"/>
    </row>
    <row r="13" customFormat="false" ht="18.75" hidden="false" customHeight="false" outlineLevel="0" collapsed="false">
      <c r="A13" s="145" t="s">
        <v>177</v>
      </c>
      <c r="B13" s="145"/>
      <c r="C13" s="145"/>
      <c r="D13" s="145"/>
      <c r="E13" s="145" t="n">
        <v>585</v>
      </c>
      <c r="F13" s="145"/>
      <c r="G13" s="146"/>
      <c r="H13" s="354" t="n">
        <v>290</v>
      </c>
      <c r="I13" s="7"/>
      <c r="J13" s="7"/>
    </row>
    <row r="14" customFormat="false" ht="18.75" hidden="false" customHeight="false" outlineLevel="0" collapsed="false">
      <c r="A14" s="145" t="s">
        <v>178</v>
      </c>
      <c r="B14" s="145"/>
      <c r="C14" s="145"/>
      <c r="D14" s="145"/>
      <c r="E14" s="145" t="n">
        <v>55</v>
      </c>
      <c r="F14" s="145"/>
      <c r="G14" s="146"/>
      <c r="H14" s="354" t="n">
        <v>55</v>
      </c>
      <c r="I14" s="7"/>
      <c r="J14" s="7" t="s">
        <v>24</v>
      </c>
    </row>
    <row r="15" customFormat="false" ht="18.75" hidden="false" customHeight="false" outlineLevel="0" collapsed="false">
      <c r="A15" s="145" t="s">
        <v>179</v>
      </c>
      <c r="B15" s="145"/>
      <c r="C15" s="145"/>
      <c r="D15" s="145"/>
      <c r="E15" s="145"/>
      <c r="F15" s="145"/>
      <c r="G15" s="146"/>
      <c r="H15" s="356" t="n">
        <f aca="false">(H9+H10+H13+H14+H11)-H12</f>
        <v>49317.5924</v>
      </c>
      <c r="I15" s="7"/>
      <c r="J15" s="21" t="n">
        <f aca="false">H15</f>
        <v>49317.5924</v>
      </c>
    </row>
    <row r="16" customFormat="false" ht="18.75" hidden="false" customHeight="false" outlineLevel="0" collapsed="false">
      <c r="A16" s="145" t="s">
        <v>180</v>
      </c>
      <c r="B16" s="145"/>
      <c r="C16" s="145"/>
      <c r="D16" s="145"/>
      <c r="E16" s="145" t="n">
        <v>120</v>
      </c>
      <c r="F16" s="145"/>
      <c r="G16" s="146"/>
      <c r="H16" s="354" t="n">
        <v>0</v>
      </c>
      <c r="I16" s="7"/>
      <c r="J16" s="7"/>
      <c r="Y16" s="23" t="s">
        <v>26</v>
      </c>
    </row>
    <row r="17" customFormat="false" ht="18.75" hidden="false" customHeight="false" outlineLevel="0" collapsed="false">
      <c r="A17" s="113" t="s">
        <v>181</v>
      </c>
      <c r="B17" s="113"/>
      <c r="C17" s="113"/>
      <c r="D17" s="113"/>
      <c r="E17" s="113"/>
      <c r="F17" s="113"/>
      <c r="G17" s="42"/>
      <c r="H17" s="37"/>
      <c r="I17" s="7"/>
      <c r="J17" s="7" t="s">
        <v>27</v>
      </c>
      <c r="Y17" s="23" t="s">
        <v>28</v>
      </c>
    </row>
    <row r="18" customFormat="false" ht="18.75" hidden="false" customHeight="false" outlineLevel="0" collapsed="false">
      <c r="A18" s="150" t="s">
        <v>26</v>
      </c>
      <c r="B18" s="151" t="s">
        <v>182</v>
      </c>
      <c r="C18" s="151"/>
      <c r="D18" s="151"/>
      <c r="E18" s="151"/>
      <c r="F18" s="151"/>
      <c r="G18" s="43"/>
      <c r="H18" s="357" t="n">
        <v>0</v>
      </c>
      <c r="I18" s="7"/>
      <c r="J18" s="21" t="n">
        <f aca="false">(B3+D3+F3+H3+H10)*1.2</f>
        <v>53614.992</v>
      </c>
      <c r="Y18" s="23" t="s">
        <v>29</v>
      </c>
    </row>
    <row r="19" customFormat="false" ht="18.75" hidden="false" customHeight="false" outlineLevel="0" collapsed="false">
      <c r="A19" s="150" t="s">
        <v>28</v>
      </c>
      <c r="B19" s="151" t="s">
        <v>182</v>
      </c>
      <c r="C19" s="151"/>
      <c r="D19" s="151"/>
      <c r="E19" s="151"/>
      <c r="F19" s="151"/>
      <c r="G19" s="43"/>
      <c r="H19" s="357" t="n">
        <v>0</v>
      </c>
      <c r="I19" s="7"/>
      <c r="J19" s="7"/>
      <c r="Z19" s="7" t="s">
        <v>31</v>
      </c>
    </row>
    <row r="20" customFormat="false" ht="18.75" hidden="false" customHeight="false" outlineLevel="0" collapsed="false">
      <c r="A20" s="150" t="s">
        <v>29</v>
      </c>
      <c r="B20" s="151" t="s">
        <v>182</v>
      </c>
      <c r="C20" s="151"/>
      <c r="D20" s="151"/>
      <c r="E20" s="151"/>
      <c r="F20" s="151"/>
      <c r="G20" s="43"/>
      <c r="H20" s="357" t="n">
        <v>0</v>
      </c>
      <c r="I20" s="7"/>
      <c r="J20" s="7"/>
      <c r="Z20" s="7" t="s">
        <v>32</v>
      </c>
    </row>
    <row r="21" customFormat="false" ht="19.7" hidden="false" customHeight="false" outlineLevel="0" collapsed="false">
      <c r="A21" s="401" t="s">
        <v>183</v>
      </c>
      <c r="B21" s="401"/>
      <c r="C21" s="401"/>
      <c r="D21" s="401"/>
      <c r="E21" s="401"/>
      <c r="F21" s="401"/>
      <c r="G21" s="358"/>
      <c r="H21" s="359" t="n">
        <f aca="false">H15-((H18*1.2)+(H19*1.2)+(H20*1.2)+(H16*1.2))</f>
        <v>49301.9924</v>
      </c>
      <c r="I21" s="7"/>
      <c r="J21" s="7"/>
      <c r="K21" s="7"/>
    </row>
    <row r="22" customFormat="false" ht="18.7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J22" s="7"/>
      <c r="K22" s="7"/>
    </row>
    <row r="23" customFormat="false" ht="18.7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J23" s="7"/>
      <c r="K23" s="7"/>
    </row>
    <row r="24" customFormat="false" ht="46.5" hidden="false" customHeight="true" outlineLevel="0" collapsed="false">
      <c r="A24" s="28" t="s">
        <v>364</v>
      </c>
      <c r="B24" s="28"/>
      <c r="C24" s="28"/>
      <c r="D24" s="28"/>
      <c r="E24" s="28"/>
      <c r="F24" s="28"/>
      <c r="G24" s="28"/>
      <c r="H24" s="28"/>
      <c r="I24" s="7"/>
      <c r="J24" s="7"/>
      <c r="K24" s="7"/>
    </row>
    <row r="25" customFormat="false" ht="18.75" hidden="false" customHeight="false" outlineLevel="0" collapsed="false">
      <c r="A25" s="29"/>
      <c r="B25" s="30"/>
      <c r="C25" s="30"/>
      <c r="D25" s="30"/>
      <c r="E25" s="30"/>
      <c r="F25" s="30"/>
      <c r="G25" s="30"/>
      <c r="H25" s="31"/>
      <c r="I25" s="7"/>
      <c r="J25" s="7"/>
      <c r="K25" s="7"/>
    </row>
    <row r="26" customFormat="false" ht="18.75" hidden="false" customHeight="false" outlineLevel="0" collapsed="false">
      <c r="A26" s="40" t="s">
        <v>139</v>
      </c>
      <c r="B26" s="44" t="s">
        <v>31</v>
      </c>
      <c r="C26" s="36"/>
      <c r="D26" s="36"/>
      <c r="E26" s="36"/>
      <c r="F26" s="36"/>
      <c r="G26" s="36"/>
      <c r="H26" s="37"/>
      <c r="I26" s="7"/>
      <c r="J26" s="33" t="s">
        <v>36</v>
      </c>
      <c r="K26" s="34" t="s">
        <v>37</v>
      </c>
    </row>
    <row r="27" customFormat="false" ht="18.75" hidden="false" customHeight="false" outlineLevel="0" collapsed="false">
      <c r="A27" s="35"/>
      <c r="B27" s="36"/>
      <c r="C27" s="36"/>
      <c r="D27" s="36"/>
      <c r="E27" s="36"/>
      <c r="F27" s="36"/>
      <c r="G27" s="36"/>
      <c r="H27" s="37"/>
      <c r="I27" s="7"/>
      <c r="J27" s="38" t="s">
        <v>38</v>
      </c>
      <c r="K27" s="39" t="n">
        <v>1</v>
      </c>
    </row>
    <row r="28" customFormat="false" ht="22.05" hidden="false" customHeight="false" outlineLevel="0" collapsed="false">
      <c r="A28" s="32" t="s">
        <v>137</v>
      </c>
      <c r="B28" s="32"/>
      <c r="C28" s="32"/>
      <c r="D28" s="32"/>
      <c r="E28" s="32"/>
      <c r="F28" s="32"/>
      <c r="G28" s="32"/>
      <c r="H28" s="32"/>
      <c r="I28" s="7"/>
      <c r="J28" s="38" t="s">
        <v>40</v>
      </c>
      <c r="K28" s="39"/>
    </row>
    <row r="29" customFormat="false" ht="18.75" hidden="false" customHeight="false" outlineLevel="0" collapsed="false">
      <c r="A29" s="35"/>
      <c r="B29" s="36"/>
      <c r="C29" s="36"/>
      <c r="D29" s="36"/>
      <c r="E29" s="36"/>
      <c r="F29" s="36"/>
      <c r="G29" s="36"/>
      <c r="H29" s="37" t="n">
        <v>36</v>
      </c>
      <c r="I29" s="36"/>
      <c r="J29" s="33" t="s">
        <v>41</v>
      </c>
      <c r="K29" s="360" t="n">
        <v>35</v>
      </c>
    </row>
    <row r="30" customFormat="false" ht="18.75" hidden="false" customHeight="false" outlineLevel="0" collapsed="false">
      <c r="A30" s="35" t="s">
        <v>194</v>
      </c>
      <c r="B30" s="106" t="s">
        <v>359</v>
      </c>
      <c r="C30" s="106"/>
      <c r="D30" s="106"/>
      <c r="E30" s="36"/>
      <c r="F30" s="36"/>
      <c r="G30" s="36"/>
      <c r="H30" s="37" t="n">
        <v>10000</v>
      </c>
      <c r="I30" s="36"/>
      <c r="J30" s="33" t="s">
        <v>45</v>
      </c>
      <c r="K30" s="41" t="n">
        <v>35000</v>
      </c>
    </row>
    <row r="31" customFormat="false" ht="18.75" hidden="false" customHeight="false" outlineLevel="0" collapsed="false">
      <c r="A31" s="35"/>
      <c r="B31" s="36"/>
      <c r="C31" s="36"/>
      <c r="D31" s="36"/>
      <c r="E31" s="36"/>
      <c r="F31" s="36"/>
      <c r="G31" s="36"/>
      <c r="H31" s="37" t="n">
        <v>27500</v>
      </c>
      <c r="I31" s="36"/>
      <c r="J31" s="33" t="s">
        <v>48</v>
      </c>
      <c r="K31" s="46" t="n">
        <v>7230</v>
      </c>
    </row>
    <row r="32" customFormat="false" ht="34.3" hidden="false" customHeight="false" outlineLevel="0" collapsed="false">
      <c r="A32" s="35" t="s">
        <v>95</v>
      </c>
      <c r="B32" s="36" t="s">
        <v>96</v>
      </c>
      <c r="C32" s="36"/>
      <c r="D32" s="36"/>
      <c r="E32" s="36" t="s">
        <v>365</v>
      </c>
      <c r="F32" s="36"/>
      <c r="G32" s="36"/>
      <c r="H32" s="37"/>
      <c r="I32" s="7" t="n">
        <v>0</v>
      </c>
      <c r="J32" s="33" t="s">
        <v>49</v>
      </c>
      <c r="K32" s="46" t="n">
        <v>2040.85</v>
      </c>
    </row>
    <row r="33" customFormat="false" ht="34.3" hidden="false" customHeight="false" outlineLevel="0" collapsed="false">
      <c r="A33" s="167" t="n">
        <f aca="false">A52</f>
        <v>35</v>
      </c>
      <c r="B33" s="217" t="n">
        <f aca="false">B51</f>
        <v>35000</v>
      </c>
      <c r="C33" s="36"/>
      <c r="D33" s="36"/>
      <c r="E33" s="361" t="n">
        <f aca="false">K48</f>
        <v>1232.97712905572</v>
      </c>
      <c r="F33" s="361"/>
      <c r="G33" s="361"/>
      <c r="H33" s="51"/>
      <c r="I33" s="7"/>
      <c r="J33" s="38" t="s">
        <v>366</v>
      </c>
      <c r="K33" s="52" t="n">
        <f aca="false">H21-H11+(H16*20%)</f>
        <v>41253.327</v>
      </c>
      <c r="L33" s="6" t="n">
        <f aca="false">H21-H11+(H16*20%)</f>
        <v>41253.327</v>
      </c>
    </row>
    <row r="34" customFormat="false" ht="18.75" hidden="false" customHeight="false" outlineLevel="0" collapsed="false">
      <c r="A34" s="35"/>
      <c r="B34" s="36"/>
      <c r="C34" s="36"/>
      <c r="D34" s="36"/>
      <c r="E34" s="47"/>
      <c r="F34" s="47"/>
      <c r="G34" s="47"/>
      <c r="H34" s="51"/>
      <c r="I34" s="7"/>
      <c r="J34" s="7"/>
      <c r="K34" s="7"/>
    </row>
    <row r="35" customFormat="false" ht="21.6" hidden="false" customHeight="false" outlineLevel="0" collapsed="false">
      <c r="A35" s="35" t="s">
        <v>367</v>
      </c>
      <c r="B35" s="36" t="s">
        <v>368</v>
      </c>
      <c r="C35" s="36"/>
      <c r="E35" s="36" t="s">
        <v>369</v>
      </c>
      <c r="F35" s="47"/>
      <c r="G35" s="47"/>
      <c r="H35" s="51"/>
      <c r="I35" s="7"/>
      <c r="J35" s="54" t="s">
        <v>59</v>
      </c>
      <c r="K35" s="6" t="n">
        <v>0.095</v>
      </c>
    </row>
    <row r="36" customFormat="false" ht="18.75" hidden="false" customHeight="false" outlineLevel="0" collapsed="false">
      <c r="A36" s="171" t="n">
        <f aca="false">K47</f>
        <v>1127.95712905572</v>
      </c>
      <c r="B36" s="217" t="n">
        <f aca="false">IF(B26="YES",K42,"0.00")</f>
        <v>105.02</v>
      </c>
      <c r="C36" s="217"/>
      <c r="D36" s="217"/>
      <c r="E36" s="361" t="n">
        <f aca="false">K31</f>
        <v>8850</v>
      </c>
      <c r="F36" s="361"/>
      <c r="G36" s="361"/>
      <c r="H36" s="51"/>
      <c r="I36" s="7"/>
      <c r="J36" s="7" t="s">
        <v>63</v>
      </c>
      <c r="K36" s="7" t="n">
        <f aca="false">K29</f>
        <v>35</v>
      </c>
    </row>
    <row r="37" customFormat="false" ht="18.75" hidden="false" customHeight="false" outlineLevel="0" collapsed="false">
      <c r="A37" s="113"/>
      <c r="B37" s="42"/>
      <c r="C37" s="47"/>
      <c r="D37" s="47"/>
      <c r="E37" s="47"/>
      <c r="F37" s="47"/>
      <c r="G37" s="47"/>
      <c r="H37" s="51"/>
      <c r="I37" s="7"/>
      <c r="J37" s="7"/>
      <c r="K37" s="7"/>
    </row>
    <row r="38" customFormat="false" ht="18.75" hidden="false" customHeight="false" outlineLevel="0" collapsed="false">
      <c r="A38" s="35"/>
      <c r="B38" s="36"/>
      <c r="C38" s="47"/>
      <c r="D38" s="47"/>
      <c r="E38" s="47"/>
      <c r="F38" s="47"/>
      <c r="G38" s="47"/>
      <c r="H38" s="51"/>
      <c r="J38" s="57" t="s">
        <v>65</v>
      </c>
      <c r="K38" s="57"/>
      <c r="L38" s="7" t="n">
        <v>42030.76</v>
      </c>
      <c r="N38" s="6" t="n">
        <f aca="false">80.88*36</f>
        <v>2911.68</v>
      </c>
    </row>
    <row r="39" customFormat="false" ht="18.75" hidden="false" customHeight="false" outlineLevel="0" collapsed="false">
      <c r="A39" s="35" t="s">
        <v>370</v>
      </c>
      <c r="B39" s="36" t="s">
        <v>371</v>
      </c>
      <c r="C39" s="36"/>
      <c r="E39" s="36" t="s">
        <v>372</v>
      </c>
      <c r="F39" s="47"/>
      <c r="G39" s="47"/>
      <c r="H39" s="51"/>
      <c r="J39" s="7" t="s">
        <v>97</v>
      </c>
      <c r="K39" s="7" t="n">
        <f aca="false">K33</f>
        <v>41253.327</v>
      </c>
      <c r="L39" s="7" t="n">
        <f aca="false">(L47*K46)+K44</f>
        <v>27679.9972915572</v>
      </c>
      <c r="N39" s="6" t="n">
        <f aca="false">K39-L39</f>
        <v>13573.3297084428</v>
      </c>
    </row>
    <row r="40" customFormat="false" ht="18.75" hidden="false" customHeight="false" outlineLevel="0" collapsed="false">
      <c r="A40" s="285" t="n">
        <f aca="false">E36*A45/100</f>
        <v>10500</v>
      </c>
      <c r="B40" s="109" t="n">
        <f aca="false">IF(B26="YES",K42,"0.00")</f>
        <v>105.02</v>
      </c>
      <c r="C40" s="109"/>
      <c r="D40" s="109"/>
      <c r="E40" s="170" t="n">
        <f aca="false">K32</f>
        <v>3675.7</v>
      </c>
      <c r="F40" s="47"/>
      <c r="G40" s="47"/>
      <c r="H40" s="51"/>
      <c r="J40" s="7" t="s">
        <v>119</v>
      </c>
      <c r="K40" s="7" t="n">
        <f aca="false">(A40)/1.2</f>
        <v>7375</v>
      </c>
      <c r="L40" s="7" t="n">
        <f aca="false">K39-L39</f>
        <v>13573.3297084428</v>
      </c>
      <c r="N40" s="6" t="n">
        <f aca="false">N38-N39</f>
        <v>-10661.6497084428</v>
      </c>
    </row>
    <row r="41" customFormat="false" ht="18.75" hidden="false" customHeight="false" outlineLevel="0" collapsed="false">
      <c r="A41" s="35"/>
      <c r="B41" s="36"/>
      <c r="C41" s="36"/>
      <c r="D41" s="36"/>
      <c r="E41" s="36"/>
      <c r="F41" s="47"/>
      <c r="G41" s="47"/>
      <c r="H41" s="51"/>
      <c r="J41" s="7" t="s">
        <v>373</v>
      </c>
      <c r="K41" s="7" t="n">
        <f aca="false">K35/12</f>
        <v>0.00625</v>
      </c>
      <c r="L41" s="7"/>
    </row>
    <row r="42" customFormat="false" ht="18.75" hidden="false" customHeight="false" outlineLevel="0" collapsed="false">
      <c r="A42" s="60"/>
      <c r="B42" s="61"/>
      <c r="C42" s="61"/>
      <c r="D42" s="61"/>
      <c r="E42" s="61"/>
      <c r="F42" s="61"/>
      <c r="G42" s="62"/>
      <c r="H42" s="63"/>
      <c r="J42" s="7" t="s">
        <v>374</v>
      </c>
      <c r="K42" s="7" t="n">
        <f aca="false">(K32/K36/100)*C45</f>
        <v>105.02</v>
      </c>
      <c r="L42" s="7"/>
    </row>
    <row r="43" customFormat="false" ht="18.75" hidden="false" customHeight="false" outlineLevel="0" collapsed="false">
      <c r="A43" s="29"/>
      <c r="B43" s="30"/>
      <c r="C43" s="30"/>
      <c r="D43" s="30"/>
      <c r="E43" s="30"/>
      <c r="F43" s="30"/>
      <c r="G43" s="30"/>
      <c r="H43" s="31"/>
      <c r="J43" s="7" t="s">
        <v>375</v>
      </c>
      <c r="K43" s="7"/>
      <c r="L43" s="7"/>
    </row>
    <row r="44" customFormat="false" ht="18.75" hidden="false" customHeight="false" outlineLevel="0" collapsed="false">
      <c r="A44" s="64" t="s">
        <v>89</v>
      </c>
      <c r="B44" s="36"/>
      <c r="C44" s="36" t="s">
        <v>90</v>
      </c>
      <c r="D44" s="36"/>
      <c r="E44" s="36"/>
      <c r="F44" s="36"/>
      <c r="G44" s="36"/>
      <c r="H44" s="37"/>
      <c r="J44" s="7" t="s">
        <v>376</v>
      </c>
      <c r="K44" s="7" t="n">
        <f aca="false">(K40/(1+K41)^(K36+1))</f>
        <v>5893.18212802543</v>
      </c>
      <c r="L44" s="7"/>
    </row>
    <row r="45" customFormat="false" ht="18.75" hidden="false" customHeight="false" outlineLevel="0" collapsed="false">
      <c r="A45" s="405" t="n">
        <v>100</v>
      </c>
      <c r="B45" s="36"/>
      <c r="C45" s="404" t="n">
        <v>100</v>
      </c>
      <c r="D45" s="404"/>
      <c r="E45" s="404"/>
      <c r="F45" s="36"/>
      <c r="G45" s="36"/>
      <c r="H45" s="37"/>
      <c r="J45" s="7" t="s">
        <v>377</v>
      </c>
      <c r="K45" s="7" t="n">
        <f aca="false">(K39-K44)</f>
        <v>35360.1448719746</v>
      </c>
      <c r="L45" s="7"/>
    </row>
    <row r="46" customFormat="false" ht="18.75" hidden="false" customHeight="false" outlineLevel="0" collapsed="false">
      <c r="A46" s="60"/>
      <c r="B46" s="61"/>
      <c r="C46" s="61"/>
      <c r="D46" s="61"/>
      <c r="E46" s="61"/>
      <c r="F46" s="61"/>
      <c r="G46" s="61"/>
      <c r="H46" s="69"/>
      <c r="J46" s="7" t="s">
        <v>378</v>
      </c>
      <c r="K46" s="7" t="n">
        <f aca="false">((1-(1/((1+K41)^K36)))/K41)</f>
        <v>31.3488376119194</v>
      </c>
      <c r="L46" s="7"/>
    </row>
    <row r="47" customFormat="false" ht="18.75" hidden="false" customHeight="false" outlineLevel="0" collapsed="false">
      <c r="A47" s="29"/>
      <c r="B47" s="30"/>
      <c r="C47" s="30"/>
      <c r="D47" s="30"/>
      <c r="E47" s="30"/>
      <c r="F47" s="30"/>
      <c r="G47" s="30"/>
      <c r="H47" s="31"/>
      <c r="J47" s="7" t="s">
        <v>379</v>
      </c>
      <c r="K47" s="7" t="n">
        <f aca="false">K45/K46</f>
        <v>1127.95712905572</v>
      </c>
      <c r="L47" s="7" t="n">
        <f aca="false">L49-K42</f>
        <v>694.98</v>
      </c>
      <c r="M47" s="6" t="n">
        <f aca="false">K47-L47</f>
        <v>432.977129055721</v>
      </c>
    </row>
    <row r="48" customFormat="false" ht="29.85" hidden="false" customHeight="false" outlineLevel="0" collapsed="false">
      <c r="A48" s="70" t="s">
        <v>94</v>
      </c>
      <c r="B48" s="36"/>
      <c r="C48" s="36"/>
      <c r="D48" s="71"/>
      <c r="E48" s="71"/>
      <c r="F48" s="71"/>
      <c r="G48" s="71"/>
      <c r="H48" s="72"/>
      <c r="J48" s="59" t="s">
        <v>380</v>
      </c>
      <c r="K48" s="7" t="n">
        <f aca="false">IF(B26="YES",K47+K42,K47)</f>
        <v>1232.97712905572</v>
      </c>
      <c r="L48" s="7"/>
    </row>
    <row r="49" customFormat="false" ht="18.75" hidden="false" customHeight="false" outlineLevel="0" collapsed="false">
      <c r="A49" s="35"/>
      <c r="B49" s="73"/>
      <c r="C49" s="73"/>
      <c r="D49" s="36"/>
      <c r="E49" s="36"/>
      <c r="F49" s="36"/>
      <c r="G49" s="36"/>
      <c r="H49" s="37"/>
      <c r="J49" s="7" t="s">
        <v>381</v>
      </c>
      <c r="K49" s="7"/>
      <c r="L49" s="7" t="n">
        <v>800</v>
      </c>
    </row>
    <row r="50" customFormat="false" ht="19.7" hidden="false" customHeight="false" outlineLevel="0" collapsed="false">
      <c r="A50" s="172" t="s">
        <v>95</v>
      </c>
      <c r="B50" s="75" t="s">
        <v>96</v>
      </c>
      <c r="C50" s="75"/>
      <c r="D50" s="75"/>
      <c r="E50" s="36"/>
      <c r="F50" s="36"/>
      <c r="G50" s="36"/>
      <c r="H50" s="37"/>
      <c r="I50" s="7"/>
      <c r="J50" s="7"/>
      <c r="K50" s="7"/>
    </row>
    <row r="51" customFormat="false" ht="19.5" hidden="false" customHeight="true" outlineLevel="0" collapsed="false">
      <c r="A51" s="172"/>
      <c r="B51" s="76" t="n">
        <f aca="false">K30</f>
        <v>35000</v>
      </c>
      <c r="C51" s="76"/>
      <c r="D51" s="76"/>
      <c r="E51" s="36"/>
      <c r="F51" s="36"/>
      <c r="G51" s="36"/>
      <c r="H51" s="37"/>
      <c r="I51" s="7"/>
      <c r="J51" s="7"/>
      <c r="K51" s="7"/>
    </row>
    <row r="52" customFormat="false" ht="18.75" hidden="false" customHeight="false" outlineLevel="0" collapsed="false">
      <c r="A52" s="77" t="n">
        <f aca="false">K29</f>
        <v>35</v>
      </c>
      <c r="B52" s="78" t="n">
        <f aca="false">K48</f>
        <v>1232.97712905572</v>
      </c>
      <c r="C52" s="78"/>
      <c r="D52" s="78"/>
      <c r="E52" s="36"/>
      <c r="F52" s="36"/>
      <c r="G52" s="36"/>
      <c r="H52" s="37"/>
      <c r="I52" s="7"/>
      <c r="J52" s="7"/>
      <c r="K52" s="7"/>
    </row>
    <row r="53" customFormat="false" ht="18.75" hidden="false" customHeight="false" outlineLevel="0" collapsed="false">
      <c r="A53" s="35"/>
      <c r="B53" s="36"/>
      <c r="C53" s="36"/>
      <c r="D53" s="36"/>
      <c r="E53" s="36"/>
      <c r="F53" s="36"/>
      <c r="G53" s="36"/>
      <c r="H53" s="37"/>
      <c r="I53" s="7"/>
      <c r="J53" s="7"/>
      <c r="K53" s="7"/>
    </row>
    <row r="54" customFormat="false" ht="18.75" hidden="false" customHeight="false" outlineLevel="0" collapsed="false">
      <c r="A54" s="60"/>
      <c r="B54" s="61"/>
      <c r="C54" s="61"/>
      <c r="D54" s="61"/>
      <c r="E54" s="61"/>
      <c r="F54" s="61"/>
      <c r="G54" s="61"/>
      <c r="H54" s="69"/>
      <c r="I54" s="7"/>
      <c r="J54" s="7"/>
      <c r="K54" s="7"/>
    </row>
    <row r="55" customFormat="false" ht="18.7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J55" s="7"/>
      <c r="K55" s="7"/>
    </row>
    <row r="56" customFormat="false" ht="18.7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J56" s="7"/>
      <c r="K56" s="7"/>
    </row>
    <row r="57" customFormat="false" ht="18.75" hidden="false" customHeight="false" outlineLevel="0" collapsed="false">
      <c r="A57" s="29"/>
      <c r="B57" s="30"/>
      <c r="C57" s="30"/>
      <c r="D57" s="30"/>
      <c r="E57" s="79"/>
      <c r="F57" s="79"/>
      <c r="G57" s="79"/>
      <c r="H57" s="31"/>
      <c r="J57" s="29"/>
      <c r="K57" s="30"/>
      <c r="L57" s="30"/>
      <c r="M57" s="30"/>
      <c r="N57" s="79"/>
      <c r="O57" s="79"/>
      <c r="P57" s="79"/>
      <c r="Q57" s="31"/>
      <c r="S57" s="29"/>
      <c r="T57" s="30"/>
      <c r="U57" s="30"/>
      <c r="V57" s="30"/>
      <c r="W57" s="79"/>
      <c r="X57" s="79"/>
      <c r="Y57" s="79"/>
      <c r="Z57" s="31"/>
      <c r="AB57" s="29"/>
      <c r="AC57" s="30"/>
      <c r="AD57" s="30"/>
      <c r="AE57" s="30"/>
      <c r="AF57" s="79"/>
      <c r="AG57" s="79"/>
      <c r="AH57" s="79"/>
      <c r="AI57" s="31"/>
    </row>
    <row r="58" customFormat="false" ht="18.75" hidden="false" customHeight="false" outlineLevel="0" collapsed="false">
      <c r="A58" s="35" t="s">
        <v>97</v>
      </c>
      <c r="B58" s="36" t="n">
        <v>1</v>
      </c>
      <c r="C58" s="36"/>
      <c r="D58" s="36"/>
      <c r="E58" s="27"/>
      <c r="F58" s="27"/>
      <c r="G58" s="27"/>
      <c r="H58" s="37"/>
      <c r="J58" s="35" t="s">
        <v>97</v>
      </c>
      <c r="K58" s="36" t="n">
        <v>1</v>
      </c>
      <c r="L58" s="36"/>
      <c r="M58" s="36"/>
      <c r="N58" s="27"/>
      <c r="O58" s="27"/>
      <c r="P58" s="27"/>
      <c r="Q58" s="37"/>
      <c r="S58" s="35" t="s">
        <v>97</v>
      </c>
      <c r="T58" s="36" t="n">
        <v>1</v>
      </c>
      <c r="U58" s="36"/>
      <c r="V58" s="36"/>
      <c r="W58" s="27"/>
      <c r="X58" s="27"/>
      <c r="Y58" s="27"/>
      <c r="Z58" s="37"/>
      <c r="AB58" s="35" t="s">
        <v>97</v>
      </c>
      <c r="AC58" s="36" t="n">
        <v>1</v>
      </c>
      <c r="AD58" s="36"/>
      <c r="AE58" s="36"/>
      <c r="AF58" s="27"/>
      <c r="AG58" s="27"/>
      <c r="AH58" s="27"/>
      <c r="AI58" s="37"/>
    </row>
    <row r="59" customFormat="false" ht="18.75" hidden="false" customHeight="false" outlineLevel="0" collapsed="false">
      <c r="A59" s="35" t="s">
        <v>98</v>
      </c>
      <c r="B59" s="36" t="n">
        <f aca="false">K29-B58</f>
        <v>34</v>
      </c>
      <c r="C59" s="36"/>
      <c r="D59" s="36"/>
      <c r="E59" s="27"/>
      <c r="F59" s="27"/>
      <c r="G59" s="27"/>
      <c r="H59" s="37"/>
      <c r="J59" s="35" t="s">
        <v>98</v>
      </c>
      <c r="K59" s="36" t="n">
        <f aca="false">K29-K58</f>
        <v>34</v>
      </c>
      <c r="L59" s="36"/>
      <c r="M59" s="36"/>
      <c r="N59" s="27"/>
      <c r="O59" s="27"/>
      <c r="P59" s="27"/>
      <c r="Q59" s="37"/>
      <c r="S59" s="35" t="s">
        <v>98</v>
      </c>
      <c r="T59" s="36" t="n">
        <f aca="false">K29-T58</f>
        <v>34</v>
      </c>
      <c r="U59" s="36"/>
      <c r="V59" s="36"/>
      <c r="W59" s="27"/>
      <c r="X59" s="27"/>
      <c r="Y59" s="27"/>
      <c r="Z59" s="37"/>
      <c r="AB59" s="35" t="s">
        <v>98</v>
      </c>
      <c r="AC59" s="36" t="n">
        <f aca="false">K29-AC58</f>
        <v>34</v>
      </c>
      <c r="AD59" s="36"/>
      <c r="AE59" s="36"/>
      <c r="AF59" s="27"/>
      <c r="AG59" s="27"/>
      <c r="AH59" s="27"/>
      <c r="AI59" s="37"/>
    </row>
    <row r="60" customFormat="false" ht="18.75" hidden="false" customHeight="false" outlineLevel="0" collapsed="false">
      <c r="A60" s="80" t="s">
        <v>99</v>
      </c>
      <c r="B60" s="81" t="n">
        <v>25</v>
      </c>
      <c r="C60" s="36"/>
      <c r="D60" s="36"/>
      <c r="E60" s="27"/>
      <c r="F60" s="27"/>
      <c r="G60" s="27"/>
      <c r="H60" s="37"/>
      <c r="J60" s="80" t="s">
        <v>99</v>
      </c>
      <c r="K60" s="81" t="n">
        <v>20</v>
      </c>
      <c r="L60" s="36"/>
      <c r="M60" s="36"/>
      <c r="N60" s="27"/>
      <c r="O60" s="27"/>
      <c r="P60" s="27"/>
      <c r="Q60" s="37"/>
      <c r="S60" s="80" t="s">
        <v>99</v>
      </c>
      <c r="T60" s="81" t="n">
        <v>10</v>
      </c>
      <c r="U60" s="36"/>
      <c r="V60" s="36"/>
      <c r="W60" s="27"/>
      <c r="X60" s="27"/>
      <c r="Y60" s="27"/>
      <c r="Z60" s="37"/>
      <c r="AB60" s="80" t="s">
        <v>99</v>
      </c>
      <c r="AC60" s="81" t="n">
        <v>10</v>
      </c>
      <c r="AD60" s="36"/>
      <c r="AE60" s="36"/>
      <c r="AF60" s="27"/>
      <c r="AG60" s="27"/>
      <c r="AH60" s="27"/>
      <c r="AI60" s="37"/>
    </row>
    <row r="61" customFormat="false" ht="18.75" hidden="false" customHeight="false" outlineLevel="0" collapsed="false">
      <c r="A61" s="35" t="s">
        <v>27</v>
      </c>
      <c r="B61" s="36" t="n">
        <f aca="false">J18</f>
        <v>53614.992</v>
      </c>
      <c r="C61" s="36"/>
      <c r="D61" s="36"/>
      <c r="E61" s="27"/>
      <c r="F61" s="27"/>
      <c r="G61" s="27"/>
      <c r="H61" s="37"/>
      <c r="J61" s="35" t="s">
        <v>27</v>
      </c>
      <c r="K61" s="36" t="n">
        <f aca="false">J18</f>
        <v>53614.992</v>
      </c>
      <c r="L61" s="36"/>
      <c r="M61" s="36"/>
      <c r="N61" s="27"/>
      <c r="O61" s="27"/>
      <c r="P61" s="27"/>
      <c r="Q61" s="37"/>
      <c r="S61" s="35" t="s">
        <v>27</v>
      </c>
      <c r="T61" s="36" t="n">
        <f aca="false">J18</f>
        <v>53614.992</v>
      </c>
      <c r="U61" s="36"/>
      <c r="V61" s="36"/>
      <c r="W61" s="27"/>
      <c r="X61" s="27"/>
      <c r="Y61" s="27"/>
      <c r="Z61" s="37"/>
      <c r="AB61" s="35" t="s">
        <v>27</v>
      </c>
      <c r="AC61" s="36" t="n">
        <f aca="false">J18</f>
        <v>53614.992</v>
      </c>
      <c r="AD61" s="36"/>
      <c r="AE61" s="36"/>
      <c r="AF61" s="27"/>
      <c r="AG61" s="27"/>
      <c r="AH61" s="27"/>
      <c r="AI61" s="37"/>
    </row>
    <row r="62" customFormat="false" ht="18.75" hidden="false" customHeight="false" outlineLevel="0" collapsed="false">
      <c r="A62" s="82" t="s">
        <v>100</v>
      </c>
      <c r="B62" s="83" t="n">
        <v>0</v>
      </c>
      <c r="C62" s="36"/>
      <c r="D62" s="36"/>
      <c r="E62" s="27"/>
      <c r="F62" s="27"/>
      <c r="G62" s="27"/>
      <c r="H62" s="37"/>
      <c r="J62" s="82" t="s">
        <v>100</v>
      </c>
      <c r="K62" s="83" t="n">
        <v>0.06</v>
      </c>
      <c r="L62" s="36"/>
      <c r="M62" s="36"/>
      <c r="N62" s="27"/>
      <c r="O62" s="27"/>
      <c r="P62" s="27"/>
      <c r="Q62" s="37"/>
      <c r="S62" s="82" t="s">
        <v>100</v>
      </c>
      <c r="T62" s="83" t="n">
        <f aca="false">IF(AND(K29&gt;=12,K29&lt;=24),0.0105,IF(AND(K29&gt;=48),-0.0075,0))</f>
        <v>0</v>
      </c>
      <c r="U62" s="36"/>
      <c r="V62" s="36"/>
      <c r="W62" s="27"/>
      <c r="X62" s="27"/>
      <c r="Y62" s="27"/>
      <c r="Z62" s="37"/>
      <c r="AB62" s="82" t="s">
        <v>100</v>
      </c>
      <c r="AC62" s="83" t="n">
        <f aca="false">IF(AND(K29&gt;=12,K29&lt;=24),0.0105,IF(AND(K29&gt;=48),-0.0075,0))</f>
        <v>0</v>
      </c>
      <c r="AD62" s="36"/>
      <c r="AE62" s="36"/>
      <c r="AF62" s="27"/>
      <c r="AG62" s="27"/>
      <c r="AH62" s="27"/>
      <c r="AI62" s="37"/>
    </row>
    <row r="63" customFormat="false" ht="18.75" hidden="false" customHeight="false" outlineLevel="0" collapsed="false">
      <c r="A63" s="84" t="s">
        <v>101</v>
      </c>
      <c r="B63" s="85" t="n">
        <v>0.095</v>
      </c>
      <c r="C63" s="36"/>
      <c r="D63" s="36"/>
      <c r="E63" s="27"/>
      <c r="F63" s="27"/>
      <c r="G63" s="27"/>
      <c r="H63" s="37"/>
      <c r="J63" s="84" t="s">
        <v>101</v>
      </c>
      <c r="K63" s="85" t="n">
        <v>0.08</v>
      </c>
      <c r="L63" s="36"/>
      <c r="M63" s="36"/>
      <c r="N63" s="27"/>
      <c r="O63" s="27"/>
      <c r="P63" s="27"/>
      <c r="Q63" s="37"/>
      <c r="S63" s="84" t="s">
        <v>101</v>
      </c>
      <c r="T63" s="85" t="n">
        <v>0.059</v>
      </c>
      <c r="U63" s="36"/>
      <c r="V63" s="36"/>
      <c r="W63" s="27"/>
      <c r="X63" s="27"/>
      <c r="Y63" s="27"/>
      <c r="Z63" s="37"/>
      <c r="AB63" s="84" t="s">
        <v>101</v>
      </c>
      <c r="AC63" s="85" t="n">
        <v>0.059</v>
      </c>
      <c r="AD63" s="36"/>
      <c r="AE63" s="36"/>
      <c r="AF63" s="27"/>
      <c r="AG63" s="27"/>
      <c r="AH63" s="27"/>
      <c r="AI63" s="37"/>
    </row>
    <row r="64" customFormat="false" ht="18.75" hidden="false" customHeight="false" outlineLevel="0" collapsed="false">
      <c r="A64" s="86" t="s">
        <v>102</v>
      </c>
      <c r="B64" s="87" t="n">
        <v>0.0425</v>
      </c>
      <c r="C64" s="36"/>
      <c r="D64" s="36"/>
      <c r="E64" s="27"/>
      <c r="F64" s="27"/>
      <c r="G64" s="27"/>
      <c r="H64" s="37"/>
      <c r="J64" s="86" t="s">
        <v>102</v>
      </c>
      <c r="K64" s="87" t="n">
        <v>0.1</v>
      </c>
      <c r="L64" s="36"/>
      <c r="M64" s="36"/>
      <c r="N64" s="27"/>
      <c r="O64" s="27"/>
      <c r="P64" s="27"/>
      <c r="Q64" s="37"/>
      <c r="S64" s="86" t="s">
        <v>102</v>
      </c>
      <c r="T64" s="87" t="n">
        <f aca="false">IF(T108=AP108,2.4%,7.2%)</f>
        <v>0.072</v>
      </c>
      <c r="U64" s="36"/>
      <c r="V64" s="36"/>
      <c r="W64" s="27"/>
      <c r="X64" s="27"/>
      <c r="Y64" s="27"/>
      <c r="Z64" s="37"/>
      <c r="AB64" s="86" t="s">
        <v>102</v>
      </c>
      <c r="AC64" s="87" t="n">
        <f aca="false">IF(AC108=AP108,2.4%,7.2%)</f>
        <v>0.072</v>
      </c>
      <c r="AD64" s="36"/>
      <c r="AE64" s="36"/>
      <c r="AF64" s="27"/>
      <c r="AG64" s="27"/>
      <c r="AH64" s="27"/>
      <c r="AI64" s="37"/>
    </row>
    <row r="65" customFormat="false" ht="18.75" hidden="false" customHeight="false" outlineLevel="0" collapsed="false">
      <c r="A65" s="60" t="s">
        <v>103</v>
      </c>
      <c r="B65" s="69" t="n">
        <f aca="false">(B89*B59)-(K47*K29)</f>
        <v>25053.6063451658</v>
      </c>
      <c r="C65" s="36"/>
      <c r="D65" s="36"/>
      <c r="E65" s="27"/>
      <c r="F65" s="27"/>
      <c r="G65" s="27"/>
      <c r="H65" s="37"/>
      <c r="J65" s="60" t="s">
        <v>103</v>
      </c>
      <c r="K65" s="69" t="n">
        <f aca="false">(K89*K59)-(K47*K29)</f>
        <v>11040.6744912563</v>
      </c>
      <c r="L65" s="36"/>
      <c r="M65" s="36"/>
      <c r="N65" s="27"/>
      <c r="O65" s="27"/>
      <c r="P65" s="27"/>
      <c r="Q65" s="37"/>
      <c r="S65" s="60" t="s">
        <v>103</v>
      </c>
      <c r="T65" s="69" t="n">
        <f aca="false">(T89*T59)-(K47*K29)</f>
        <v>19939.6145669215</v>
      </c>
      <c r="U65" s="36"/>
      <c r="V65" s="36"/>
      <c r="W65" s="27"/>
      <c r="X65" s="27"/>
      <c r="Y65" s="27"/>
      <c r="Z65" s="37"/>
      <c r="AB65" s="60" t="s">
        <v>103</v>
      </c>
      <c r="AC65" s="69" t="n">
        <f aca="false">(AC89*AC59)-(K47*K29)</f>
        <v>4223.36136642881</v>
      </c>
      <c r="AD65" s="36"/>
      <c r="AE65" s="36"/>
      <c r="AF65" s="27"/>
      <c r="AG65" s="27"/>
      <c r="AH65" s="27"/>
      <c r="AI65" s="37"/>
    </row>
    <row r="66" customFormat="false" ht="18.75" hidden="false" customHeight="false" outlineLevel="0" collapsed="false">
      <c r="A66" s="82" t="s">
        <v>104</v>
      </c>
      <c r="B66" s="83" t="n">
        <v>0.0075</v>
      </c>
      <c r="C66" s="36"/>
      <c r="D66" s="36"/>
      <c r="E66" s="27"/>
      <c r="F66" s="27"/>
      <c r="G66" s="27"/>
      <c r="H66" s="37"/>
      <c r="J66" s="82" t="s">
        <v>104</v>
      </c>
      <c r="K66" s="83" t="n">
        <v>0.05</v>
      </c>
      <c r="L66" s="36"/>
      <c r="M66" s="36"/>
      <c r="N66" s="27"/>
      <c r="O66" s="27"/>
      <c r="P66" s="27"/>
      <c r="Q66" s="37"/>
      <c r="S66" s="82" t="s">
        <v>104</v>
      </c>
      <c r="T66" s="83" t="n">
        <v>0.005</v>
      </c>
      <c r="U66" s="36"/>
      <c r="V66" s="36"/>
      <c r="W66" s="27"/>
      <c r="X66" s="27"/>
      <c r="Y66" s="27"/>
      <c r="Z66" s="37"/>
      <c r="AB66" s="82" t="s">
        <v>104</v>
      </c>
      <c r="AC66" s="83" t="n">
        <v>0.005</v>
      </c>
      <c r="AD66" s="36"/>
      <c r="AE66" s="36"/>
      <c r="AF66" s="27"/>
      <c r="AG66" s="27"/>
      <c r="AH66" s="27"/>
      <c r="AI66" s="37"/>
    </row>
    <row r="67" customFormat="false" ht="18.75" hidden="false" customHeight="false" outlineLevel="0" collapsed="false">
      <c r="A67" s="35"/>
      <c r="B67" s="88" t="n">
        <f aca="false">B66</f>
        <v>0.0075</v>
      </c>
      <c r="C67" s="36"/>
      <c r="D67" s="36"/>
      <c r="E67" s="27"/>
      <c r="F67" s="27"/>
      <c r="G67" s="27"/>
      <c r="H67" s="37"/>
      <c r="J67" s="35" t="s">
        <v>105</v>
      </c>
      <c r="K67" s="88" t="n">
        <f aca="false">K66+(K66*0.25*(K29/12-1))</f>
        <v>0.0739583333333333</v>
      </c>
      <c r="L67" s="36"/>
      <c r="M67" s="36"/>
      <c r="N67" s="27"/>
      <c r="O67" s="27"/>
      <c r="P67" s="27"/>
      <c r="Q67" s="37"/>
      <c r="S67" s="35" t="s">
        <v>105</v>
      </c>
      <c r="T67" s="88" t="n">
        <f aca="false">T66+(T66*0.5*(K29/12-1))</f>
        <v>0.00979166666666667</v>
      </c>
      <c r="U67" s="36"/>
      <c r="V67" s="36"/>
      <c r="W67" s="27"/>
      <c r="X67" s="27"/>
      <c r="Y67" s="27"/>
      <c r="Z67" s="37"/>
      <c r="AB67" s="35" t="s">
        <v>105</v>
      </c>
      <c r="AC67" s="88" t="n">
        <f aca="false">AC66+(AC66*0.5*(K29/12-1))</f>
        <v>0.00979166666666667</v>
      </c>
      <c r="AD67" s="36"/>
      <c r="AE67" s="36"/>
      <c r="AF67" s="27"/>
      <c r="AG67" s="27"/>
      <c r="AH67" s="27"/>
      <c r="AI67" s="37"/>
    </row>
    <row r="68" customFormat="false" ht="18.75" hidden="false" customHeight="false" outlineLevel="0" collapsed="false">
      <c r="A68" s="60" t="s">
        <v>106</v>
      </c>
      <c r="B68" s="69" t="n">
        <f aca="false">(G158*B67)</f>
        <v>451.9913727</v>
      </c>
      <c r="C68" s="36"/>
      <c r="D68" s="36"/>
      <c r="E68" s="27"/>
      <c r="F68" s="27"/>
      <c r="G68" s="27"/>
      <c r="H68" s="37"/>
      <c r="J68" s="60" t="s">
        <v>106</v>
      </c>
      <c r="K68" s="69" t="n">
        <f aca="false">K61*K67</f>
        <v>3965.27545</v>
      </c>
      <c r="L68" s="36"/>
      <c r="M68" s="36"/>
      <c r="N68" s="27"/>
      <c r="O68" s="27"/>
      <c r="P68" s="27"/>
      <c r="Q68" s="37"/>
      <c r="S68" s="60" t="s">
        <v>106</v>
      </c>
      <c r="T68" s="69" t="n">
        <f aca="false">T61*T67</f>
        <v>524.98013</v>
      </c>
      <c r="U68" s="36"/>
      <c r="V68" s="36"/>
      <c r="W68" s="27"/>
      <c r="X68" s="27"/>
      <c r="Y68" s="27"/>
      <c r="Z68" s="37"/>
      <c r="AB68" s="60" t="s">
        <v>106</v>
      </c>
      <c r="AC68" s="69" t="n">
        <f aca="false">AH158*AC67</f>
        <v>415.136243958333</v>
      </c>
      <c r="AD68" s="36"/>
      <c r="AE68" s="36"/>
      <c r="AF68" s="27"/>
      <c r="AG68" s="27"/>
      <c r="AH68" s="27"/>
      <c r="AI68" s="37"/>
    </row>
    <row r="69" customFormat="false" ht="18.75" hidden="false" customHeight="false" outlineLevel="0" collapsed="false">
      <c r="A69" s="82" t="s">
        <v>107</v>
      </c>
      <c r="B69" s="83" t="n">
        <v>0</v>
      </c>
      <c r="C69" s="36"/>
      <c r="D69" s="36"/>
      <c r="E69" s="27"/>
      <c r="F69" s="27"/>
      <c r="G69" s="27"/>
      <c r="H69" s="37"/>
      <c r="J69" s="82" t="s">
        <v>107</v>
      </c>
      <c r="K69" s="83" t="n">
        <v>0</v>
      </c>
      <c r="L69" s="36"/>
      <c r="M69" s="36"/>
      <c r="N69" s="27"/>
      <c r="O69" s="27"/>
      <c r="P69" s="27"/>
      <c r="Q69" s="37"/>
      <c r="S69" s="82" t="s">
        <v>107</v>
      </c>
      <c r="T69" s="83" t="n">
        <v>0</v>
      </c>
      <c r="U69" s="36"/>
      <c r="V69" s="36"/>
      <c r="W69" s="27"/>
      <c r="X69" s="27"/>
      <c r="Y69" s="27"/>
      <c r="Z69" s="37"/>
      <c r="AB69" s="82" t="s">
        <v>107</v>
      </c>
      <c r="AC69" s="83" t="n">
        <v>0</v>
      </c>
      <c r="AD69" s="36"/>
      <c r="AE69" s="36"/>
      <c r="AF69" s="27"/>
      <c r="AG69" s="27"/>
      <c r="AH69" s="27"/>
      <c r="AI69" s="37"/>
    </row>
    <row r="70" customFormat="false" ht="18.75" hidden="false" customHeight="false" outlineLevel="0" collapsed="false">
      <c r="A70" s="84" t="s">
        <v>108</v>
      </c>
      <c r="B70" s="85" t="n">
        <v>0</v>
      </c>
      <c r="C70" s="36"/>
      <c r="D70" s="36"/>
      <c r="E70" s="27"/>
      <c r="F70" s="27"/>
      <c r="G70" s="27"/>
      <c r="H70" s="37"/>
      <c r="J70" s="84" t="s">
        <v>108</v>
      </c>
      <c r="K70" s="85" t="n">
        <v>0</v>
      </c>
      <c r="L70" s="36"/>
      <c r="M70" s="36"/>
      <c r="N70" s="27"/>
      <c r="O70" s="27"/>
      <c r="P70" s="27"/>
      <c r="Q70" s="37"/>
      <c r="S70" s="84" t="s">
        <v>108</v>
      </c>
      <c r="T70" s="85" t="n">
        <v>0</v>
      </c>
      <c r="U70" s="36"/>
      <c r="V70" s="36"/>
      <c r="W70" s="27"/>
      <c r="X70" s="27"/>
      <c r="Y70" s="27"/>
      <c r="Z70" s="37"/>
      <c r="AB70" s="84" t="s">
        <v>108</v>
      </c>
      <c r="AC70" s="85" t="n">
        <v>0</v>
      </c>
      <c r="AD70" s="36"/>
      <c r="AE70" s="36"/>
      <c r="AF70" s="27"/>
      <c r="AG70" s="27"/>
      <c r="AH70" s="27"/>
      <c r="AI70" s="37"/>
    </row>
    <row r="71" customFormat="false" ht="18.75" hidden="false" customHeight="false" outlineLevel="0" collapsed="false">
      <c r="A71" s="60" t="s">
        <v>109</v>
      </c>
      <c r="B71" s="89" t="n">
        <f aca="false">B69*(1+B70)</f>
        <v>0</v>
      </c>
      <c r="C71" s="36"/>
      <c r="D71" s="36"/>
      <c r="E71" s="27"/>
      <c r="F71" s="27"/>
      <c r="G71" s="27"/>
      <c r="H71" s="37"/>
      <c r="J71" s="60" t="s">
        <v>109</v>
      </c>
      <c r="K71" s="89" t="n">
        <f aca="false">K69*(1+K70)</f>
        <v>0</v>
      </c>
      <c r="L71" s="36"/>
      <c r="M71" s="36"/>
      <c r="N71" s="27"/>
      <c r="O71" s="27"/>
      <c r="P71" s="27"/>
      <c r="Q71" s="37"/>
      <c r="S71" s="60" t="s">
        <v>109</v>
      </c>
      <c r="T71" s="89" t="n">
        <f aca="false">T69*(1+T70)</f>
        <v>0</v>
      </c>
      <c r="U71" s="36"/>
      <c r="V71" s="36"/>
      <c r="W71" s="27"/>
      <c r="X71" s="27"/>
      <c r="Y71" s="27"/>
      <c r="Z71" s="37"/>
      <c r="AB71" s="60" t="s">
        <v>109</v>
      </c>
      <c r="AC71" s="89" t="n">
        <f aca="false">AC69*(1+AC70)</f>
        <v>0</v>
      </c>
      <c r="AD71" s="36"/>
      <c r="AE71" s="36"/>
      <c r="AF71" s="27"/>
      <c r="AG71" s="27"/>
      <c r="AH71" s="27"/>
      <c r="AI71" s="37"/>
    </row>
    <row r="72" customFormat="false" ht="18.75" hidden="false" customHeight="false" outlineLevel="0" collapsed="false">
      <c r="A72" s="82" t="s">
        <v>110</v>
      </c>
      <c r="B72" s="90" t="n">
        <v>0</v>
      </c>
      <c r="C72" s="36"/>
      <c r="D72" s="36"/>
      <c r="E72" s="27"/>
      <c r="F72" s="27"/>
      <c r="G72" s="27"/>
      <c r="H72" s="37"/>
      <c r="J72" s="82" t="s">
        <v>110</v>
      </c>
      <c r="K72" s="90" t="n">
        <v>0</v>
      </c>
      <c r="L72" s="36"/>
      <c r="M72" s="36"/>
      <c r="N72" s="27"/>
      <c r="O72" s="27"/>
      <c r="P72" s="27"/>
      <c r="Q72" s="37"/>
      <c r="S72" s="82" t="s">
        <v>110</v>
      </c>
      <c r="T72" s="90" t="n">
        <v>0</v>
      </c>
      <c r="U72" s="36"/>
      <c r="V72" s="36"/>
      <c r="W72" s="27"/>
      <c r="X72" s="27"/>
      <c r="Y72" s="27"/>
      <c r="Z72" s="37"/>
      <c r="AB72" s="82" t="s">
        <v>110</v>
      </c>
      <c r="AC72" s="90" t="n">
        <v>0</v>
      </c>
      <c r="AD72" s="36"/>
      <c r="AE72" s="36"/>
      <c r="AF72" s="27"/>
      <c r="AG72" s="27"/>
      <c r="AH72" s="27"/>
      <c r="AI72" s="37"/>
    </row>
    <row r="73" customFormat="false" ht="18.75" hidden="false" customHeight="false" outlineLevel="0" collapsed="false">
      <c r="A73" s="84" t="s">
        <v>111</v>
      </c>
      <c r="B73" s="81" t="n">
        <v>0</v>
      </c>
      <c r="C73" s="36"/>
      <c r="D73" s="36"/>
      <c r="E73" s="27"/>
      <c r="F73" s="27"/>
      <c r="G73" s="27"/>
      <c r="H73" s="37"/>
      <c r="J73" s="84" t="s">
        <v>111</v>
      </c>
      <c r="K73" s="81" t="n">
        <v>0</v>
      </c>
      <c r="L73" s="36"/>
      <c r="M73" s="36"/>
      <c r="N73" s="27"/>
      <c r="O73" s="27"/>
      <c r="P73" s="27"/>
      <c r="Q73" s="37"/>
      <c r="S73" s="84" t="s">
        <v>111</v>
      </c>
      <c r="T73" s="81" t="n">
        <v>0</v>
      </c>
      <c r="U73" s="36"/>
      <c r="V73" s="36"/>
      <c r="W73" s="27"/>
      <c r="X73" s="27"/>
      <c r="Y73" s="27"/>
      <c r="Z73" s="37"/>
      <c r="AB73" s="84" t="s">
        <v>111</v>
      </c>
      <c r="AC73" s="81" t="n">
        <v>0</v>
      </c>
      <c r="AD73" s="36"/>
      <c r="AE73" s="36"/>
      <c r="AF73" s="27"/>
      <c r="AG73" s="27"/>
      <c r="AH73" s="27"/>
      <c r="AI73" s="37"/>
    </row>
    <row r="74" customFormat="false" ht="18.75" hidden="false" customHeight="false" outlineLevel="0" collapsed="false">
      <c r="A74" s="60" t="s">
        <v>112</v>
      </c>
      <c r="B74" s="69" t="n">
        <f aca="false">B73*B29</f>
        <v>0</v>
      </c>
      <c r="C74" s="36"/>
      <c r="D74" s="36" t="n">
        <f aca="false">B74+B72</f>
        <v>0</v>
      </c>
      <c r="E74" s="27"/>
      <c r="F74" s="27"/>
      <c r="G74" s="27"/>
      <c r="H74" s="37"/>
      <c r="J74" s="60" t="s">
        <v>112</v>
      </c>
      <c r="K74" s="69" t="n">
        <f aca="false">K73*K29</f>
        <v>0</v>
      </c>
      <c r="L74" s="36"/>
      <c r="M74" s="36" t="n">
        <f aca="false">K74+K72</f>
        <v>0</v>
      </c>
      <c r="N74" s="27"/>
      <c r="O74" s="27"/>
      <c r="P74" s="27"/>
      <c r="Q74" s="37"/>
      <c r="S74" s="60" t="s">
        <v>112</v>
      </c>
      <c r="T74" s="69" t="n">
        <f aca="false">T73*K29</f>
        <v>0</v>
      </c>
      <c r="U74" s="36"/>
      <c r="V74" s="36" t="n">
        <f aca="false">T74+T72</f>
        <v>0</v>
      </c>
      <c r="W74" s="27"/>
      <c r="X74" s="27"/>
      <c r="Y74" s="27"/>
      <c r="Z74" s="37"/>
      <c r="AB74" s="60" t="s">
        <v>112</v>
      </c>
      <c r="AC74" s="69" t="n">
        <f aca="false">AC73*K29</f>
        <v>0</v>
      </c>
      <c r="AD74" s="36"/>
      <c r="AE74" s="36" t="n">
        <f aca="false">AC74+AC72</f>
        <v>0</v>
      </c>
      <c r="AF74" s="27"/>
      <c r="AG74" s="27"/>
      <c r="AH74" s="27"/>
      <c r="AI74" s="37"/>
    </row>
    <row r="75" customFormat="false" ht="18.75" hidden="false" customHeight="false" outlineLevel="0" collapsed="false">
      <c r="A75" s="84" t="s">
        <v>113</v>
      </c>
      <c r="B75" s="81" t="n">
        <v>0</v>
      </c>
      <c r="C75" s="36"/>
      <c r="D75" s="36" t="n">
        <f aca="false">B75</f>
        <v>0</v>
      </c>
      <c r="E75" s="27"/>
      <c r="F75" s="27"/>
      <c r="G75" s="27"/>
      <c r="H75" s="37"/>
      <c r="J75" s="84" t="s">
        <v>113</v>
      </c>
      <c r="K75" s="81" t="n">
        <v>0</v>
      </c>
      <c r="L75" s="36"/>
      <c r="M75" s="36" t="n">
        <f aca="false">K75</f>
        <v>0</v>
      </c>
      <c r="N75" s="27"/>
      <c r="O75" s="27"/>
      <c r="P75" s="27"/>
      <c r="Q75" s="37"/>
      <c r="S75" s="84" t="s">
        <v>113</v>
      </c>
      <c r="T75" s="81" t="n">
        <v>0</v>
      </c>
      <c r="U75" s="36"/>
      <c r="V75" s="36" t="n">
        <f aca="false">T75</f>
        <v>0</v>
      </c>
      <c r="W75" s="27"/>
      <c r="X75" s="27"/>
      <c r="Y75" s="27"/>
      <c r="Z75" s="37"/>
      <c r="AB75" s="84" t="s">
        <v>113</v>
      </c>
      <c r="AC75" s="81" t="n">
        <v>0</v>
      </c>
      <c r="AD75" s="36"/>
      <c r="AE75" s="36" t="n">
        <f aca="false">AC75</f>
        <v>0</v>
      </c>
      <c r="AF75" s="27"/>
      <c r="AG75" s="27"/>
      <c r="AH75" s="27"/>
      <c r="AI75" s="37"/>
    </row>
    <row r="76" customFormat="false" ht="18.75" hidden="false" customHeight="false" outlineLevel="0" collapsed="false">
      <c r="A76" s="86" t="s">
        <v>114</v>
      </c>
      <c r="B76" s="91" t="n">
        <v>0</v>
      </c>
      <c r="C76" s="36"/>
      <c r="D76" s="36" t="n">
        <f aca="false">B76</f>
        <v>0</v>
      </c>
      <c r="E76" s="27"/>
      <c r="F76" s="27"/>
      <c r="G76" s="27"/>
      <c r="H76" s="37"/>
      <c r="J76" s="86" t="s">
        <v>114</v>
      </c>
      <c r="K76" s="91" t="n">
        <v>0</v>
      </c>
      <c r="L76" s="36"/>
      <c r="M76" s="36" t="n">
        <f aca="false">K76</f>
        <v>0</v>
      </c>
      <c r="N76" s="27"/>
      <c r="O76" s="27"/>
      <c r="P76" s="27"/>
      <c r="Q76" s="37"/>
      <c r="S76" s="86" t="s">
        <v>114</v>
      </c>
      <c r="T76" s="91" t="n">
        <v>0</v>
      </c>
      <c r="U76" s="36"/>
      <c r="V76" s="36" t="n">
        <f aca="false">T76</f>
        <v>0</v>
      </c>
      <c r="W76" s="27"/>
      <c r="X76" s="27"/>
      <c r="Y76" s="27"/>
      <c r="Z76" s="37"/>
      <c r="AB76" s="86" t="s">
        <v>114</v>
      </c>
      <c r="AC76" s="91" t="n">
        <v>0</v>
      </c>
      <c r="AD76" s="36"/>
      <c r="AE76" s="36" t="n">
        <f aca="false">AC76</f>
        <v>0</v>
      </c>
      <c r="AF76" s="27"/>
      <c r="AG76" s="27"/>
      <c r="AH76" s="27"/>
      <c r="AI76" s="37"/>
    </row>
    <row r="77" customFormat="false" ht="18.75" hidden="false" customHeight="false" outlineLevel="0" collapsed="false">
      <c r="A77" s="92" t="s">
        <v>115</v>
      </c>
      <c r="B77" s="93" t="n">
        <f aca="false">SUM(D65:D76)</f>
        <v>0</v>
      </c>
      <c r="C77" s="36"/>
      <c r="D77" s="36"/>
      <c r="E77" s="27"/>
      <c r="F77" s="27"/>
      <c r="G77" s="27"/>
      <c r="H77" s="37"/>
      <c r="J77" s="92" t="s">
        <v>115</v>
      </c>
      <c r="K77" s="93" t="n">
        <f aca="false">SUM(M65:M76)</f>
        <v>0</v>
      </c>
      <c r="L77" s="36"/>
      <c r="M77" s="36"/>
      <c r="N77" s="27"/>
      <c r="O77" s="27"/>
      <c r="P77" s="27"/>
      <c r="Q77" s="37"/>
      <c r="S77" s="92" t="s">
        <v>115</v>
      </c>
      <c r="T77" s="93" t="n">
        <f aca="false">SUM(V65:V76)</f>
        <v>0</v>
      </c>
      <c r="U77" s="36"/>
      <c r="V77" s="36"/>
      <c r="W77" s="27"/>
      <c r="X77" s="27"/>
      <c r="Y77" s="27"/>
      <c r="Z77" s="37"/>
      <c r="AB77" s="92" t="s">
        <v>115</v>
      </c>
      <c r="AC77" s="93" t="n">
        <f aca="false">SUM(AE65:AE76)</f>
        <v>0</v>
      </c>
      <c r="AD77" s="36"/>
      <c r="AE77" s="36"/>
      <c r="AF77" s="27"/>
      <c r="AG77" s="27"/>
      <c r="AH77" s="27"/>
      <c r="AI77" s="37"/>
    </row>
    <row r="78" customFormat="false" ht="18.75" hidden="false" customHeight="false" outlineLevel="0" collapsed="false">
      <c r="A78" s="35" t="s">
        <v>116</v>
      </c>
      <c r="B78" s="37" t="n">
        <f aca="false">B77/H29</f>
        <v>0</v>
      </c>
      <c r="C78" s="36"/>
      <c r="D78" s="36"/>
      <c r="E78" s="27"/>
      <c r="F78" s="27"/>
      <c r="G78" s="27"/>
      <c r="H78" s="37"/>
      <c r="J78" s="35" t="s">
        <v>116</v>
      </c>
      <c r="K78" s="37" t="n">
        <f aca="false">K77/K29</f>
        <v>0</v>
      </c>
      <c r="L78" s="36"/>
      <c r="M78" s="36"/>
      <c r="N78" s="27"/>
      <c r="O78" s="27"/>
      <c r="P78" s="27"/>
      <c r="Q78" s="37"/>
      <c r="S78" s="35" t="s">
        <v>116</v>
      </c>
      <c r="T78" s="37" t="n">
        <f aca="false">T77/K29</f>
        <v>0</v>
      </c>
      <c r="U78" s="36"/>
      <c r="V78" s="36"/>
      <c r="W78" s="27"/>
      <c r="X78" s="27"/>
      <c r="Y78" s="27"/>
      <c r="Z78" s="37"/>
      <c r="AB78" s="35" t="s">
        <v>116</v>
      </c>
      <c r="AC78" s="37" t="n">
        <f aca="false">AC77/K29</f>
        <v>0</v>
      </c>
      <c r="AD78" s="36"/>
      <c r="AE78" s="36"/>
      <c r="AF78" s="27"/>
      <c r="AG78" s="27"/>
      <c r="AH78" s="27"/>
      <c r="AI78" s="37"/>
    </row>
    <row r="79" customFormat="false" ht="18.75" hidden="false" customHeight="false" outlineLevel="0" collapsed="false">
      <c r="A79" s="94" t="s">
        <v>117</v>
      </c>
      <c r="B79" s="63" t="n">
        <f aca="false">K47</f>
        <v>1127.95712905572</v>
      </c>
      <c r="C79" s="36"/>
      <c r="D79" s="36"/>
      <c r="E79" s="27"/>
      <c r="F79" s="27"/>
      <c r="G79" s="27"/>
      <c r="H79" s="37"/>
      <c r="J79" s="94" t="s">
        <v>117</v>
      </c>
      <c r="K79" s="63" t="n">
        <f aca="false">K47</f>
        <v>1127.95712905572</v>
      </c>
      <c r="L79" s="36"/>
      <c r="M79" s="36"/>
      <c r="N79" s="27"/>
      <c r="O79" s="27"/>
      <c r="P79" s="27"/>
      <c r="Q79" s="37"/>
      <c r="S79" s="94" t="s">
        <v>117</v>
      </c>
      <c r="T79" s="63" t="n">
        <f aca="false">B52</f>
        <v>1232.97712905572</v>
      </c>
      <c r="U79" s="36"/>
      <c r="V79" s="36"/>
      <c r="W79" s="27"/>
      <c r="X79" s="27"/>
      <c r="Y79" s="27"/>
      <c r="Z79" s="37"/>
      <c r="AB79" s="94" t="s">
        <v>117</v>
      </c>
      <c r="AC79" s="63" t="n">
        <f aca="false">B52</f>
        <v>1232.97712905572</v>
      </c>
      <c r="AD79" s="36"/>
      <c r="AE79" s="36"/>
      <c r="AF79" s="27"/>
      <c r="AG79" s="27"/>
      <c r="AH79" s="27"/>
      <c r="AI79" s="37"/>
    </row>
    <row r="80" customFormat="false" ht="18.75" hidden="false" customHeight="false" outlineLevel="0" collapsed="false">
      <c r="A80" s="35"/>
      <c r="B80" s="36"/>
      <c r="C80" s="36"/>
      <c r="D80" s="36"/>
      <c r="E80" s="27"/>
      <c r="F80" s="27"/>
      <c r="G80" s="27"/>
      <c r="H80" s="37"/>
      <c r="J80" s="35"/>
      <c r="K80" s="36"/>
      <c r="L80" s="36"/>
      <c r="M80" s="36"/>
      <c r="N80" s="27"/>
      <c r="O80" s="27"/>
      <c r="P80" s="27"/>
      <c r="Q80" s="37"/>
      <c r="S80" s="35"/>
      <c r="T80" s="36"/>
      <c r="U80" s="36"/>
      <c r="V80" s="36"/>
      <c r="W80" s="27"/>
      <c r="X80" s="27"/>
      <c r="Y80" s="27"/>
      <c r="Z80" s="37"/>
      <c r="AB80" s="35"/>
      <c r="AC80" s="36"/>
      <c r="AD80" s="36"/>
      <c r="AE80" s="36"/>
      <c r="AF80" s="27"/>
      <c r="AG80" s="27"/>
      <c r="AH80" s="27"/>
      <c r="AI80" s="37"/>
    </row>
    <row r="81" customFormat="false" ht="18.75" hidden="false" customHeight="false" outlineLevel="0" collapsed="false">
      <c r="A81" s="29" t="s">
        <v>118</v>
      </c>
      <c r="B81" s="31" t="n">
        <f aca="false">G158</f>
        <v>60265.51636</v>
      </c>
      <c r="C81" s="36"/>
      <c r="D81" s="36"/>
      <c r="E81" s="27"/>
      <c r="F81" s="29" t="s">
        <v>118</v>
      </c>
      <c r="G81" s="31" t="n">
        <f aca="false">G158</f>
        <v>60265.51636</v>
      </c>
      <c r="H81" s="37"/>
      <c r="J81" s="29" t="s">
        <v>118</v>
      </c>
      <c r="K81" s="31" t="n">
        <f aca="false">P158</f>
        <v>37144.4</v>
      </c>
      <c r="L81" s="36"/>
      <c r="M81" s="36"/>
      <c r="N81" s="27"/>
      <c r="O81" s="27"/>
      <c r="P81" s="27"/>
      <c r="Q81" s="37"/>
      <c r="S81" s="29" t="s">
        <v>118</v>
      </c>
      <c r="T81" s="31" t="n">
        <f aca="false">Y158</f>
        <v>55467.36701</v>
      </c>
      <c r="U81" s="36"/>
      <c r="V81" s="36"/>
      <c r="W81" s="27"/>
      <c r="X81" s="27"/>
      <c r="Y81" s="27"/>
      <c r="Z81" s="37"/>
      <c r="AB81" s="29" t="s">
        <v>118</v>
      </c>
      <c r="AC81" s="31" t="n">
        <f aca="false">AH158</f>
        <v>42396.893</v>
      </c>
      <c r="AD81" s="36"/>
      <c r="AE81" s="36"/>
      <c r="AF81" s="27"/>
      <c r="AG81" s="27"/>
      <c r="AH81" s="27"/>
      <c r="AI81" s="37"/>
    </row>
    <row r="82" customFormat="false" ht="18.75" hidden="false" customHeight="false" outlineLevel="0" collapsed="false">
      <c r="A82" s="35" t="s">
        <v>119</v>
      </c>
      <c r="B82" s="37" t="n">
        <f aca="false">IF(A111="YES",A40,0)</f>
        <v>8850</v>
      </c>
      <c r="C82" s="36"/>
      <c r="D82" s="36"/>
      <c r="E82" s="27"/>
      <c r="F82" s="35" t="s">
        <v>119</v>
      </c>
      <c r="G82" s="37" t="n">
        <f aca="false">IF(A111="YES",A40,0)</f>
        <v>8850</v>
      </c>
      <c r="H82" s="37"/>
      <c r="J82" s="35" t="s">
        <v>119</v>
      </c>
      <c r="K82" s="37" t="n">
        <f aca="false">IF(J111="YES",A40,0)</f>
        <v>0</v>
      </c>
      <c r="L82" s="36"/>
      <c r="M82" s="36"/>
      <c r="N82" s="27"/>
      <c r="O82" s="27"/>
      <c r="P82" s="27"/>
      <c r="Q82" s="37"/>
      <c r="S82" s="35" t="s">
        <v>119</v>
      </c>
      <c r="T82" s="37" t="n">
        <f aca="false">A40</f>
        <v>8850</v>
      </c>
      <c r="U82" s="36"/>
      <c r="V82" s="36"/>
      <c r="W82" s="27"/>
      <c r="X82" s="27"/>
      <c r="Y82" s="27"/>
      <c r="Z82" s="37"/>
      <c r="AB82" s="35" t="s">
        <v>119</v>
      </c>
      <c r="AC82" s="37" t="n">
        <f aca="false">A40</f>
        <v>8850</v>
      </c>
      <c r="AD82" s="36"/>
      <c r="AE82" s="36"/>
      <c r="AF82" s="27"/>
      <c r="AG82" s="27"/>
      <c r="AH82" s="27"/>
      <c r="AI82" s="37"/>
    </row>
    <row r="83" customFormat="false" ht="18.75" hidden="false" customHeight="false" outlineLevel="0" collapsed="false">
      <c r="A83" s="35" t="s">
        <v>120</v>
      </c>
      <c r="B83" s="88" t="n">
        <f aca="false">B62+B63+B64</f>
        <v>0.125</v>
      </c>
      <c r="C83" s="36"/>
      <c r="D83" s="36"/>
      <c r="E83" s="27"/>
      <c r="F83" s="35" t="s">
        <v>120</v>
      </c>
      <c r="G83" s="95" t="n">
        <f aca="false">B63</f>
        <v>0.075</v>
      </c>
      <c r="H83" s="37"/>
      <c r="J83" s="35" t="s">
        <v>120</v>
      </c>
      <c r="K83" s="88" t="n">
        <f aca="false">K62+K63+K64</f>
        <v>0.24</v>
      </c>
      <c r="L83" s="36"/>
      <c r="M83" s="36"/>
      <c r="N83" s="27"/>
      <c r="O83" s="27"/>
      <c r="P83" s="27"/>
      <c r="Q83" s="37"/>
      <c r="S83" s="35" t="s">
        <v>120</v>
      </c>
      <c r="T83" s="88" t="n">
        <f aca="false">T62+T63+T64</f>
        <v>0.131</v>
      </c>
      <c r="U83" s="36"/>
      <c r="V83" s="36"/>
      <c r="W83" s="27"/>
      <c r="X83" s="27"/>
      <c r="Y83" s="27"/>
      <c r="Z83" s="37"/>
      <c r="AB83" s="35" t="s">
        <v>120</v>
      </c>
      <c r="AC83" s="88" t="n">
        <f aca="false">AC62+AC63+AC64</f>
        <v>0.131</v>
      </c>
      <c r="AD83" s="36"/>
      <c r="AE83" s="36"/>
      <c r="AF83" s="27"/>
      <c r="AG83" s="27"/>
      <c r="AH83" s="27"/>
      <c r="AI83" s="37"/>
    </row>
    <row r="84" customFormat="false" ht="18.75" hidden="false" customHeight="false" outlineLevel="0" collapsed="false">
      <c r="A84" s="35" t="s">
        <v>121</v>
      </c>
      <c r="B84" s="88" t="n">
        <f aca="false">B83/12</f>
        <v>0.0104166666666667</v>
      </c>
      <c r="C84" s="36"/>
      <c r="D84" s="36"/>
      <c r="E84" s="27"/>
      <c r="F84" s="35" t="s">
        <v>121</v>
      </c>
      <c r="G84" s="88" t="n">
        <f aca="false">G83/12</f>
        <v>0.00625</v>
      </c>
      <c r="H84" s="37"/>
      <c r="J84" s="35" t="s">
        <v>121</v>
      </c>
      <c r="K84" s="88" t="n">
        <f aca="false">K83/12</f>
        <v>0.02</v>
      </c>
      <c r="L84" s="36"/>
      <c r="M84" s="36"/>
      <c r="N84" s="27"/>
      <c r="O84" s="27"/>
      <c r="P84" s="27"/>
      <c r="Q84" s="37"/>
      <c r="S84" s="35" t="s">
        <v>121</v>
      </c>
      <c r="T84" s="88" t="n">
        <f aca="false">T83/12</f>
        <v>0.0109166666666667</v>
      </c>
      <c r="U84" s="36"/>
      <c r="V84" s="36"/>
      <c r="W84" s="27"/>
      <c r="X84" s="27"/>
      <c r="Y84" s="27"/>
      <c r="Z84" s="37"/>
      <c r="AB84" s="35" t="s">
        <v>121</v>
      </c>
      <c r="AC84" s="88" t="n">
        <f aca="false">AC83/12</f>
        <v>0.0109166666666667</v>
      </c>
      <c r="AD84" s="36"/>
      <c r="AE84" s="36"/>
      <c r="AF84" s="27"/>
      <c r="AG84" s="27"/>
      <c r="AH84" s="27"/>
      <c r="AI84" s="37"/>
    </row>
    <row r="85" customFormat="false" ht="18.75" hidden="false" customHeight="false" outlineLevel="0" collapsed="false">
      <c r="A85" s="35" t="s">
        <v>122</v>
      </c>
      <c r="B85" s="37" t="n">
        <f aca="false">IF(B82=0,(B59+B58),(B59))</f>
        <v>34</v>
      </c>
      <c r="C85" s="36"/>
      <c r="D85" s="36"/>
      <c r="E85" s="27"/>
      <c r="F85" s="35" t="s">
        <v>122</v>
      </c>
      <c r="G85" s="37" t="n">
        <f aca="false">IF(G82=0,(B59+B58),(B59))</f>
        <v>34</v>
      </c>
      <c r="H85" s="37"/>
      <c r="J85" s="35" t="s">
        <v>122</v>
      </c>
      <c r="K85" s="37" t="n">
        <f aca="false">IF(K82=0,(K59+K58),(K59))</f>
        <v>35</v>
      </c>
      <c r="L85" s="36"/>
      <c r="M85" s="36"/>
      <c r="N85" s="27"/>
      <c r="O85" s="27"/>
      <c r="P85" s="27"/>
      <c r="Q85" s="37"/>
      <c r="S85" s="35" t="s">
        <v>122</v>
      </c>
      <c r="T85" s="37" t="n">
        <f aca="false">T59</f>
        <v>34</v>
      </c>
      <c r="U85" s="36"/>
      <c r="V85" s="36"/>
      <c r="W85" s="27"/>
      <c r="X85" s="27"/>
      <c r="Y85" s="27"/>
      <c r="Z85" s="37"/>
      <c r="AB85" s="35" t="s">
        <v>122</v>
      </c>
      <c r="AC85" s="37" t="n">
        <f aca="false">AC59</f>
        <v>34</v>
      </c>
      <c r="AD85" s="36"/>
      <c r="AE85" s="36"/>
      <c r="AF85" s="27"/>
      <c r="AG85" s="27"/>
      <c r="AH85" s="27"/>
      <c r="AI85" s="37"/>
    </row>
    <row r="86" customFormat="false" ht="18.75" hidden="false" customHeight="false" outlineLevel="0" collapsed="false">
      <c r="A86" s="35" t="s">
        <v>123</v>
      </c>
      <c r="B86" s="37" t="n">
        <f aca="false">(B82/((1+B84)^(B85+1)))</f>
        <v>6157.80210521744</v>
      </c>
      <c r="C86" s="36"/>
      <c r="D86" s="36"/>
      <c r="E86" s="27"/>
      <c r="F86" s="35" t="s">
        <v>123</v>
      </c>
      <c r="G86" s="37" t="n">
        <f aca="false">(G82/((1+G84)^(G85+1)))</f>
        <v>7116.01741959071</v>
      </c>
      <c r="H86" s="37"/>
      <c r="J86" s="35" t="s">
        <v>123</v>
      </c>
      <c r="K86" s="37" t="n">
        <f aca="false">(K82/((1+K84)^(K85+1)))</f>
        <v>0</v>
      </c>
      <c r="L86" s="36"/>
      <c r="M86" s="36"/>
      <c r="N86" s="27"/>
      <c r="O86" s="27"/>
      <c r="P86" s="27"/>
      <c r="Q86" s="37"/>
      <c r="S86" s="35" t="s">
        <v>123</v>
      </c>
      <c r="T86" s="37" t="n">
        <f aca="false">(T82/((1+T84)^(T85+1)))</f>
        <v>6052.09570143426</v>
      </c>
      <c r="U86" s="36"/>
      <c r="V86" s="36"/>
      <c r="W86" s="27"/>
      <c r="X86" s="27"/>
      <c r="Y86" s="27"/>
      <c r="Z86" s="37"/>
      <c r="AB86" s="35" t="s">
        <v>123</v>
      </c>
      <c r="AC86" s="37" t="n">
        <f aca="false">(AC82/((1+AC84)^(AC85+1)))</f>
        <v>6052.09570143426</v>
      </c>
      <c r="AD86" s="36"/>
      <c r="AE86" s="36"/>
      <c r="AF86" s="27"/>
      <c r="AG86" s="27"/>
      <c r="AH86" s="27"/>
      <c r="AI86" s="37"/>
    </row>
    <row r="87" customFormat="false" ht="18.75" hidden="false" customHeight="false" outlineLevel="0" collapsed="false">
      <c r="A87" s="35" t="s">
        <v>124</v>
      </c>
      <c r="B87" s="37" t="n">
        <f aca="false">((1-(1/((1+B84)^B85)))/B84)</f>
        <v>28.5077057394247</v>
      </c>
      <c r="C87" s="36"/>
      <c r="D87" s="36"/>
      <c r="E87" s="27"/>
      <c r="F87" s="35" t="s">
        <v>124</v>
      </c>
      <c r="G87" s="37" t="n">
        <f aca="false">((1-(1/((1+G84)^G85)))/G84)</f>
        <v>30.5447678469939</v>
      </c>
      <c r="H87" s="37"/>
      <c r="J87" s="35" t="s">
        <v>124</v>
      </c>
      <c r="K87" s="37" t="n">
        <f aca="false">((1-(1/((1+K84)^K85)))/K84)</f>
        <v>24.9986193320352</v>
      </c>
      <c r="L87" s="36"/>
      <c r="M87" s="36"/>
      <c r="N87" s="27"/>
      <c r="O87" s="27"/>
      <c r="P87" s="27"/>
      <c r="Q87" s="37"/>
      <c r="S87" s="35" t="s">
        <v>124</v>
      </c>
      <c r="T87" s="37" t="n">
        <f aca="false">((1-(1/((1+T84)^T85)))/T84)</f>
        <v>28.2762125724768</v>
      </c>
      <c r="U87" s="36"/>
      <c r="V87" s="36"/>
      <c r="W87" s="27"/>
      <c r="X87" s="27"/>
      <c r="Y87" s="27"/>
      <c r="Z87" s="37"/>
      <c r="AB87" s="35" t="s">
        <v>124</v>
      </c>
      <c r="AC87" s="37" t="n">
        <f aca="false">((1-(1/((1+AC84)^AC85)))/AC84)</f>
        <v>28.2762125724768</v>
      </c>
      <c r="AD87" s="36"/>
      <c r="AE87" s="36"/>
      <c r="AF87" s="27"/>
      <c r="AG87" s="27"/>
      <c r="AH87" s="27"/>
      <c r="AI87" s="37"/>
    </row>
    <row r="88" customFormat="false" ht="18.75" hidden="false" customHeight="false" outlineLevel="0" collapsed="false">
      <c r="A88" s="35" t="s">
        <v>125</v>
      </c>
      <c r="B88" s="37" t="n">
        <f aca="false">B81-B86</f>
        <v>54107.7142547826</v>
      </c>
      <c r="C88" s="36"/>
      <c r="D88" s="36"/>
      <c r="E88" s="27"/>
      <c r="F88" s="35" t="s">
        <v>125</v>
      </c>
      <c r="G88" s="37" t="n">
        <f aca="false">G81-G86</f>
        <v>53149.4989404093</v>
      </c>
      <c r="H88" s="37"/>
      <c r="J88" s="35" t="s">
        <v>125</v>
      </c>
      <c r="K88" s="37" t="n">
        <f aca="false">K81-K86</f>
        <v>37144.4</v>
      </c>
      <c r="L88" s="36"/>
      <c r="M88" s="36"/>
      <c r="N88" s="27"/>
      <c r="O88" s="27"/>
      <c r="P88" s="27"/>
      <c r="Q88" s="37"/>
      <c r="S88" s="35" t="s">
        <v>125</v>
      </c>
      <c r="T88" s="37" t="n">
        <f aca="false">T81-T86</f>
        <v>49415.2713085658</v>
      </c>
      <c r="U88" s="36"/>
      <c r="V88" s="36"/>
      <c r="W88" s="27"/>
      <c r="X88" s="27"/>
      <c r="Y88" s="27"/>
      <c r="Z88" s="37"/>
      <c r="AB88" s="35" t="s">
        <v>125</v>
      </c>
      <c r="AC88" s="37" t="n">
        <f aca="false">AC81-AC86</f>
        <v>36344.7972985658</v>
      </c>
      <c r="AD88" s="36"/>
      <c r="AE88" s="36"/>
      <c r="AF88" s="27"/>
      <c r="AG88" s="27"/>
      <c r="AH88" s="27"/>
      <c r="AI88" s="37"/>
    </row>
    <row r="89" customFormat="false" ht="18.75" hidden="false" customHeight="false" outlineLevel="0" collapsed="false">
      <c r="A89" s="35" t="s">
        <v>126</v>
      </c>
      <c r="B89" s="37" t="n">
        <f aca="false">(B88/B87)</f>
        <v>1898.00311359165</v>
      </c>
      <c r="C89" s="36"/>
      <c r="D89" s="36"/>
      <c r="E89" s="27"/>
      <c r="F89" s="35" t="s">
        <v>126</v>
      </c>
      <c r="G89" s="37" t="n">
        <f aca="false">(G88/G87)</f>
        <v>1740.05247663521</v>
      </c>
      <c r="H89" s="37"/>
      <c r="J89" s="35" t="s">
        <v>126</v>
      </c>
      <c r="K89" s="37" t="n">
        <f aca="false">(K88/K87)</f>
        <v>1485.8580590649</v>
      </c>
      <c r="L89" s="36"/>
      <c r="M89" s="36"/>
      <c r="N89" s="27"/>
      <c r="O89" s="27"/>
      <c r="P89" s="27"/>
      <c r="Q89" s="37"/>
      <c r="S89" s="35" t="s">
        <v>126</v>
      </c>
      <c r="T89" s="37" t="n">
        <f aca="false">(T88/T87)</f>
        <v>1747.59159070211</v>
      </c>
      <c r="U89" s="36"/>
      <c r="V89" s="36"/>
      <c r="W89" s="27"/>
      <c r="X89" s="27"/>
      <c r="Y89" s="27"/>
      <c r="Z89" s="37"/>
      <c r="AB89" s="35" t="s">
        <v>126</v>
      </c>
      <c r="AC89" s="37" t="n">
        <f aca="false">(AC88/AC87)</f>
        <v>1285.34884951115</v>
      </c>
      <c r="AD89" s="36"/>
      <c r="AE89" s="36"/>
      <c r="AF89" s="27"/>
      <c r="AG89" s="27"/>
      <c r="AH89" s="27"/>
      <c r="AI89" s="37"/>
    </row>
    <row r="90" customFormat="false" ht="18.75" hidden="false" customHeight="false" outlineLevel="0" collapsed="false">
      <c r="A90" s="35" t="s">
        <v>127</v>
      </c>
      <c r="B90" s="37" t="n">
        <f aca="false">((B89*(B85))+B77)</f>
        <v>64532.1058621161</v>
      </c>
      <c r="C90" s="36"/>
      <c r="D90" s="36"/>
      <c r="E90" s="27"/>
      <c r="F90" s="35" t="s">
        <v>127</v>
      </c>
      <c r="G90" s="37" t="n">
        <f aca="false">((G89*(G85))+G77)</f>
        <v>59161.7842055973</v>
      </c>
      <c r="H90" s="37"/>
      <c r="J90" s="35" t="s">
        <v>127</v>
      </c>
      <c r="K90" s="37" t="n">
        <f aca="false">((K89*(K85))+K77)</f>
        <v>52005.0320672714</v>
      </c>
      <c r="L90" s="36"/>
      <c r="M90" s="36"/>
      <c r="N90" s="27"/>
      <c r="O90" s="27"/>
      <c r="P90" s="27"/>
      <c r="Q90" s="37"/>
      <c r="S90" s="35" t="s">
        <v>127</v>
      </c>
      <c r="T90" s="37" t="n">
        <f aca="false">(T89*(T85))+T77</f>
        <v>59418.1140838717</v>
      </c>
      <c r="U90" s="36"/>
      <c r="V90" s="36"/>
      <c r="W90" s="27"/>
      <c r="X90" s="27"/>
      <c r="Y90" s="27"/>
      <c r="Z90" s="37"/>
      <c r="AB90" s="35" t="s">
        <v>127</v>
      </c>
      <c r="AC90" s="37" t="n">
        <f aca="false">(AC89*(AC59))+AC77</f>
        <v>43701.860883379</v>
      </c>
      <c r="AD90" s="36"/>
      <c r="AE90" s="36"/>
      <c r="AF90" s="27"/>
      <c r="AG90" s="27"/>
      <c r="AH90" s="27"/>
      <c r="AI90" s="37"/>
    </row>
    <row r="91" customFormat="false" ht="18.75" hidden="false" customHeight="false" outlineLevel="0" collapsed="false">
      <c r="A91" s="35" t="s">
        <v>128</v>
      </c>
      <c r="B91" s="37" t="n">
        <f aca="false">(B90/(1-B71))*B71</f>
        <v>0</v>
      </c>
      <c r="C91" s="36"/>
      <c r="D91" s="36"/>
      <c r="E91" s="27"/>
      <c r="F91" s="35" t="s">
        <v>128</v>
      </c>
      <c r="G91" s="37" t="n">
        <f aca="false">(((G89*(G85))+G77)/(1-G71))*G71</f>
        <v>0</v>
      </c>
      <c r="H91" s="37"/>
      <c r="J91" s="35" t="s">
        <v>128</v>
      </c>
      <c r="K91" s="37" t="n">
        <f aca="false">(K90/(1-K71))*K71</f>
        <v>0</v>
      </c>
      <c r="L91" s="36"/>
      <c r="M91" s="36"/>
      <c r="N91" s="27"/>
      <c r="O91" s="27"/>
      <c r="P91" s="27"/>
      <c r="Q91" s="37"/>
      <c r="S91" s="35" t="s">
        <v>128</v>
      </c>
      <c r="T91" s="37" t="n">
        <f aca="false">(T90/(1-T71))*T71</f>
        <v>0</v>
      </c>
      <c r="U91" s="36"/>
      <c r="V91" s="36"/>
      <c r="W91" s="27"/>
      <c r="X91" s="27"/>
      <c r="Y91" s="27"/>
      <c r="Z91" s="37"/>
      <c r="AB91" s="35" t="s">
        <v>128</v>
      </c>
      <c r="AC91" s="37" t="n">
        <f aca="false">(AC90/(1-AC71))*AC71</f>
        <v>0</v>
      </c>
      <c r="AD91" s="36"/>
      <c r="AE91" s="36"/>
      <c r="AF91" s="27"/>
      <c r="AG91" s="27"/>
      <c r="AH91" s="27"/>
      <c r="AI91" s="37"/>
    </row>
    <row r="92" customFormat="false" ht="18.75" hidden="false" customHeight="false" outlineLevel="0" collapsed="false">
      <c r="A92" s="60" t="s">
        <v>129</v>
      </c>
      <c r="B92" s="69" t="n">
        <f aca="false">(B90+B91)</f>
        <v>64532.1058621161</v>
      </c>
      <c r="C92" s="36"/>
      <c r="D92" s="36"/>
      <c r="E92" s="27"/>
      <c r="F92" s="60" t="s">
        <v>129</v>
      </c>
      <c r="G92" s="69" t="n">
        <f aca="false">(G90+G91)</f>
        <v>59161.7842055973</v>
      </c>
      <c r="H92" s="37"/>
      <c r="J92" s="60" t="s">
        <v>129</v>
      </c>
      <c r="K92" s="69" t="n">
        <f aca="false">(K90+K91)</f>
        <v>52005.0320672714</v>
      </c>
      <c r="L92" s="36"/>
      <c r="M92" s="36"/>
      <c r="N92" s="27"/>
      <c r="O92" s="27"/>
      <c r="P92" s="27"/>
      <c r="Q92" s="37"/>
      <c r="S92" s="60" t="s">
        <v>129</v>
      </c>
      <c r="T92" s="69" t="n">
        <f aca="false">(T90+T91)</f>
        <v>59418.1140838717</v>
      </c>
      <c r="U92" s="36"/>
      <c r="V92" s="36"/>
      <c r="W92" s="27"/>
      <c r="X92" s="27"/>
      <c r="Y92" s="27"/>
      <c r="Z92" s="37"/>
      <c r="AB92" s="60" t="s">
        <v>129</v>
      </c>
      <c r="AC92" s="69" t="n">
        <f aca="false">(AC90+AC91)</f>
        <v>43701.860883379</v>
      </c>
      <c r="AD92" s="36"/>
      <c r="AE92" s="36"/>
      <c r="AF92" s="27"/>
      <c r="AG92" s="27"/>
      <c r="AH92" s="27"/>
      <c r="AI92" s="37"/>
    </row>
    <row r="93" customFormat="false" ht="18.75" hidden="false" customHeight="false" outlineLevel="0" collapsed="false">
      <c r="A93" s="35"/>
      <c r="B93" s="36"/>
      <c r="C93" s="36"/>
      <c r="D93" s="36"/>
      <c r="E93" s="27"/>
      <c r="F93" s="35"/>
      <c r="G93" s="36"/>
      <c r="H93" s="37"/>
      <c r="J93" s="35"/>
      <c r="K93" s="36"/>
      <c r="L93" s="36"/>
      <c r="M93" s="36"/>
      <c r="N93" s="27"/>
      <c r="O93" s="27"/>
      <c r="P93" s="27"/>
      <c r="Q93" s="37"/>
      <c r="S93" s="35"/>
      <c r="T93" s="36"/>
      <c r="U93" s="36"/>
      <c r="V93" s="36"/>
      <c r="W93" s="27"/>
      <c r="X93" s="27"/>
      <c r="Y93" s="27"/>
      <c r="Z93" s="37"/>
      <c r="AB93" s="35"/>
      <c r="AC93" s="36"/>
      <c r="AD93" s="36"/>
      <c r="AE93" s="36"/>
      <c r="AF93" s="27"/>
      <c r="AG93" s="27"/>
      <c r="AH93" s="27"/>
      <c r="AI93" s="37"/>
    </row>
    <row r="94" customFormat="false" ht="18.75" hidden="false" customHeight="false" outlineLevel="0" collapsed="false">
      <c r="A94" s="92" t="s">
        <v>130</v>
      </c>
      <c r="B94" s="93" t="n">
        <f aca="false">IF(B26="YES",((E40/B85)*(1+A108)*(C45/100)),"0")</f>
        <v>140.541470588235</v>
      </c>
      <c r="C94" s="36"/>
      <c r="D94" s="36"/>
      <c r="E94" s="27"/>
      <c r="F94" s="92" t="s">
        <v>130</v>
      </c>
      <c r="G94" s="96" t="n">
        <f aca="false">IF(B26="YES",((E40/B85)*(1+A108)*(C45/100)),"0")</f>
        <v>140.541470588235</v>
      </c>
      <c r="H94" s="37"/>
      <c r="J94" s="92" t="s">
        <v>130</v>
      </c>
      <c r="K94" s="93" t="n">
        <f aca="false">((E40/K85)*(1+J108))*1.2</f>
        <v>163.8312</v>
      </c>
      <c r="L94" s="36"/>
      <c r="M94" s="36"/>
      <c r="N94" s="27"/>
      <c r="O94" s="27"/>
      <c r="P94" s="27"/>
      <c r="Q94" s="37"/>
      <c r="S94" s="92" t="s">
        <v>130</v>
      </c>
      <c r="T94" s="93" t="n">
        <f aca="false">((E40/T85)*(1+S108))</f>
        <v>129.730588235294</v>
      </c>
      <c r="U94" s="36"/>
      <c r="V94" s="36"/>
      <c r="W94" s="27"/>
      <c r="X94" s="27"/>
      <c r="Y94" s="27"/>
      <c r="Z94" s="37"/>
      <c r="AB94" s="92" t="s">
        <v>130</v>
      </c>
      <c r="AC94" s="93" t="n">
        <f aca="false">((E40/AC85)*(1+AB108))*1.2</f>
        <v>155.676705882353</v>
      </c>
      <c r="AD94" s="36"/>
      <c r="AE94" s="36"/>
      <c r="AF94" s="27"/>
      <c r="AG94" s="27"/>
      <c r="AH94" s="27"/>
      <c r="AI94" s="37"/>
    </row>
    <row r="95" customFormat="false" ht="18.75" hidden="false" customHeight="false" outlineLevel="0" collapsed="false">
      <c r="A95" s="97" t="s">
        <v>131</v>
      </c>
      <c r="B95" s="98" t="n">
        <f aca="false">B92/(B85)</f>
        <v>1898.00311359165</v>
      </c>
      <c r="C95" s="36"/>
      <c r="D95" s="36"/>
      <c r="E95" s="27"/>
      <c r="F95" s="97" t="s">
        <v>131</v>
      </c>
      <c r="G95" s="98" t="n">
        <f aca="false">G92/(G85)</f>
        <v>1740.05247663521</v>
      </c>
      <c r="H95" s="37"/>
      <c r="J95" s="97" t="s">
        <v>131</v>
      </c>
      <c r="K95" s="98" t="n">
        <f aca="false">K92/(K85)</f>
        <v>1485.8580590649</v>
      </c>
      <c r="L95" s="36"/>
      <c r="M95" s="36"/>
      <c r="N95" s="27"/>
      <c r="O95" s="27"/>
      <c r="P95" s="27"/>
      <c r="Q95" s="37"/>
      <c r="S95" s="97" t="s">
        <v>131</v>
      </c>
      <c r="T95" s="98" t="n">
        <f aca="false">T92/(T85)</f>
        <v>1747.59159070211</v>
      </c>
      <c r="U95" s="36"/>
      <c r="V95" s="36"/>
      <c r="W95" s="27"/>
      <c r="X95" s="27"/>
      <c r="Y95" s="27"/>
      <c r="Z95" s="37"/>
      <c r="AB95" s="97" t="s">
        <v>131</v>
      </c>
      <c r="AC95" s="98" t="n">
        <f aca="false">AC92/(AC59)</f>
        <v>1285.34884951115</v>
      </c>
      <c r="AD95" s="36"/>
      <c r="AE95" s="36"/>
      <c r="AF95" s="27"/>
      <c r="AG95" s="27"/>
      <c r="AH95" s="27"/>
      <c r="AI95" s="37"/>
    </row>
    <row r="96" customFormat="false" ht="18.75" hidden="false" customHeight="false" outlineLevel="0" collapsed="false">
      <c r="A96" s="99" t="s">
        <v>132</v>
      </c>
      <c r="B96" s="100" t="n">
        <f aca="false">(B94+B95)</f>
        <v>2038.54458417988</v>
      </c>
      <c r="C96" s="36"/>
      <c r="D96" s="36"/>
      <c r="E96" s="27"/>
      <c r="F96" s="99" t="s">
        <v>132</v>
      </c>
      <c r="G96" s="100" t="n">
        <f aca="false">G94+G95</f>
        <v>1880.59394722345</v>
      </c>
      <c r="H96" s="37"/>
      <c r="J96" s="99" t="s">
        <v>132</v>
      </c>
      <c r="K96" s="100" t="n">
        <f aca="false">(K94+K95)</f>
        <v>1649.6892590649</v>
      </c>
      <c r="L96" s="36"/>
      <c r="M96" s="36"/>
      <c r="N96" s="27"/>
      <c r="O96" s="27"/>
      <c r="P96" s="27"/>
      <c r="Q96" s="37"/>
      <c r="S96" s="99" t="s">
        <v>132</v>
      </c>
      <c r="T96" s="100" t="n">
        <f aca="false">T94+T95</f>
        <v>1877.3221789374</v>
      </c>
      <c r="U96" s="36"/>
      <c r="V96" s="36"/>
      <c r="W96" s="27"/>
      <c r="X96" s="27"/>
      <c r="Y96" s="27"/>
      <c r="Z96" s="37"/>
      <c r="AB96" s="99" t="s">
        <v>132</v>
      </c>
      <c r="AC96" s="100" t="n">
        <f aca="false">AC94+AC95</f>
        <v>1441.0255553935</v>
      </c>
      <c r="AD96" s="36"/>
      <c r="AE96" s="36"/>
      <c r="AF96" s="27"/>
      <c r="AG96" s="27"/>
      <c r="AH96" s="27"/>
      <c r="AI96" s="37"/>
    </row>
    <row r="97" customFormat="false" ht="18.75" hidden="false" customHeight="false" outlineLevel="0" collapsed="false">
      <c r="A97" s="60"/>
      <c r="B97" s="61"/>
      <c r="C97" s="61"/>
      <c r="D97" s="61"/>
      <c r="E97" s="101"/>
      <c r="F97" s="101"/>
      <c r="G97" s="101"/>
      <c r="H97" s="69"/>
      <c r="J97" s="60"/>
      <c r="K97" s="61"/>
      <c r="L97" s="61"/>
      <c r="M97" s="61"/>
      <c r="N97" s="101"/>
      <c r="O97" s="101"/>
      <c r="P97" s="101"/>
      <c r="Q97" s="69"/>
      <c r="S97" s="60"/>
      <c r="T97" s="61"/>
      <c r="U97" s="61"/>
      <c r="V97" s="61"/>
      <c r="W97" s="101"/>
      <c r="X97" s="101"/>
      <c r="Y97" s="101"/>
      <c r="Z97" s="69"/>
      <c r="AB97" s="60"/>
      <c r="AC97" s="61"/>
      <c r="AD97" s="61"/>
      <c r="AE97" s="61"/>
      <c r="AF97" s="101"/>
      <c r="AG97" s="101"/>
      <c r="AH97" s="101"/>
      <c r="AI97" s="69"/>
    </row>
    <row r="98" customFormat="false" ht="18.7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J98" s="27"/>
      <c r="K98" s="27"/>
      <c r="L98" s="27"/>
      <c r="M98" s="27"/>
      <c r="N98" s="27"/>
      <c r="O98" s="27"/>
      <c r="P98" s="27"/>
      <c r="Q98" s="27"/>
      <c r="S98" s="27"/>
      <c r="T98" s="27"/>
      <c r="U98" s="27"/>
      <c r="V98" s="27"/>
      <c r="W98" s="27"/>
      <c r="X98" s="27"/>
      <c r="Y98" s="27"/>
      <c r="Z98" s="27"/>
      <c r="AB98" s="27"/>
      <c r="AC98" s="27"/>
      <c r="AD98" s="27"/>
      <c r="AE98" s="27"/>
      <c r="AF98" s="27"/>
      <c r="AG98" s="27"/>
      <c r="AH98" s="27"/>
      <c r="AI98" s="27"/>
    </row>
    <row r="99" customFormat="false" ht="18.7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J99" s="27"/>
      <c r="K99" s="27"/>
      <c r="L99" s="27"/>
      <c r="M99" s="27"/>
      <c r="N99" s="27"/>
      <c r="O99" s="27"/>
      <c r="P99" s="27"/>
      <c r="Q99" s="27"/>
      <c r="S99" s="27"/>
      <c r="T99" s="27"/>
      <c r="U99" s="27"/>
      <c r="V99" s="27"/>
      <c r="W99" s="27"/>
      <c r="X99" s="27"/>
      <c r="Y99" s="27"/>
      <c r="Z99" s="27"/>
      <c r="AB99" s="27"/>
      <c r="AC99" s="27"/>
      <c r="AD99" s="27"/>
      <c r="AE99" s="27"/>
      <c r="AF99" s="27"/>
      <c r="AG99" s="27"/>
      <c r="AH99" s="27"/>
      <c r="AI99" s="27"/>
    </row>
    <row r="100" customFormat="false" ht="47.25" hidden="false" customHeight="true" outlineLevel="0" collapsed="false">
      <c r="A100" s="102" t="s">
        <v>135</v>
      </c>
      <c r="B100" s="102"/>
      <c r="C100" s="102"/>
      <c r="D100" s="102"/>
      <c r="E100" s="102"/>
      <c r="F100" s="102"/>
      <c r="G100" s="102"/>
      <c r="H100" s="102"/>
      <c r="J100" s="102" t="s">
        <v>134</v>
      </c>
      <c r="K100" s="102"/>
      <c r="L100" s="102"/>
      <c r="M100" s="102"/>
      <c r="N100" s="102"/>
      <c r="O100" s="102"/>
      <c r="P100" s="102"/>
      <c r="Q100" s="102"/>
      <c r="S100" s="102" t="s">
        <v>135</v>
      </c>
      <c r="T100" s="102"/>
      <c r="U100" s="102"/>
      <c r="V100" s="102"/>
      <c r="W100" s="102"/>
      <c r="X100" s="102"/>
      <c r="Y100" s="102"/>
      <c r="Z100" s="102"/>
      <c r="AB100" s="102" t="s">
        <v>136</v>
      </c>
      <c r="AC100" s="102"/>
      <c r="AD100" s="102"/>
      <c r="AE100" s="102"/>
      <c r="AF100" s="102"/>
      <c r="AG100" s="102"/>
      <c r="AH100" s="102"/>
      <c r="AI100" s="102"/>
    </row>
    <row r="101" customFormat="false" ht="18.75" hidden="false" customHeight="false" outlineLevel="0" collapsed="false">
      <c r="A101" s="29"/>
      <c r="B101" s="30"/>
      <c r="C101" s="30"/>
      <c r="D101" s="30"/>
      <c r="E101" s="79"/>
      <c r="F101" s="79"/>
      <c r="G101" s="79"/>
      <c r="H101" s="103"/>
      <c r="J101" s="29"/>
      <c r="K101" s="30"/>
      <c r="L101" s="30"/>
      <c r="M101" s="30"/>
      <c r="N101" s="79"/>
      <c r="O101" s="79"/>
      <c r="P101" s="79"/>
      <c r="Q101" s="103"/>
      <c r="S101" s="29"/>
      <c r="T101" s="30"/>
      <c r="U101" s="30"/>
      <c r="V101" s="30"/>
      <c r="W101" s="79"/>
      <c r="X101" s="79"/>
      <c r="Y101" s="79"/>
      <c r="Z101" s="103"/>
      <c r="AB101" s="29"/>
      <c r="AC101" s="30"/>
      <c r="AD101" s="30"/>
      <c r="AE101" s="30"/>
      <c r="AF101" s="79"/>
      <c r="AG101" s="79"/>
      <c r="AH101" s="79"/>
      <c r="AI101" s="103"/>
    </row>
    <row r="102" customFormat="false" ht="22.05" hidden="false" customHeight="false" outlineLevel="0" collapsed="false">
      <c r="A102" s="32" t="s">
        <v>137</v>
      </c>
      <c r="B102" s="32"/>
      <c r="C102" s="32"/>
      <c r="D102" s="32"/>
      <c r="E102" s="32"/>
      <c r="F102" s="32"/>
      <c r="G102" s="32"/>
      <c r="H102" s="32"/>
      <c r="J102" s="32" t="s">
        <v>137</v>
      </c>
      <c r="K102" s="32"/>
      <c r="L102" s="32"/>
      <c r="M102" s="32"/>
      <c r="N102" s="32"/>
      <c r="O102" s="32"/>
      <c r="P102" s="32"/>
      <c r="Q102" s="32"/>
      <c r="S102" s="32" t="s">
        <v>137</v>
      </c>
      <c r="T102" s="32"/>
      <c r="U102" s="32"/>
      <c r="V102" s="32"/>
      <c r="W102" s="32"/>
      <c r="X102" s="32"/>
      <c r="Y102" s="32"/>
      <c r="Z102" s="32"/>
      <c r="AB102" s="32" t="s">
        <v>137</v>
      </c>
      <c r="AC102" s="32"/>
      <c r="AD102" s="32"/>
      <c r="AE102" s="32"/>
      <c r="AF102" s="32"/>
      <c r="AG102" s="32"/>
      <c r="AH102" s="32"/>
      <c r="AI102" s="32"/>
    </row>
    <row r="103" customFormat="false" ht="18.75" hidden="false" customHeight="false" outlineLevel="0" collapsed="false">
      <c r="A103" s="35"/>
      <c r="B103" s="36"/>
      <c r="C103" s="36"/>
      <c r="D103" s="36"/>
      <c r="E103" s="27"/>
      <c r="F103" s="27"/>
      <c r="G103" s="27"/>
      <c r="H103" s="104"/>
      <c r="J103" s="35"/>
      <c r="K103" s="36"/>
      <c r="L103" s="36"/>
      <c r="M103" s="36"/>
      <c r="N103" s="27"/>
      <c r="O103" s="27"/>
      <c r="P103" s="27"/>
      <c r="Q103" s="104"/>
      <c r="S103" s="35"/>
      <c r="T103" s="36"/>
      <c r="U103" s="36"/>
      <c r="V103" s="36"/>
      <c r="W103" s="27"/>
      <c r="X103" s="27"/>
      <c r="Y103" s="27"/>
      <c r="Z103" s="104"/>
      <c r="AB103" s="35"/>
      <c r="AC103" s="36"/>
      <c r="AD103" s="36"/>
      <c r="AE103" s="36"/>
      <c r="AF103" s="27"/>
      <c r="AG103" s="27"/>
      <c r="AH103" s="27"/>
      <c r="AI103" s="104"/>
    </row>
    <row r="104" customFormat="false" ht="18.75" hidden="false" customHeight="false" outlineLevel="0" collapsed="false">
      <c r="A104" s="35" t="s">
        <v>138</v>
      </c>
      <c r="B104" s="36" t="s">
        <v>36</v>
      </c>
      <c r="C104" s="36"/>
      <c r="D104" s="36"/>
      <c r="E104" s="36" t="s">
        <v>139</v>
      </c>
      <c r="F104" s="36"/>
      <c r="G104" s="36"/>
      <c r="H104" s="37"/>
      <c r="J104" s="35" t="s">
        <v>138</v>
      </c>
      <c r="K104" s="36" t="s">
        <v>36</v>
      </c>
      <c r="L104" s="36"/>
      <c r="M104" s="36"/>
      <c r="N104" s="36" t="s">
        <v>139</v>
      </c>
      <c r="O104" s="36"/>
      <c r="P104" s="36"/>
      <c r="Q104" s="37"/>
      <c r="S104" s="35" t="s">
        <v>138</v>
      </c>
      <c r="T104" s="36" t="s">
        <v>36</v>
      </c>
      <c r="U104" s="36"/>
      <c r="V104" s="36"/>
      <c r="W104" s="36" t="s">
        <v>139</v>
      </c>
      <c r="X104" s="36"/>
      <c r="Y104" s="36"/>
      <c r="Z104" s="37"/>
      <c r="AB104" s="35" t="s">
        <v>138</v>
      </c>
      <c r="AC104" s="36" t="s">
        <v>36</v>
      </c>
      <c r="AD104" s="36"/>
      <c r="AE104" s="36"/>
      <c r="AF104" s="36" t="s">
        <v>139</v>
      </c>
      <c r="AG104" s="36"/>
      <c r="AH104" s="36"/>
      <c r="AI104" s="37"/>
    </row>
    <row r="105" customFormat="false" ht="18.75" hidden="false" customHeight="false" outlineLevel="0" collapsed="false">
      <c r="A105" s="40" t="s">
        <v>140</v>
      </c>
      <c r="B105" s="105" t="s">
        <v>141</v>
      </c>
      <c r="C105" s="105"/>
      <c r="D105" s="105"/>
      <c r="E105" s="106" t="s">
        <v>31</v>
      </c>
      <c r="F105" s="106"/>
      <c r="G105" s="106"/>
      <c r="H105" s="104"/>
      <c r="J105" s="40" t="s">
        <v>140</v>
      </c>
      <c r="K105" s="105" t="s">
        <v>141</v>
      </c>
      <c r="L105" s="105"/>
      <c r="M105" s="105"/>
      <c r="N105" s="106" t="s">
        <v>31</v>
      </c>
      <c r="O105" s="106"/>
      <c r="P105" s="106"/>
      <c r="Q105" s="104"/>
      <c r="S105" s="40" t="s">
        <v>140</v>
      </c>
      <c r="T105" s="105" t="s">
        <v>141</v>
      </c>
      <c r="U105" s="105"/>
      <c r="V105" s="105"/>
      <c r="W105" s="106" t="s">
        <v>31</v>
      </c>
      <c r="X105" s="106"/>
      <c r="Y105" s="106"/>
      <c r="Z105" s="104"/>
      <c r="AB105" s="40" t="s">
        <v>140</v>
      </c>
      <c r="AC105" s="105" t="s">
        <v>141</v>
      </c>
      <c r="AD105" s="105"/>
      <c r="AE105" s="105"/>
      <c r="AF105" s="106" t="s">
        <v>31</v>
      </c>
      <c r="AG105" s="106"/>
      <c r="AH105" s="106"/>
      <c r="AI105" s="104"/>
    </row>
    <row r="106" customFormat="false" ht="18.75" hidden="false" customHeight="false" outlineLevel="0" collapsed="false">
      <c r="A106" s="35"/>
      <c r="B106" s="36"/>
      <c r="C106" s="36"/>
      <c r="D106" s="27"/>
      <c r="E106" s="36"/>
      <c r="F106" s="36"/>
      <c r="G106" s="27"/>
      <c r="H106" s="37"/>
      <c r="J106" s="35"/>
      <c r="K106" s="36"/>
      <c r="L106" s="36"/>
      <c r="M106" s="27"/>
      <c r="N106" s="36"/>
      <c r="O106" s="36"/>
      <c r="P106" s="27"/>
      <c r="Q106" s="37"/>
      <c r="S106" s="35"/>
      <c r="T106" s="36"/>
      <c r="U106" s="36"/>
      <c r="V106" s="27"/>
      <c r="W106" s="36"/>
      <c r="X106" s="36"/>
      <c r="Y106" s="27"/>
      <c r="Z106" s="37"/>
      <c r="AB106" s="35"/>
      <c r="AC106" s="36"/>
      <c r="AD106" s="36"/>
      <c r="AE106" s="27"/>
      <c r="AF106" s="36"/>
      <c r="AG106" s="36"/>
      <c r="AH106" s="27"/>
      <c r="AI106" s="37"/>
    </row>
    <row r="107" customFormat="false" ht="18.75" hidden="false" customHeight="false" outlineLevel="0" collapsed="false">
      <c r="A107" s="35" t="s">
        <v>142</v>
      </c>
      <c r="B107" s="36" t="s">
        <v>143</v>
      </c>
      <c r="C107" s="36"/>
      <c r="D107" s="27"/>
      <c r="E107" s="36" t="s">
        <v>144</v>
      </c>
      <c r="F107" s="36"/>
      <c r="G107" s="27"/>
      <c r="H107" s="104"/>
      <c r="J107" s="35" t="s">
        <v>142</v>
      </c>
      <c r="K107" s="36" t="s">
        <v>143</v>
      </c>
      <c r="L107" s="36"/>
      <c r="M107" s="27"/>
      <c r="N107" s="36" t="s">
        <v>144</v>
      </c>
      <c r="O107" s="36"/>
      <c r="P107" s="27"/>
      <c r="Q107" s="104"/>
      <c r="S107" s="35" t="s">
        <v>142</v>
      </c>
      <c r="T107" s="36" t="s">
        <v>143</v>
      </c>
      <c r="U107" s="36"/>
      <c r="V107" s="27"/>
      <c r="W107" s="36" t="s">
        <v>144</v>
      </c>
      <c r="X107" s="36"/>
      <c r="Y107" s="27"/>
      <c r="Z107" s="104"/>
      <c r="AB107" s="35" t="s">
        <v>142</v>
      </c>
      <c r="AC107" s="36" t="s">
        <v>143</v>
      </c>
      <c r="AD107" s="36"/>
      <c r="AE107" s="27"/>
      <c r="AF107" s="36" t="s">
        <v>144</v>
      </c>
      <c r="AG107" s="36"/>
      <c r="AH107" s="27"/>
      <c r="AI107" s="104"/>
    </row>
    <row r="108" customFormat="false" ht="18.75" hidden="false" customHeight="false" outlineLevel="0" collapsed="false">
      <c r="A108" s="108" t="n">
        <v>0.2</v>
      </c>
      <c r="B108" s="109" t="s">
        <v>9</v>
      </c>
      <c r="C108" s="109"/>
      <c r="D108" s="109"/>
      <c r="E108" s="110" t="n">
        <f aca="false">B83</f>
        <v>0.125</v>
      </c>
      <c r="F108" s="110"/>
      <c r="G108" s="110"/>
      <c r="H108" s="51"/>
      <c r="J108" s="108" t="n">
        <v>0.3</v>
      </c>
      <c r="K108" s="109" t="s">
        <v>145</v>
      </c>
      <c r="L108" s="109"/>
      <c r="M108" s="109"/>
      <c r="N108" s="110" t="n">
        <f aca="false">K83</f>
        <v>0.24</v>
      </c>
      <c r="O108" s="110"/>
      <c r="P108" s="110"/>
      <c r="Q108" s="51"/>
      <c r="S108" s="108" t="n">
        <v>0.2</v>
      </c>
      <c r="T108" s="109" t="s">
        <v>146</v>
      </c>
      <c r="U108" s="109"/>
      <c r="V108" s="109"/>
      <c r="W108" s="110" t="n">
        <f aca="false">T83</f>
        <v>0.131</v>
      </c>
      <c r="X108" s="110"/>
      <c r="Y108" s="110"/>
      <c r="Z108" s="51"/>
      <c r="AB108" s="108" t="n">
        <v>0.2</v>
      </c>
      <c r="AC108" s="109" t="s">
        <v>146</v>
      </c>
      <c r="AD108" s="109"/>
      <c r="AE108" s="109"/>
      <c r="AF108" s="111" t="n">
        <f aca="false">AC83</f>
        <v>0.131</v>
      </c>
      <c r="AG108" s="111"/>
      <c r="AH108" s="111"/>
      <c r="AI108" s="51"/>
      <c r="AP108" s="6" t="s">
        <v>147</v>
      </c>
    </row>
    <row r="109" customFormat="false" ht="18.75" hidden="false" customHeight="false" outlineLevel="0" collapsed="false">
      <c r="A109" s="35"/>
      <c r="B109" s="36"/>
      <c r="C109" s="36"/>
      <c r="D109" s="36"/>
      <c r="E109" s="36"/>
      <c r="F109" s="36"/>
      <c r="G109" s="36"/>
      <c r="H109" s="37"/>
      <c r="J109" s="35"/>
      <c r="K109" s="36"/>
      <c r="L109" s="36"/>
      <c r="M109" s="36"/>
      <c r="N109" s="36"/>
      <c r="O109" s="36"/>
      <c r="P109" s="36"/>
      <c r="Q109" s="37"/>
      <c r="S109" s="35"/>
      <c r="T109" s="36"/>
      <c r="U109" s="36"/>
      <c r="V109" s="36"/>
      <c r="W109" s="36"/>
      <c r="X109" s="36"/>
      <c r="Y109" s="36"/>
      <c r="Z109" s="37"/>
      <c r="AB109" s="35"/>
      <c r="AC109" s="36"/>
      <c r="AD109" s="36"/>
      <c r="AE109" s="36"/>
      <c r="AF109" s="36"/>
      <c r="AG109" s="36"/>
      <c r="AH109" s="36"/>
      <c r="AI109" s="37"/>
      <c r="AP109" s="6" t="s">
        <v>145</v>
      </c>
    </row>
    <row r="110" customFormat="false" ht="18.75" hidden="false" customHeight="false" outlineLevel="0" collapsed="false">
      <c r="A110" s="35" t="s">
        <v>148</v>
      </c>
      <c r="B110" s="36" t="s">
        <v>149</v>
      </c>
      <c r="C110" s="36"/>
      <c r="D110" s="36"/>
      <c r="E110" s="36" t="s">
        <v>150</v>
      </c>
      <c r="F110" s="36"/>
      <c r="G110" s="36"/>
      <c r="H110" s="37"/>
      <c r="J110" s="35" t="s">
        <v>148</v>
      </c>
      <c r="K110" s="36" t="s">
        <v>149</v>
      </c>
      <c r="L110" s="36"/>
      <c r="M110" s="36"/>
      <c r="N110" s="36" t="s">
        <v>150</v>
      </c>
      <c r="O110" s="36"/>
      <c r="P110" s="36"/>
      <c r="Q110" s="37"/>
      <c r="S110" s="35" t="s">
        <v>148</v>
      </c>
      <c r="T110" s="36" t="s">
        <v>149</v>
      </c>
      <c r="U110" s="36"/>
      <c r="V110" s="36"/>
      <c r="W110" s="36" t="s">
        <v>150</v>
      </c>
      <c r="X110" s="36"/>
      <c r="Y110" s="36"/>
      <c r="Z110" s="37"/>
      <c r="AB110" s="35" t="s">
        <v>148</v>
      </c>
      <c r="AC110" s="36" t="s">
        <v>149</v>
      </c>
      <c r="AD110" s="36"/>
      <c r="AE110" s="36"/>
      <c r="AF110" s="36" t="s">
        <v>150</v>
      </c>
      <c r="AG110" s="36"/>
      <c r="AH110" s="36"/>
      <c r="AI110" s="37"/>
    </row>
    <row r="111" customFormat="false" ht="18.75" hidden="false" customHeight="false" outlineLevel="0" collapsed="false">
      <c r="A111" s="44" t="s">
        <v>31</v>
      </c>
      <c r="B111" s="109" t="n">
        <v>1000</v>
      </c>
      <c r="C111" s="109"/>
      <c r="D111" s="109"/>
      <c r="E111" s="109" t="n">
        <v>1000</v>
      </c>
      <c r="F111" s="109"/>
      <c r="G111" s="109"/>
      <c r="H111" s="104"/>
      <c r="J111" s="44" t="s">
        <v>32</v>
      </c>
      <c r="K111" s="109" t="n">
        <v>1000</v>
      </c>
      <c r="L111" s="109"/>
      <c r="M111" s="109"/>
      <c r="N111" s="109" t="n">
        <v>0</v>
      </c>
      <c r="O111" s="109"/>
      <c r="P111" s="109"/>
      <c r="Q111" s="104"/>
      <c r="S111" s="44" t="s">
        <v>31</v>
      </c>
      <c r="T111" s="109" t="n">
        <v>1000</v>
      </c>
      <c r="U111" s="109"/>
      <c r="V111" s="109"/>
      <c r="W111" s="109" t="n">
        <v>0</v>
      </c>
      <c r="X111" s="109"/>
      <c r="Y111" s="109"/>
      <c r="Z111" s="104"/>
      <c r="AB111" s="44" t="s">
        <v>31</v>
      </c>
      <c r="AC111" s="109" t="n">
        <v>1000</v>
      </c>
      <c r="AD111" s="109"/>
      <c r="AE111" s="109"/>
      <c r="AF111" s="109" t="n">
        <v>0</v>
      </c>
      <c r="AG111" s="109"/>
      <c r="AH111" s="109"/>
      <c r="AI111" s="104"/>
    </row>
    <row r="112" customFormat="false" ht="18.75" hidden="false" customHeight="false" outlineLevel="0" collapsed="false">
      <c r="A112" s="35"/>
      <c r="B112" s="36"/>
      <c r="C112" s="36"/>
      <c r="D112" s="36"/>
      <c r="E112" s="36"/>
      <c r="F112" s="36"/>
      <c r="G112" s="27"/>
      <c r="H112" s="104"/>
      <c r="J112" s="35"/>
      <c r="K112" s="36"/>
      <c r="L112" s="36"/>
      <c r="M112" s="36"/>
      <c r="N112" s="36"/>
      <c r="O112" s="36"/>
      <c r="P112" s="27"/>
      <c r="Q112" s="104"/>
      <c r="S112" s="35"/>
      <c r="T112" s="36"/>
      <c r="U112" s="36"/>
      <c r="V112" s="36"/>
      <c r="W112" s="36"/>
      <c r="X112" s="36"/>
      <c r="Y112" s="27"/>
      <c r="Z112" s="104"/>
      <c r="AB112" s="35"/>
      <c r="AC112" s="36"/>
      <c r="AD112" s="36"/>
      <c r="AE112" s="36"/>
      <c r="AF112" s="36"/>
      <c r="AG112" s="36"/>
      <c r="AH112" s="27"/>
      <c r="AI112" s="104"/>
    </row>
    <row r="113" customFormat="false" ht="18.75" hidden="false" customHeight="false" outlineLevel="0" collapsed="false">
      <c r="A113" s="112" t="s">
        <v>151</v>
      </c>
      <c r="B113" s="36" t="s">
        <v>152</v>
      </c>
      <c r="C113" s="36"/>
      <c r="D113" s="36"/>
      <c r="E113" s="36" t="s">
        <v>153</v>
      </c>
      <c r="F113" s="36"/>
      <c r="G113" s="27"/>
      <c r="H113" s="104"/>
      <c r="J113" s="112" t="s">
        <v>151</v>
      </c>
      <c r="K113" s="36" t="s">
        <v>152</v>
      </c>
      <c r="L113" s="36"/>
      <c r="M113" s="36"/>
      <c r="N113" s="36" t="s">
        <v>153</v>
      </c>
      <c r="O113" s="36"/>
      <c r="P113" s="27"/>
      <c r="Q113" s="104"/>
      <c r="S113" s="112" t="s">
        <v>151</v>
      </c>
      <c r="T113" s="36" t="s">
        <v>152</v>
      </c>
      <c r="U113" s="36"/>
      <c r="V113" s="36"/>
      <c r="W113" s="36" t="s">
        <v>153</v>
      </c>
      <c r="X113" s="36"/>
      <c r="Y113" s="27"/>
      <c r="Z113" s="104"/>
      <c r="AB113" s="112" t="s">
        <v>151</v>
      </c>
      <c r="AC113" s="36" t="s">
        <v>152</v>
      </c>
      <c r="AD113" s="36"/>
      <c r="AE113" s="36"/>
      <c r="AF113" s="36" t="s">
        <v>153</v>
      </c>
      <c r="AG113" s="36"/>
      <c r="AH113" s="27"/>
      <c r="AI113" s="104"/>
    </row>
    <row r="114" customFormat="false" ht="18.75" hidden="false" customHeight="false" outlineLevel="0" collapsed="false">
      <c r="A114" s="113" t="n">
        <f aca="false">B111+E111</f>
        <v>2000</v>
      </c>
      <c r="B114" s="109" t="n">
        <v>199.991666666667</v>
      </c>
      <c r="C114" s="109"/>
      <c r="D114" s="109"/>
      <c r="E114" s="109" t="n">
        <v>0</v>
      </c>
      <c r="F114" s="109"/>
      <c r="G114" s="109"/>
      <c r="H114" s="104"/>
      <c r="J114" s="113" t="n">
        <f aca="false">K111+N111</f>
        <v>1000</v>
      </c>
      <c r="K114" s="109" t="n">
        <v>239.99</v>
      </c>
      <c r="L114" s="109"/>
      <c r="M114" s="109"/>
      <c r="N114" s="109" t="n">
        <v>0</v>
      </c>
      <c r="O114" s="109"/>
      <c r="P114" s="109"/>
      <c r="Q114" s="104"/>
      <c r="S114" s="113" t="n">
        <f aca="false">T111+W111</f>
        <v>1000</v>
      </c>
      <c r="T114" s="109" t="n">
        <v>199.99</v>
      </c>
      <c r="U114" s="109"/>
      <c r="V114" s="109"/>
      <c r="W114" s="109" t="n">
        <v>0</v>
      </c>
      <c r="X114" s="109"/>
      <c r="Y114" s="109"/>
      <c r="Z114" s="104"/>
      <c r="AB114" s="113" t="n">
        <f aca="false">AC111+AF111</f>
        <v>1000</v>
      </c>
      <c r="AC114" s="109" t="n">
        <v>239.99</v>
      </c>
      <c r="AD114" s="109"/>
      <c r="AE114" s="109"/>
      <c r="AF114" s="109" t="n">
        <v>0</v>
      </c>
      <c r="AG114" s="109"/>
      <c r="AH114" s="109"/>
      <c r="AI114" s="104"/>
    </row>
    <row r="115" customFormat="false" ht="18.75" hidden="false" customHeight="false" outlineLevel="0" collapsed="false">
      <c r="A115" s="114"/>
      <c r="B115" s="27"/>
      <c r="C115" s="27"/>
      <c r="D115" s="27"/>
      <c r="E115" s="27"/>
      <c r="F115" s="27"/>
      <c r="G115" s="27"/>
      <c r="H115" s="104"/>
      <c r="J115" s="114"/>
      <c r="K115" s="27"/>
      <c r="L115" s="27"/>
      <c r="M115" s="27"/>
      <c r="N115" s="27"/>
      <c r="O115" s="27"/>
      <c r="P115" s="27"/>
      <c r="Q115" s="104"/>
      <c r="S115" s="114"/>
      <c r="T115" s="27"/>
      <c r="U115" s="27"/>
      <c r="V115" s="27"/>
      <c r="W115" s="27"/>
      <c r="X115" s="27"/>
      <c r="Y115" s="27"/>
      <c r="Z115" s="104"/>
      <c r="AB115" s="114"/>
      <c r="AC115" s="27"/>
      <c r="AD115" s="27"/>
      <c r="AE115" s="27"/>
      <c r="AF115" s="27"/>
      <c r="AG115" s="27"/>
      <c r="AH115" s="27"/>
      <c r="AI115" s="104"/>
    </row>
    <row r="116" customFormat="false" ht="18.75" hidden="false" customHeight="false" outlineLevel="0" collapsed="false">
      <c r="A116" s="114"/>
      <c r="B116" s="27"/>
      <c r="C116" s="27"/>
      <c r="D116" s="27"/>
      <c r="E116" s="27"/>
      <c r="F116" s="27"/>
      <c r="G116" s="27"/>
      <c r="H116" s="104"/>
      <c r="J116" s="114"/>
      <c r="K116" s="27"/>
      <c r="L116" s="27"/>
      <c r="M116" s="27"/>
      <c r="N116" s="27"/>
      <c r="O116" s="27"/>
      <c r="P116" s="27"/>
      <c r="Q116" s="104"/>
      <c r="S116" s="114"/>
      <c r="T116" s="27"/>
      <c r="U116" s="27"/>
      <c r="V116" s="27"/>
      <c r="W116" s="27"/>
      <c r="X116" s="27"/>
      <c r="Y116" s="27"/>
      <c r="Z116" s="104"/>
      <c r="AB116" s="114"/>
      <c r="AC116" s="27"/>
      <c r="AD116" s="27"/>
      <c r="AE116" s="27"/>
      <c r="AF116" s="27"/>
      <c r="AG116" s="27"/>
      <c r="AH116" s="27"/>
      <c r="AI116" s="104"/>
    </row>
    <row r="117" customFormat="false" ht="22.05" hidden="false" customHeight="false" outlineLevel="0" collapsed="false">
      <c r="A117" s="32" t="n">
        <v>0.3</v>
      </c>
      <c r="B117" s="32"/>
      <c r="C117" s="32"/>
      <c r="D117" s="32"/>
      <c r="E117" s="32"/>
      <c r="F117" s="32"/>
      <c r="G117" s="32"/>
      <c r="H117" s="32"/>
      <c r="J117" s="32" t="s">
        <v>154</v>
      </c>
      <c r="K117" s="32"/>
      <c r="L117" s="32"/>
      <c r="M117" s="32"/>
      <c r="N117" s="32"/>
      <c r="O117" s="32"/>
      <c r="P117" s="32"/>
      <c r="Q117" s="32"/>
      <c r="S117" s="32" t="s">
        <v>154</v>
      </c>
      <c r="T117" s="32"/>
      <c r="U117" s="32"/>
      <c r="V117" s="32"/>
      <c r="W117" s="32"/>
      <c r="X117" s="32"/>
      <c r="Y117" s="32"/>
      <c r="Z117" s="32"/>
      <c r="AB117" s="32" t="s">
        <v>154</v>
      </c>
      <c r="AC117" s="32"/>
      <c r="AD117" s="32"/>
      <c r="AE117" s="32"/>
      <c r="AF117" s="32"/>
      <c r="AG117" s="32"/>
      <c r="AH117" s="32"/>
      <c r="AI117" s="32"/>
    </row>
    <row r="118" customFormat="false" ht="18.75" hidden="false" customHeight="false" outlineLevel="0" collapsed="false">
      <c r="A118" s="114"/>
      <c r="B118" s="27"/>
      <c r="C118" s="27"/>
      <c r="D118" s="27"/>
      <c r="E118" s="27"/>
      <c r="F118" s="27"/>
      <c r="G118" s="27"/>
      <c r="H118" s="104"/>
      <c r="J118" s="114"/>
      <c r="K118" s="27"/>
      <c r="L118" s="27"/>
      <c r="M118" s="27"/>
      <c r="N118" s="27"/>
      <c r="O118" s="27"/>
      <c r="P118" s="27"/>
      <c r="Q118" s="104"/>
      <c r="S118" s="114"/>
      <c r="T118" s="27"/>
      <c r="U118" s="27"/>
      <c r="V118" s="27"/>
      <c r="W118" s="27"/>
      <c r="X118" s="27"/>
      <c r="Y118" s="27"/>
      <c r="Z118" s="104"/>
      <c r="AB118" s="114"/>
      <c r="AC118" s="27"/>
      <c r="AD118" s="27"/>
      <c r="AE118" s="27"/>
      <c r="AF118" s="27"/>
      <c r="AG118" s="27"/>
      <c r="AH118" s="27"/>
      <c r="AI118" s="104"/>
    </row>
    <row r="119" customFormat="false" ht="19.7" hidden="false" customHeight="false" outlineLevel="0" collapsed="false">
      <c r="A119" s="82"/>
      <c r="B119" s="115" t="s">
        <v>155</v>
      </c>
      <c r="C119" s="115"/>
      <c r="D119" s="115" t="s">
        <v>156</v>
      </c>
      <c r="E119" s="115"/>
      <c r="F119" s="115" t="s">
        <v>157</v>
      </c>
      <c r="G119" s="115"/>
      <c r="H119" s="116" t="s">
        <v>158</v>
      </c>
      <c r="J119" s="82"/>
      <c r="K119" s="115" t="s">
        <v>155</v>
      </c>
      <c r="L119" s="115"/>
      <c r="M119" s="115" t="s">
        <v>156</v>
      </c>
      <c r="N119" s="115"/>
      <c r="O119" s="115" t="s">
        <v>157</v>
      </c>
      <c r="P119" s="115"/>
      <c r="Q119" s="116" t="s">
        <v>158</v>
      </c>
      <c r="S119" s="82"/>
      <c r="T119" s="115" t="s">
        <v>155</v>
      </c>
      <c r="U119" s="115"/>
      <c r="V119" s="115" t="s">
        <v>156</v>
      </c>
      <c r="W119" s="115"/>
      <c r="X119" s="115" t="s">
        <v>157</v>
      </c>
      <c r="Y119" s="115"/>
      <c r="Z119" s="116" t="s">
        <v>158</v>
      </c>
      <c r="AB119" s="82"/>
      <c r="AC119" s="115" t="s">
        <v>155</v>
      </c>
      <c r="AD119" s="115"/>
      <c r="AE119" s="115" t="s">
        <v>156</v>
      </c>
      <c r="AF119" s="115"/>
      <c r="AG119" s="115" t="s">
        <v>157</v>
      </c>
      <c r="AH119" s="115"/>
      <c r="AI119" s="116" t="s">
        <v>158</v>
      </c>
    </row>
    <row r="120" customFormat="false" ht="19.7" hidden="false" customHeight="false" outlineLevel="0" collapsed="false">
      <c r="A120" s="84"/>
      <c r="B120" s="117" t="s">
        <v>159</v>
      </c>
      <c r="C120" s="118" t="s">
        <v>160</v>
      </c>
      <c r="D120" s="117" t="s">
        <v>159</v>
      </c>
      <c r="E120" s="119" t="s">
        <v>160</v>
      </c>
      <c r="F120" s="117" t="s">
        <v>159</v>
      </c>
      <c r="G120" s="119" t="s">
        <v>160</v>
      </c>
      <c r="H120" s="120"/>
      <c r="J120" s="84"/>
      <c r="K120" s="117" t="s">
        <v>159</v>
      </c>
      <c r="L120" s="118" t="s">
        <v>160</v>
      </c>
      <c r="M120" s="117" t="s">
        <v>159</v>
      </c>
      <c r="N120" s="119" t="s">
        <v>160</v>
      </c>
      <c r="O120" s="117" t="s">
        <v>159</v>
      </c>
      <c r="P120" s="119" t="s">
        <v>160</v>
      </c>
      <c r="Q120" s="120"/>
      <c r="S120" s="84"/>
      <c r="T120" s="117" t="s">
        <v>159</v>
      </c>
      <c r="U120" s="118" t="s">
        <v>160</v>
      </c>
      <c r="V120" s="117" t="s">
        <v>159</v>
      </c>
      <c r="W120" s="119" t="s">
        <v>160</v>
      </c>
      <c r="X120" s="117" t="s">
        <v>159</v>
      </c>
      <c r="Y120" s="119" t="s">
        <v>160</v>
      </c>
      <c r="Z120" s="120"/>
      <c r="AB120" s="84"/>
      <c r="AC120" s="117" t="s">
        <v>159</v>
      </c>
      <c r="AD120" s="118" t="s">
        <v>160</v>
      </c>
      <c r="AE120" s="117" t="s">
        <v>159</v>
      </c>
      <c r="AF120" s="119" t="s">
        <v>160</v>
      </c>
      <c r="AG120" s="117" t="s">
        <v>159</v>
      </c>
      <c r="AH120" s="119" t="s">
        <v>160</v>
      </c>
      <c r="AI120" s="120"/>
    </row>
    <row r="121" customFormat="false" ht="18.75" hidden="false" customHeight="false" outlineLevel="0" collapsed="false">
      <c r="A121" s="29" t="s">
        <v>161</v>
      </c>
      <c r="B121" s="29" t="n">
        <f aca="false">B3</f>
        <v>44008.33</v>
      </c>
      <c r="C121" s="44" t="n">
        <f aca="false">B121</f>
        <v>44008.33</v>
      </c>
      <c r="D121" s="29" t="n">
        <f aca="false">D3</f>
        <v>0</v>
      </c>
      <c r="E121" s="44" t="n">
        <f aca="false">D121</f>
        <v>0</v>
      </c>
      <c r="F121" s="29" t="n">
        <f aca="false">F3</f>
        <v>0</v>
      </c>
      <c r="G121" s="44" t="n">
        <f aca="false">F121</f>
        <v>0</v>
      </c>
      <c r="H121" s="121" t="n">
        <f aca="false">H3</f>
        <v>0</v>
      </c>
      <c r="J121" s="29" t="s">
        <v>161</v>
      </c>
      <c r="K121" s="29" t="n">
        <f aca="false">B3</f>
        <v>44008.33</v>
      </c>
      <c r="L121" s="44" t="n">
        <v>28629.17</v>
      </c>
      <c r="M121" s="29" t="n">
        <f aca="false">D3</f>
        <v>0</v>
      </c>
      <c r="N121" s="44" t="n">
        <f aca="false">M121</f>
        <v>0</v>
      </c>
      <c r="O121" s="29" t="n">
        <f aca="false">F3</f>
        <v>0</v>
      </c>
      <c r="P121" s="44" t="n">
        <f aca="false">O121</f>
        <v>0</v>
      </c>
      <c r="Q121" s="121" t="n">
        <f aca="false">H3</f>
        <v>0</v>
      </c>
      <c r="S121" s="29" t="s">
        <v>161</v>
      </c>
      <c r="T121" s="29" t="n">
        <f aca="false">B3</f>
        <v>44008.33</v>
      </c>
      <c r="U121" s="44" t="n">
        <f aca="false">T121</f>
        <v>44008.33</v>
      </c>
      <c r="V121" s="29" t="n">
        <f aca="false">D3</f>
        <v>0</v>
      </c>
      <c r="W121" s="44" t="n">
        <f aca="false">V121</f>
        <v>0</v>
      </c>
      <c r="X121" s="29" t="n">
        <f aca="false">F3</f>
        <v>0</v>
      </c>
      <c r="Y121" s="44" t="n">
        <f aca="false">X121</f>
        <v>0</v>
      </c>
      <c r="Z121" s="121" t="n">
        <f aca="false">H3</f>
        <v>0</v>
      </c>
      <c r="AB121" s="29" t="s">
        <v>161</v>
      </c>
      <c r="AC121" s="29" t="n">
        <f aca="false">B3</f>
        <v>44008.33</v>
      </c>
      <c r="AD121" s="44" t="n">
        <f aca="false">AC121</f>
        <v>44008.33</v>
      </c>
      <c r="AE121" s="29" t="n">
        <f aca="false">D3</f>
        <v>0</v>
      </c>
      <c r="AF121" s="44" t="n">
        <f aca="false">AE121</f>
        <v>0</v>
      </c>
      <c r="AG121" s="29" t="n">
        <f aca="false">F3</f>
        <v>0</v>
      </c>
      <c r="AH121" s="44" t="n">
        <f aca="false">AG121</f>
        <v>0</v>
      </c>
      <c r="AI121" s="121" t="n">
        <f aca="false">H3</f>
        <v>0</v>
      </c>
    </row>
    <row r="122" customFormat="false" ht="18.75" hidden="false" customHeight="false" outlineLevel="0" collapsed="false">
      <c r="A122" s="35" t="s">
        <v>162</v>
      </c>
      <c r="B122" s="122" t="n">
        <f aca="false">B4</f>
        <v>10</v>
      </c>
      <c r="C122" s="123" t="n">
        <v>0</v>
      </c>
      <c r="D122" s="122" t="n">
        <f aca="false">D4</f>
        <v>0</v>
      </c>
      <c r="E122" s="123" t="n">
        <v>0</v>
      </c>
      <c r="F122" s="122" t="n">
        <f aca="false">F4</f>
        <v>0</v>
      </c>
      <c r="G122" s="363" t="n">
        <v>0</v>
      </c>
      <c r="H122" s="125"/>
      <c r="J122" s="35" t="s">
        <v>162</v>
      </c>
      <c r="K122" s="122" t="n">
        <f aca="false">B4</f>
        <v>10</v>
      </c>
      <c r="L122" s="123" t="n">
        <v>0</v>
      </c>
      <c r="M122" s="122" t="n">
        <f aca="false">D4</f>
        <v>0</v>
      </c>
      <c r="N122" s="123" t="n">
        <f aca="false">M122</f>
        <v>0</v>
      </c>
      <c r="O122" s="122" t="n">
        <f aca="false">F4</f>
        <v>0</v>
      </c>
      <c r="P122" s="124" t="n">
        <f aca="false">O122</f>
        <v>0</v>
      </c>
      <c r="Q122" s="125"/>
      <c r="S122" s="35" t="s">
        <v>162</v>
      </c>
      <c r="T122" s="122" t="n">
        <f aca="false">B4</f>
        <v>10</v>
      </c>
      <c r="U122" s="123" t="n">
        <v>0.25</v>
      </c>
      <c r="V122" s="122" t="n">
        <f aca="false">D4</f>
        <v>0</v>
      </c>
      <c r="W122" s="123" t="n">
        <f aca="false">V122</f>
        <v>0</v>
      </c>
      <c r="X122" s="122" t="n">
        <f aca="false">F4</f>
        <v>0</v>
      </c>
      <c r="Y122" s="124" t="n">
        <f aca="false">X122</f>
        <v>0</v>
      </c>
      <c r="Z122" s="125"/>
      <c r="AB122" s="35" t="s">
        <v>162</v>
      </c>
      <c r="AC122" s="122" t="n">
        <f aca="false">B4</f>
        <v>10</v>
      </c>
      <c r="AD122" s="123" t="n">
        <v>0.25</v>
      </c>
      <c r="AE122" s="122" t="n">
        <f aca="false">D4</f>
        <v>0</v>
      </c>
      <c r="AF122" s="123" t="n">
        <f aca="false">AE122</f>
        <v>0</v>
      </c>
      <c r="AG122" s="122" t="n">
        <f aca="false">F4</f>
        <v>0</v>
      </c>
      <c r="AH122" s="124" t="n">
        <f aca="false">AG122</f>
        <v>0</v>
      </c>
      <c r="AI122" s="125"/>
    </row>
    <row r="123" customFormat="false" ht="18.75" hidden="false" customHeight="false" outlineLevel="0" collapsed="false">
      <c r="A123" s="35" t="s">
        <v>163</v>
      </c>
      <c r="B123" s="35" t="n">
        <f aca="false">B5</f>
        <v>22</v>
      </c>
      <c r="C123" s="44" t="n">
        <v>-4445.5</v>
      </c>
      <c r="D123" s="35" t="n">
        <f aca="false">D5</f>
        <v>0</v>
      </c>
      <c r="E123" s="44" t="n">
        <v>0</v>
      </c>
      <c r="F123" s="35" t="n">
        <f aca="false">F5</f>
        <v>0</v>
      </c>
      <c r="G123" s="44" t="n">
        <v>0</v>
      </c>
      <c r="H123" s="37"/>
      <c r="J123" s="35" t="s">
        <v>163</v>
      </c>
      <c r="K123" s="35" t="n">
        <f aca="false">B5</f>
        <v>22</v>
      </c>
      <c r="L123" s="44" t="n">
        <v>0</v>
      </c>
      <c r="M123" s="35" t="n">
        <f aca="false">D5</f>
        <v>0</v>
      </c>
      <c r="N123" s="44" t="n">
        <f aca="false">M123</f>
        <v>0</v>
      </c>
      <c r="O123" s="35" t="n">
        <f aca="false">F5</f>
        <v>0</v>
      </c>
      <c r="P123" s="44" t="n">
        <f aca="false">O123</f>
        <v>0</v>
      </c>
      <c r="Q123" s="37"/>
      <c r="S123" s="35" t="s">
        <v>163</v>
      </c>
      <c r="T123" s="35" t="n">
        <f aca="false">B5</f>
        <v>22</v>
      </c>
      <c r="U123" s="44" t="n">
        <v>0</v>
      </c>
      <c r="V123" s="35" t="n">
        <f aca="false">D5</f>
        <v>0</v>
      </c>
      <c r="W123" s="44" t="n">
        <f aca="false">V123</f>
        <v>0</v>
      </c>
      <c r="X123" s="35" t="n">
        <f aca="false">F5</f>
        <v>0</v>
      </c>
      <c r="Y123" s="44" t="n">
        <f aca="false">X123</f>
        <v>0</v>
      </c>
      <c r="Z123" s="37"/>
      <c r="AB123" s="35" t="s">
        <v>163</v>
      </c>
      <c r="AC123" s="35" t="n">
        <f aca="false">B5</f>
        <v>22</v>
      </c>
      <c r="AD123" s="44" t="n">
        <v>0</v>
      </c>
      <c r="AE123" s="35" t="n">
        <f aca="false">D5</f>
        <v>0</v>
      </c>
      <c r="AF123" s="44" t="n">
        <f aca="false">AE123</f>
        <v>0</v>
      </c>
      <c r="AG123" s="35" t="n">
        <f aca="false">F5</f>
        <v>0</v>
      </c>
      <c r="AH123" s="44" t="n">
        <f aca="false">AG123</f>
        <v>0</v>
      </c>
      <c r="AI123" s="37"/>
    </row>
    <row r="124" customFormat="false" ht="18.75" hidden="false" customHeight="false" outlineLevel="0" collapsed="false">
      <c r="A124" s="35" t="s">
        <v>164</v>
      </c>
      <c r="B124" s="35" t="n">
        <f aca="false">(B121*B122)+B123</f>
        <v>440105.3</v>
      </c>
      <c r="C124" s="31" t="n">
        <f aca="false">(C121*C122/100)+C123</f>
        <v>-3796.7703</v>
      </c>
      <c r="D124" s="35" t="n">
        <f aca="false">(D121*D122)+D123</f>
        <v>0</v>
      </c>
      <c r="E124" s="31" t="n">
        <f aca="false">(E121*E122/100)+E123</f>
        <v>0</v>
      </c>
      <c r="F124" s="35" t="n">
        <f aca="false">(F121*F122)+F123</f>
        <v>0</v>
      </c>
      <c r="G124" s="31" t="n">
        <f aca="false">(G121*G122/100)+G123</f>
        <v>0</v>
      </c>
      <c r="H124" s="37"/>
      <c r="J124" s="35" t="s">
        <v>164</v>
      </c>
      <c r="K124" s="35" t="n">
        <f aca="false">(K121*K122)+K123</f>
        <v>440105.3</v>
      </c>
      <c r="L124" s="31" t="n">
        <f aca="false">(L121*L122)+L123</f>
        <v>0</v>
      </c>
      <c r="M124" s="35" t="n">
        <f aca="false">(M121*M122)+M123</f>
        <v>0</v>
      </c>
      <c r="N124" s="31" t="n">
        <f aca="false">(N121*N122)+N123</f>
        <v>0</v>
      </c>
      <c r="O124" s="35" t="n">
        <f aca="false">(O121*O122)+O123</f>
        <v>0</v>
      </c>
      <c r="P124" s="31" t="n">
        <f aca="false">(P121*P122)+P123</f>
        <v>0</v>
      </c>
      <c r="Q124" s="37"/>
      <c r="S124" s="35" t="s">
        <v>164</v>
      </c>
      <c r="T124" s="35" t="n">
        <f aca="false">(T121*T122)+T123</f>
        <v>440105.3</v>
      </c>
      <c r="U124" s="31" t="n">
        <f aca="false">(U121*U122/100)+U123</f>
        <v>110.020825</v>
      </c>
      <c r="V124" s="35" t="n">
        <f aca="false">(V121*V122)+V123</f>
        <v>0</v>
      </c>
      <c r="W124" s="31" t="n">
        <f aca="false">(W121*W122/100)+W123</f>
        <v>0</v>
      </c>
      <c r="X124" s="35" t="n">
        <f aca="false">(X121*X122)+X123</f>
        <v>0</v>
      </c>
      <c r="Y124" s="31" t="n">
        <f aca="false">(Y121*Y122/100)+Y123</f>
        <v>0</v>
      </c>
      <c r="Z124" s="37"/>
      <c r="AB124" s="35" t="s">
        <v>164</v>
      </c>
      <c r="AC124" s="35" t="n">
        <f aca="false">(AC121*AC122)+AC123</f>
        <v>440105.3</v>
      </c>
      <c r="AD124" s="31" t="n">
        <f aca="false">(AD121*AD122)+AD123</f>
        <v>11002.0825</v>
      </c>
      <c r="AE124" s="35" t="n">
        <f aca="false">(AE121*AE122)+AE123</f>
        <v>0</v>
      </c>
      <c r="AF124" s="31" t="n">
        <f aca="false">(AF121*AF122)+AF123</f>
        <v>0</v>
      </c>
      <c r="AG124" s="35" t="n">
        <f aca="false">(AG121*AG122)+AG123</f>
        <v>0</v>
      </c>
      <c r="AH124" s="31" t="n">
        <f aca="false">(AH121*AH122)+AH123</f>
        <v>0</v>
      </c>
      <c r="AI124" s="37"/>
    </row>
    <row r="125" customFormat="false" ht="18.75" hidden="false" customHeight="false" outlineLevel="0" collapsed="false">
      <c r="A125" s="60" t="s">
        <v>165</v>
      </c>
      <c r="B125" s="60" t="n">
        <f aca="false">B121-B124</f>
        <v>-396096.97</v>
      </c>
      <c r="C125" s="69" t="n">
        <f aca="false">C121-C124</f>
        <v>47805.1003</v>
      </c>
      <c r="D125" s="60" t="n">
        <f aca="false">D121-D124</f>
        <v>0</v>
      </c>
      <c r="E125" s="69" t="n">
        <f aca="false">E121-E124</f>
        <v>0</v>
      </c>
      <c r="F125" s="60" t="n">
        <f aca="false">F121-F124</f>
        <v>0</v>
      </c>
      <c r="G125" s="69" t="n">
        <f aca="false">G121-G124</f>
        <v>0</v>
      </c>
      <c r="H125" s="69"/>
      <c r="J125" s="60" t="s">
        <v>165</v>
      </c>
      <c r="K125" s="60" t="n">
        <f aca="false">K121-K124</f>
        <v>-396096.97</v>
      </c>
      <c r="L125" s="69" t="n">
        <f aca="false">L121-L124</f>
        <v>28629.17</v>
      </c>
      <c r="M125" s="60" t="n">
        <f aca="false">M121-M124</f>
        <v>0</v>
      </c>
      <c r="N125" s="69" t="n">
        <f aca="false">N121-N124</f>
        <v>0</v>
      </c>
      <c r="O125" s="60" t="n">
        <f aca="false">O121-O124</f>
        <v>0</v>
      </c>
      <c r="P125" s="69" t="n">
        <f aca="false">P121-P124</f>
        <v>0</v>
      </c>
      <c r="Q125" s="69"/>
      <c r="S125" s="60" t="s">
        <v>165</v>
      </c>
      <c r="T125" s="60" t="n">
        <f aca="false">T121-T124</f>
        <v>-396096.97</v>
      </c>
      <c r="U125" s="69" t="n">
        <f aca="false">U121-U124</f>
        <v>43898.309175</v>
      </c>
      <c r="V125" s="60" t="n">
        <f aca="false">V121-V124</f>
        <v>0</v>
      </c>
      <c r="W125" s="69" t="n">
        <f aca="false">W121-W124</f>
        <v>0</v>
      </c>
      <c r="X125" s="60" t="n">
        <f aca="false">X121-X124</f>
        <v>0</v>
      </c>
      <c r="Y125" s="69" t="n">
        <f aca="false">Y121-Y124</f>
        <v>0</v>
      </c>
      <c r="Z125" s="69"/>
      <c r="AB125" s="60" t="s">
        <v>165</v>
      </c>
      <c r="AC125" s="60" t="n">
        <f aca="false">AC121-AC124</f>
        <v>-396096.97</v>
      </c>
      <c r="AD125" s="69" t="n">
        <f aca="false">AD121-AD124</f>
        <v>33006.2475</v>
      </c>
      <c r="AE125" s="60" t="n">
        <f aca="false">AE121-AE124</f>
        <v>0</v>
      </c>
      <c r="AF125" s="69" t="n">
        <f aca="false">AF121-AF124</f>
        <v>0</v>
      </c>
      <c r="AG125" s="60" t="n">
        <f aca="false">AG121-AG124</f>
        <v>0</v>
      </c>
      <c r="AH125" s="69" t="n">
        <f aca="false">AH121-AH124</f>
        <v>0</v>
      </c>
      <c r="AI125" s="69"/>
    </row>
    <row r="126" customFormat="false" ht="18.75" hidden="false" customHeight="false" outlineLevel="0" collapsed="false">
      <c r="A126" s="35"/>
      <c r="B126" s="36"/>
      <c r="C126" s="36"/>
      <c r="D126" s="36"/>
      <c r="E126" s="36"/>
      <c r="F126" s="36"/>
      <c r="G126" s="36"/>
      <c r="H126" s="37"/>
      <c r="J126" s="35"/>
      <c r="K126" s="36"/>
      <c r="L126" s="36"/>
      <c r="M126" s="36"/>
      <c r="N126" s="36"/>
      <c r="O126" s="36"/>
      <c r="P126" s="36"/>
      <c r="Q126" s="37"/>
      <c r="S126" s="35"/>
      <c r="T126" s="36"/>
      <c r="U126" s="36"/>
      <c r="V126" s="36"/>
      <c r="W126" s="36"/>
      <c r="X126" s="36"/>
      <c r="Y126" s="36"/>
      <c r="Z126" s="37"/>
      <c r="AB126" s="35"/>
      <c r="AC126" s="36"/>
      <c r="AD126" s="36"/>
      <c r="AE126" s="36"/>
      <c r="AF126" s="36"/>
      <c r="AG126" s="36"/>
      <c r="AH126" s="36"/>
      <c r="AI126" s="37"/>
    </row>
    <row r="127" customFormat="false" ht="19.7" hidden="false" customHeight="false" outlineLevel="0" collapsed="false">
      <c r="A127" s="127"/>
      <c r="B127" s="128"/>
      <c r="C127" s="128"/>
      <c r="D127" s="128"/>
      <c r="E127" s="128"/>
      <c r="F127" s="128"/>
      <c r="G127" s="129" t="s">
        <v>159</v>
      </c>
      <c r="H127" s="130" t="s">
        <v>160</v>
      </c>
      <c r="J127" s="127"/>
      <c r="K127" s="128"/>
      <c r="L127" s="128"/>
      <c r="M127" s="128"/>
      <c r="N127" s="128"/>
      <c r="O127" s="128"/>
      <c r="P127" s="129" t="s">
        <v>159</v>
      </c>
      <c r="Q127" s="130" t="s">
        <v>160</v>
      </c>
      <c r="S127" s="127"/>
      <c r="T127" s="128"/>
      <c r="U127" s="128"/>
      <c r="V127" s="128"/>
      <c r="W127" s="128"/>
      <c r="X127" s="128"/>
      <c r="Y127" s="129" t="s">
        <v>159</v>
      </c>
      <c r="Z127" s="130" t="s">
        <v>160</v>
      </c>
      <c r="AB127" s="127"/>
      <c r="AC127" s="128"/>
      <c r="AD127" s="128"/>
      <c r="AE127" s="128"/>
      <c r="AF127" s="128"/>
      <c r="AG127" s="128"/>
      <c r="AH127" s="129" t="s">
        <v>159</v>
      </c>
      <c r="AI127" s="130" t="s">
        <v>160</v>
      </c>
    </row>
    <row r="128" customFormat="false" ht="18.75" hidden="false" customHeight="false" outlineLevel="0" collapsed="false">
      <c r="A128" s="131" t="s">
        <v>166</v>
      </c>
      <c r="B128" s="132"/>
      <c r="C128" s="132"/>
      <c r="D128" s="132"/>
      <c r="E128" s="132"/>
      <c r="F128" s="132"/>
      <c r="G128" s="133" t="n">
        <f aca="false">H121</f>
        <v>0</v>
      </c>
      <c r="H128" s="134" t="n">
        <f aca="false">SUM(H131:H133)</f>
        <v>0</v>
      </c>
      <c r="J128" s="131" t="s">
        <v>166</v>
      </c>
      <c r="K128" s="132"/>
      <c r="L128" s="132"/>
      <c r="M128" s="132"/>
      <c r="N128" s="132"/>
      <c r="O128" s="132"/>
      <c r="P128" s="133" t="n">
        <f aca="false">Q121</f>
        <v>0</v>
      </c>
      <c r="Q128" s="134" t="n">
        <f aca="false">SUM(Q131:Q133)</f>
        <v>0</v>
      </c>
      <c r="S128" s="131" t="s">
        <v>166</v>
      </c>
      <c r="T128" s="132"/>
      <c r="U128" s="132"/>
      <c r="V128" s="132"/>
      <c r="W128" s="132"/>
      <c r="X128" s="132"/>
      <c r="Y128" s="133" t="n">
        <f aca="false">Z121</f>
        <v>0</v>
      </c>
      <c r="Z128" s="134" t="n">
        <f aca="false">SUM(Z131:Z133)</f>
        <v>0</v>
      </c>
      <c r="AB128" s="131" t="s">
        <v>166</v>
      </c>
      <c r="AC128" s="132"/>
      <c r="AD128" s="132"/>
      <c r="AE128" s="132"/>
      <c r="AF128" s="132"/>
      <c r="AG128" s="132"/>
      <c r="AH128" s="133" t="n">
        <f aca="false">AI121</f>
        <v>0</v>
      </c>
      <c r="AI128" s="134" t="n">
        <f aca="false">SUM(AI131:AI133)</f>
        <v>0</v>
      </c>
    </row>
    <row r="129" customFormat="false" ht="18.75" hidden="false" customHeight="false" outlineLevel="0" collapsed="false">
      <c r="A129" s="35"/>
      <c r="B129" s="36"/>
      <c r="C129" s="36"/>
      <c r="D129" s="36"/>
      <c r="E129" s="36"/>
      <c r="F129" s="36"/>
      <c r="G129" s="135"/>
      <c r="H129" s="136"/>
      <c r="J129" s="35"/>
      <c r="K129" s="36"/>
      <c r="L129" s="36"/>
      <c r="M129" s="36"/>
      <c r="N129" s="36"/>
      <c r="O129" s="36"/>
      <c r="P129" s="135"/>
      <c r="Q129" s="136"/>
      <c r="S129" s="35"/>
      <c r="T129" s="36"/>
      <c r="U129" s="36"/>
      <c r="V129" s="36"/>
      <c r="W129" s="36"/>
      <c r="X129" s="36"/>
      <c r="Y129" s="135"/>
      <c r="Z129" s="136"/>
      <c r="AB129" s="35"/>
      <c r="AC129" s="36"/>
      <c r="AD129" s="36"/>
      <c r="AE129" s="36"/>
      <c r="AF129" s="36"/>
      <c r="AG129" s="36"/>
      <c r="AH129" s="135"/>
      <c r="AI129" s="136"/>
    </row>
    <row r="130" customFormat="false" ht="18.75" hidden="false" customHeight="false" outlineLevel="0" collapsed="false">
      <c r="A130" s="137" t="s">
        <v>167</v>
      </c>
      <c r="B130" s="138" t="s">
        <v>168</v>
      </c>
      <c r="C130" s="138"/>
      <c r="D130" s="138" t="s">
        <v>169</v>
      </c>
      <c r="E130" s="138"/>
      <c r="F130" s="138" t="s">
        <v>163</v>
      </c>
      <c r="G130" s="138"/>
      <c r="H130" s="136" t="s">
        <v>160</v>
      </c>
      <c r="J130" s="137" t="s">
        <v>167</v>
      </c>
      <c r="K130" s="138" t="s">
        <v>168</v>
      </c>
      <c r="L130" s="138"/>
      <c r="M130" s="138" t="s">
        <v>169</v>
      </c>
      <c r="N130" s="138"/>
      <c r="O130" s="138" t="s">
        <v>163</v>
      </c>
      <c r="P130" s="138"/>
      <c r="Q130" s="136" t="s">
        <v>160</v>
      </c>
      <c r="S130" s="137" t="s">
        <v>167</v>
      </c>
      <c r="T130" s="138" t="s">
        <v>168</v>
      </c>
      <c r="U130" s="138"/>
      <c r="V130" s="138" t="s">
        <v>169</v>
      </c>
      <c r="W130" s="138"/>
      <c r="X130" s="138" t="s">
        <v>163</v>
      </c>
      <c r="Y130" s="138"/>
      <c r="Z130" s="136" t="s">
        <v>160</v>
      </c>
      <c r="AB130" s="137" t="s">
        <v>167</v>
      </c>
      <c r="AC130" s="138" t="s">
        <v>168</v>
      </c>
      <c r="AD130" s="138"/>
      <c r="AE130" s="138" t="s">
        <v>169</v>
      </c>
      <c r="AF130" s="138"/>
      <c r="AG130" s="138" t="s">
        <v>163</v>
      </c>
      <c r="AH130" s="138"/>
      <c r="AI130" s="136" t="s">
        <v>160</v>
      </c>
    </row>
    <row r="131" customFormat="false" ht="18.75" hidden="false" customHeight="false" outlineLevel="0" collapsed="false">
      <c r="A131" s="35" t="s">
        <v>170</v>
      </c>
      <c r="B131" s="140" t="n">
        <f aca="false">G128</f>
        <v>0</v>
      </c>
      <c r="C131" s="140"/>
      <c r="D131" s="141" t="n">
        <v>0</v>
      </c>
      <c r="E131" s="141"/>
      <c r="F131" s="140" t="n">
        <v>0</v>
      </c>
      <c r="G131" s="140"/>
      <c r="H131" s="142" t="n">
        <f aca="false">(B131-(B131*D131))-F131</f>
        <v>0</v>
      </c>
      <c r="J131" s="35" t="s">
        <v>170</v>
      </c>
      <c r="K131" s="140" t="n">
        <f aca="false">P128</f>
        <v>0</v>
      </c>
      <c r="L131" s="140"/>
      <c r="M131" s="141" t="n">
        <v>0</v>
      </c>
      <c r="N131" s="141"/>
      <c r="O131" s="140" t="n">
        <v>0</v>
      </c>
      <c r="P131" s="140"/>
      <c r="Q131" s="142" t="n">
        <f aca="false">(K131-(K131*M131))-O131</f>
        <v>0</v>
      </c>
      <c r="S131" s="35" t="s">
        <v>170</v>
      </c>
      <c r="T131" s="140" t="n">
        <f aca="false">Y128</f>
        <v>0</v>
      </c>
      <c r="U131" s="140"/>
      <c r="V131" s="141" t="n">
        <v>0</v>
      </c>
      <c r="W131" s="141"/>
      <c r="X131" s="140" t="n">
        <v>0</v>
      </c>
      <c r="Y131" s="140"/>
      <c r="Z131" s="142" t="n">
        <f aca="false">(T131-(T131*V131))-X131</f>
        <v>0</v>
      </c>
      <c r="AB131" s="35" t="s">
        <v>170</v>
      </c>
      <c r="AC131" s="140" t="n">
        <f aca="false">AH128</f>
        <v>0</v>
      </c>
      <c r="AD131" s="140"/>
      <c r="AE131" s="141" t="n">
        <v>0</v>
      </c>
      <c r="AF131" s="141"/>
      <c r="AG131" s="140" t="n">
        <v>0</v>
      </c>
      <c r="AH131" s="140"/>
      <c r="AI131" s="142" t="n">
        <f aca="false">(AC131-(AC131*AE131))-AG131</f>
        <v>0</v>
      </c>
    </row>
    <row r="132" customFormat="false" ht="18.75" hidden="false" customHeight="false" outlineLevel="0" collapsed="false">
      <c r="A132" s="35" t="s">
        <v>171</v>
      </c>
      <c r="B132" s="140" t="n">
        <v>0</v>
      </c>
      <c r="C132" s="140"/>
      <c r="D132" s="141" t="n">
        <v>0</v>
      </c>
      <c r="E132" s="141"/>
      <c r="F132" s="140" t="n">
        <v>0</v>
      </c>
      <c r="G132" s="140"/>
      <c r="H132" s="142" t="n">
        <f aca="false">(B132-(B132*D132))-F132</f>
        <v>0</v>
      </c>
      <c r="J132" s="35" t="s">
        <v>171</v>
      </c>
      <c r="K132" s="140" t="n">
        <v>0</v>
      </c>
      <c r="L132" s="140"/>
      <c r="M132" s="141" t="n">
        <v>0</v>
      </c>
      <c r="N132" s="141"/>
      <c r="O132" s="140" t="n">
        <v>0</v>
      </c>
      <c r="P132" s="140"/>
      <c r="Q132" s="142" t="n">
        <f aca="false">(K132-(K132*M132))-O132</f>
        <v>0</v>
      </c>
      <c r="S132" s="35" t="s">
        <v>171</v>
      </c>
      <c r="T132" s="140" t="n">
        <v>0</v>
      </c>
      <c r="U132" s="140"/>
      <c r="V132" s="141" t="n">
        <v>0</v>
      </c>
      <c r="W132" s="141"/>
      <c r="X132" s="140" t="n">
        <v>0</v>
      </c>
      <c r="Y132" s="140"/>
      <c r="Z132" s="142" t="n">
        <f aca="false">(T132-(T132*V132))-X132</f>
        <v>0</v>
      </c>
      <c r="AB132" s="35" t="s">
        <v>171</v>
      </c>
      <c r="AC132" s="140" t="n">
        <v>0</v>
      </c>
      <c r="AD132" s="140"/>
      <c r="AE132" s="141" t="n">
        <v>0</v>
      </c>
      <c r="AF132" s="141"/>
      <c r="AG132" s="140" t="n">
        <v>0</v>
      </c>
      <c r="AH132" s="140"/>
      <c r="AI132" s="142" t="n">
        <f aca="false">(AC132-(AC132*AE132))-AG132</f>
        <v>0</v>
      </c>
    </row>
    <row r="133" customFormat="false" ht="18.75" hidden="false" customHeight="false" outlineLevel="0" collapsed="false">
      <c r="A133" s="35" t="s">
        <v>172</v>
      </c>
      <c r="B133" s="140" t="n">
        <v>0</v>
      </c>
      <c r="C133" s="140"/>
      <c r="D133" s="141" t="n">
        <v>0</v>
      </c>
      <c r="E133" s="141"/>
      <c r="F133" s="140" t="n">
        <v>0</v>
      </c>
      <c r="G133" s="140"/>
      <c r="H133" s="142" t="n">
        <f aca="false">(B133-(B133*D133))-F133</f>
        <v>0</v>
      </c>
      <c r="J133" s="35" t="s">
        <v>172</v>
      </c>
      <c r="K133" s="140" t="n">
        <v>0</v>
      </c>
      <c r="L133" s="140"/>
      <c r="M133" s="141" t="n">
        <v>0</v>
      </c>
      <c r="N133" s="141"/>
      <c r="O133" s="140" t="n">
        <v>0</v>
      </c>
      <c r="P133" s="140"/>
      <c r="Q133" s="142" t="n">
        <f aca="false">(K133-(K133*M133))-O133</f>
        <v>0</v>
      </c>
      <c r="S133" s="35" t="s">
        <v>172</v>
      </c>
      <c r="T133" s="140" t="n">
        <v>0</v>
      </c>
      <c r="U133" s="140"/>
      <c r="V133" s="141" t="n">
        <v>0</v>
      </c>
      <c r="W133" s="141"/>
      <c r="X133" s="140" t="n">
        <v>0</v>
      </c>
      <c r="Y133" s="140"/>
      <c r="Z133" s="142" t="n">
        <f aca="false">(T133-(T133*V133))-X133</f>
        <v>0</v>
      </c>
      <c r="AB133" s="35" t="s">
        <v>172</v>
      </c>
      <c r="AC133" s="140" t="n">
        <v>0</v>
      </c>
      <c r="AD133" s="140"/>
      <c r="AE133" s="141" t="n">
        <v>0</v>
      </c>
      <c r="AF133" s="141"/>
      <c r="AG133" s="140" t="n">
        <v>0</v>
      </c>
      <c r="AH133" s="140"/>
      <c r="AI133" s="142" t="n">
        <f aca="false">(AC133-(AC133*AE133))-AG133</f>
        <v>0</v>
      </c>
    </row>
    <row r="134" customFormat="false" ht="18.75" hidden="false" customHeight="false" outlineLevel="0" collapsed="false">
      <c r="A134" s="35"/>
      <c r="B134" s="36"/>
      <c r="C134" s="36"/>
      <c r="D134" s="36"/>
      <c r="E134" s="36"/>
      <c r="F134" s="36"/>
      <c r="G134" s="135"/>
      <c r="H134" s="136"/>
      <c r="J134" s="35"/>
      <c r="K134" s="36"/>
      <c r="L134" s="36"/>
      <c r="M134" s="36"/>
      <c r="N134" s="36"/>
      <c r="O134" s="36"/>
      <c r="P134" s="135"/>
      <c r="Q134" s="136"/>
      <c r="S134" s="35"/>
      <c r="T134" s="36"/>
      <c r="U134" s="36"/>
      <c r="V134" s="36"/>
      <c r="W134" s="36"/>
      <c r="X134" s="36"/>
      <c r="Y134" s="135"/>
      <c r="Z134" s="136"/>
      <c r="AB134" s="35"/>
      <c r="AC134" s="36"/>
      <c r="AD134" s="36"/>
      <c r="AE134" s="36"/>
      <c r="AF134" s="36"/>
      <c r="AG134" s="36"/>
      <c r="AH134" s="135"/>
      <c r="AI134" s="136"/>
    </row>
    <row r="135" customFormat="false" ht="19.7" hidden="false" customHeight="false" outlineLevel="0" collapsed="false">
      <c r="A135" s="143" t="s">
        <v>173</v>
      </c>
      <c r="B135" s="143"/>
      <c r="C135" s="143"/>
      <c r="D135" s="143"/>
      <c r="E135" s="143"/>
      <c r="F135" s="143"/>
      <c r="G135" s="129" t="n">
        <f aca="false">H9</f>
        <v>39585.497</v>
      </c>
      <c r="H135" s="144" t="n">
        <f aca="false">C125+E125+G125+H128</f>
        <v>47805.1003</v>
      </c>
      <c r="J135" s="143" t="s">
        <v>173</v>
      </c>
      <c r="K135" s="143"/>
      <c r="L135" s="143"/>
      <c r="M135" s="143"/>
      <c r="N135" s="143"/>
      <c r="O135" s="143"/>
      <c r="P135" s="129" t="n">
        <f aca="false">H9</f>
        <v>39585.497</v>
      </c>
      <c r="Q135" s="144" t="n">
        <f aca="false">L125+N125+P125+Q128</f>
        <v>28629.17</v>
      </c>
      <c r="S135" s="143" t="s">
        <v>173</v>
      </c>
      <c r="T135" s="143"/>
      <c r="U135" s="143"/>
      <c r="V135" s="143"/>
      <c r="W135" s="143"/>
      <c r="X135" s="143"/>
      <c r="Y135" s="129" t="n">
        <f aca="false">H9</f>
        <v>39585.497</v>
      </c>
      <c r="Z135" s="144" t="n">
        <f aca="false">U125+W125+Y125+Z128</f>
        <v>43898.309175</v>
      </c>
      <c r="AB135" s="143" t="s">
        <v>173</v>
      </c>
      <c r="AC135" s="143"/>
      <c r="AD135" s="143"/>
      <c r="AE135" s="143"/>
      <c r="AF135" s="143"/>
      <c r="AG135" s="143"/>
      <c r="AH135" s="129" t="n">
        <f aca="false">H9</f>
        <v>39585.497</v>
      </c>
      <c r="AI135" s="144" t="n">
        <f aca="false">AD125+AF125+AH125+AI128</f>
        <v>33006.2475</v>
      </c>
    </row>
    <row r="136" customFormat="false" ht="18.75" hidden="false" customHeight="false" outlineLevel="0" collapsed="false">
      <c r="A136" s="145" t="s">
        <v>174</v>
      </c>
      <c r="B136" s="145"/>
      <c r="C136" s="145"/>
      <c r="D136" s="145"/>
      <c r="E136" s="145"/>
      <c r="F136" s="145"/>
      <c r="G136" s="146" t="n">
        <f aca="false">H10</f>
        <v>670.83</v>
      </c>
      <c r="H136" s="37" t="n">
        <f aca="false">G136</f>
        <v>670.83</v>
      </c>
      <c r="J136" s="145" t="s">
        <v>174</v>
      </c>
      <c r="K136" s="145"/>
      <c r="L136" s="145"/>
      <c r="M136" s="145"/>
      <c r="N136" s="145"/>
      <c r="O136" s="145"/>
      <c r="P136" s="146" t="n">
        <f aca="false">H10</f>
        <v>670.83</v>
      </c>
      <c r="Q136" s="37" t="n">
        <f aca="false">P136</f>
        <v>670.83</v>
      </c>
      <c r="S136" s="145" t="s">
        <v>174</v>
      </c>
      <c r="T136" s="145"/>
      <c r="U136" s="145"/>
      <c r="V136" s="145"/>
      <c r="W136" s="145"/>
      <c r="X136" s="145"/>
      <c r="Y136" s="146" t="n">
        <f aca="false">H10</f>
        <v>670.83</v>
      </c>
      <c r="Z136" s="37" t="n">
        <f aca="false">Y136</f>
        <v>670.83</v>
      </c>
      <c r="AB136" s="145" t="s">
        <v>174</v>
      </c>
      <c r="AC136" s="145"/>
      <c r="AD136" s="145"/>
      <c r="AE136" s="145"/>
      <c r="AF136" s="145"/>
      <c r="AG136" s="145"/>
      <c r="AH136" s="146" t="n">
        <f aca="false">H10</f>
        <v>670.83</v>
      </c>
      <c r="AI136" s="37" t="n">
        <f aca="false">AH136</f>
        <v>670.83</v>
      </c>
    </row>
    <row r="137" customFormat="false" ht="18.75" hidden="false" customHeight="false" outlineLevel="0" collapsed="false">
      <c r="A137" s="145" t="s">
        <v>175</v>
      </c>
      <c r="B137" s="145"/>
      <c r="C137" s="145"/>
      <c r="D137" s="145"/>
      <c r="E137" s="145"/>
      <c r="F137" s="145"/>
      <c r="G137" s="146" t="n">
        <f aca="false">H11</f>
        <v>8051.2654</v>
      </c>
      <c r="H137" s="37" t="n">
        <f aca="false">(H135+H136)*20%</f>
        <v>9695.18606</v>
      </c>
      <c r="J137" s="145" t="s">
        <v>175</v>
      </c>
      <c r="K137" s="145"/>
      <c r="L137" s="145"/>
      <c r="M137" s="145"/>
      <c r="N137" s="145"/>
      <c r="O137" s="145"/>
      <c r="P137" s="146" t="n">
        <f aca="false">H11</f>
        <v>8051.2654</v>
      </c>
      <c r="Q137" s="37" t="n">
        <f aca="false">(Q135+Q136)*20%</f>
        <v>5860</v>
      </c>
      <c r="S137" s="145" t="s">
        <v>175</v>
      </c>
      <c r="T137" s="145"/>
      <c r="U137" s="145"/>
      <c r="V137" s="145"/>
      <c r="W137" s="145"/>
      <c r="X137" s="145"/>
      <c r="Y137" s="146" t="n">
        <f aca="false">H11</f>
        <v>8051.2654</v>
      </c>
      <c r="Z137" s="37" t="n">
        <f aca="false">(Z135+Z136)*20%</f>
        <v>8913.827835</v>
      </c>
      <c r="AB137" s="145" t="s">
        <v>175</v>
      </c>
      <c r="AC137" s="145"/>
      <c r="AD137" s="145"/>
      <c r="AE137" s="145"/>
      <c r="AF137" s="145"/>
      <c r="AG137" s="145"/>
      <c r="AH137" s="146" t="n">
        <f aca="false">H11</f>
        <v>8051.2654</v>
      </c>
      <c r="AI137" s="37" t="n">
        <f aca="false">(AI135+AI136)*20%</f>
        <v>6735.4155</v>
      </c>
    </row>
    <row r="138" customFormat="false" ht="18.75" hidden="false" customHeight="false" outlineLevel="0" collapsed="false">
      <c r="A138" s="145" t="s">
        <v>176</v>
      </c>
      <c r="B138" s="145"/>
      <c r="C138" s="145"/>
      <c r="D138" s="145"/>
      <c r="E138" s="145"/>
      <c r="F138" s="145"/>
      <c r="G138" s="146" t="n">
        <f aca="false">H12</f>
        <v>0</v>
      </c>
      <c r="H138" s="37" t="n">
        <f aca="false">G138</f>
        <v>0</v>
      </c>
      <c r="J138" s="145" t="s">
        <v>176</v>
      </c>
      <c r="K138" s="145"/>
      <c r="L138" s="145"/>
      <c r="M138" s="145"/>
      <c r="N138" s="145"/>
      <c r="O138" s="145"/>
      <c r="P138" s="146" t="n">
        <f aca="false">H12</f>
        <v>0</v>
      </c>
      <c r="Q138" s="37" t="n">
        <f aca="false">P138</f>
        <v>0</v>
      </c>
      <c r="S138" s="145" t="s">
        <v>176</v>
      </c>
      <c r="T138" s="145"/>
      <c r="U138" s="145"/>
      <c r="V138" s="145"/>
      <c r="W138" s="145"/>
      <c r="X138" s="145"/>
      <c r="Y138" s="146" t="n">
        <f aca="false">H12</f>
        <v>0</v>
      </c>
      <c r="Z138" s="37" t="n">
        <f aca="false">Y138</f>
        <v>0</v>
      </c>
      <c r="AB138" s="145" t="s">
        <v>176</v>
      </c>
      <c r="AC138" s="145"/>
      <c r="AD138" s="145"/>
      <c r="AE138" s="145"/>
      <c r="AF138" s="145"/>
      <c r="AG138" s="145"/>
      <c r="AH138" s="146" t="n">
        <f aca="false">H12</f>
        <v>0</v>
      </c>
      <c r="AI138" s="37" t="n">
        <f aca="false">AH138</f>
        <v>0</v>
      </c>
    </row>
    <row r="139" customFormat="false" ht="18.75" hidden="false" customHeight="false" outlineLevel="0" collapsed="false">
      <c r="A139" s="145" t="s">
        <v>177</v>
      </c>
      <c r="B139" s="145"/>
      <c r="C139" s="145"/>
      <c r="D139" s="145"/>
      <c r="E139" s="145"/>
      <c r="F139" s="145"/>
      <c r="G139" s="146" t="n">
        <f aca="false">H13</f>
        <v>945</v>
      </c>
      <c r="H139" s="37" t="n">
        <f aca="false">G139</f>
        <v>945</v>
      </c>
      <c r="J139" s="145" t="s">
        <v>177</v>
      </c>
      <c r="K139" s="145"/>
      <c r="L139" s="145"/>
      <c r="M139" s="145"/>
      <c r="N139" s="145"/>
      <c r="O139" s="145"/>
      <c r="P139" s="146" t="n">
        <f aca="false">H13</f>
        <v>945</v>
      </c>
      <c r="Q139" s="37" t="n">
        <f aca="false">P139</f>
        <v>945</v>
      </c>
      <c r="S139" s="145" t="s">
        <v>177</v>
      </c>
      <c r="T139" s="145"/>
      <c r="U139" s="145"/>
      <c r="V139" s="145"/>
      <c r="W139" s="145"/>
      <c r="X139" s="145"/>
      <c r="Y139" s="146" t="n">
        <f aca="false">H13</f>
        <v>945</v>
      </c>
      <c r="Z139" s="37" t="n">
        <f aca="false">Y139</f>
        <v>945</v>
      </c>
      <c r="AB139" s="145" t="s">
        <v>177</v>
      </c>
      <c r="AC139" s="145"/>
      <c r="AD139" s="145"/>
      <c r="AE139" s="145"/>
      <c r="AF139" s="145"/>
      <c r="AG139" s="145"/>
      <c r="AH139" s="146" t="n">
        <f aca="false">H13</f>
        <v>945</v>
      </c>
      <c r="AI139" s="37" t="n">
        <f aca="false">AH139</f>
        <v>945</v>
      </c>
    </row>
    <row r="140" customFormat="false" ht="18.75" hidden="false" customHeight="false" outlineLevel="0" collapsed="false">
      <c r="A140" s="145" t="s">
        <v>178</v>
      </c>
      <c r="B140" s="145"/>
      <c r="C140" s="145"/>
      <c r="D140" s="145"/>
      <c r="E140" s="145"/>
      <c r="F140" s="145"/>
      <c r="G140" s="146" t="n">
        <f aca="false">H14</f>
        <v>65</v>
      </c>
      <c r="H140" s="37" t="n">
        <f aca="false">G140</f>
        <v>65</v>
      </c>
      <c r="J140" s="145" t="s">
        <v>178</v>
      </c>
      <c r="K140" s="145"/>
      <c r="L140" s="145"/>
      <c r="M140" s="145"/>
      <c r="N140" s="145"/>
      <c r="O140" s="145"/>
      <c r="P140" s="146" t="n">
        <f aca="false">H14</f>
        <v>65</v>
      </c>
      <c r="Q140" s="37" t="n">
        <v>55</v>
      </c>
      <c r="S140" s="145" t="s">
        <v>178</v>
      </c>
      <c r="T140" s="145"/>
      <c r="U140" s="145"/>
      <c r="V140" s="145"/>
      <c r="W140" s="145"/>
      <c r="X140" s="145"/>
      <c r="Y140" s="146" t="n">
        <f aca="false">H14</f>
        <v>65</v>
      </c>
      <c r="Z140" s="37" t="n">
        <v>55</v>
      </c>
      <c r="AB140" s="145" t="s">
        <v>178</v>
      </c>
      <c r="AC140" s="145"/>
      <c r="AD140" s="145"/>
      <c r="AE140" s="145"/>
      <c r="AF140" s="145"/>
      <c r="AG140" s="145"/>
      <c r="AH140" s="146" t="n">
        <f aca="false">H14</f>
        <v>65</v>
      </c>
      <c r="AI140" s="37" t="n">
        <v>55</v>
      </c>
    </row>
    <row r="141" customFormat="false" ht="19.7" hidden="false" customHeight="false" outlineLevel="0" collapsed="false">
      <c r="A141" s="145" t="s">
        <v>179</v>
      </c>
      <c r="B141" s="145"/>
      <c r="C141" s="145"/>
      <c r="D141" s="145"/>
      <c r="E141" s="145"/>
      <c r="F141" s="145"/>
      <c r="G141" s="148" t="n">
        <f aca="false">H15</f>
        <v>49317.5924</v>
      </c>
      <c r="H141" s="147" t="n">
        <f aca="false">(H135+H136+H139+H140+H137)-H138</f>
        <v>59181.11636</v>
      </c>
      <c r="J141" s="145" t="s">
        <v>179</v>
      </c>
      <c r="K141" s="145"/>
      <c r="L141" s="145"/>
      <c r="M141" s="145"/>
      <c r="N141" s="145"/>
      <c r="O141" s="145"/>
      <c r="P141" s="148" t="n">
        <f aca="false">H15</f>
        <v>49317.5924</v>
      </c>
      <c r="Q141" s="147" t="n">
        <f aca="false">(Q135+Q136+Q139+Q140+Q137)-Q138</f>
        <v>36160</v>
      </c>
      <c r="S141" s="145" t="s">
        <v>179</v>
      </c>
      <c r="T141" s="145"/>
      <c r="U141" s="145"/>
      <c r="V141" s="145"/>
      <c r="W141" s="145"/>
      <c r="X141" s="145"/>
      <c r="Y141" s="148" t="n">
        <f aca="false">H15</f>
        <v>49317.5924</v>
      </c>
      <c r="Z141" s="147" t="n">
        <f aca="false">(Z135+Z136+Z139+Z140+Z137)-Z138</f>
        <v>54482.96701</v>
      </c>
      <c r="AB141" s="145" t="s">
        <v>179</v>
      </c>
      <c r="AC141" s="145"/>
      <c r="AD141" s="145"/>
      <c r="AE141" s="145"/>
      <c r="AF141" s="145"/>
      <c r="AG141" s="145"/>
      <c r="AH141" s="148" t="n">
        <f aca="false">H15</f>
        <v>49317.5924</v>
      </c>
      <c r="AI141" s="147" t="n">
        <f aca="false">(AI135+AI136+AI139+AI140+AI137)-AI138</f>
        <v>41412.493</v>
      </c>
    </row>
    <row r="142" customFormat="false" ht="18.75" hidden="false" customHeight="false" outlineLevel="0" collapsed="false">
      <c r="A142" s="145" t="s">
        <v>180</v>
      </c>
      <c r="B142" s="145"/>
      <c r="C142" s="145"/>
      <c r="D142" s="145"/>
      <c r="E142" s="145"/>
      <c r="F142" s="145"/>
      <c r="G142" s="146" t="n">
        <f aca="false">H16</f>
        <v>13</v>
      </c>
      <c r="H142" s="44" t="n">
        <f aca="false">G142</f>
        <v>13</v>
      </c>
      <c r="J142" s="145" t="s">
        <v>180</v>
      </c>
      <c r="K142" s="145"/>
      <c r="L142" s="145"/>
      <c r="M142" s="145"/>
      <c r="N142" s="145"/>
      <c r="O142" s="145"/>
      <c r="P142" s="146" t="n">
        <f aca="false">H16</f>
        <v>13</v>
      </c>
      <c r="Q142" s="44" t="n">
        <f aca="false">P142</f>
        <v>13</v>
      </c>
      <c r="S142" s="145" t="s">
        <v>180</v>
      </c>
      <c r="T142" s="145"/>
      <c r="U142" s="145"/>
      <c r="V142" s="145"/>
      <c r="W142" s="145"/>
      <c r="X142" s="145"/>
      <c r="Y142" s="146" t="n">
        <f aca="false">H16</f>
        <v>13</v>
      </c>
      <c r="Z142" s="44" t="n">
        <f aca="false">Y142</f>
        <v>13</v>
      </c>
      <c r="AB142" s="145" t="s">
        <v>180</v>
      </c>
      <c r="AC142" s="145"/>
      <c r="AD142" s="145"/>
      <c r="AE142" s="145"/>
      <c r="AF142" s="145"/>
      <c r="AG142" s="145"/>
      <c r="AH142" s="146" t="n">
        <f aca="false">H16</f>
        <v>13</v>
      </c>
      <c r="AI142" s="44" t="n">
        <f aca="false">AH142</f>
        <v>13</v>
      </c>
    </row>
    <row r="143" customFormat="false" ht="18.75" hidden="false" customHeight="false" outlineLevel="0" collapsed="false">
      <c r="A143" s="113" t="s">
        <v>181</v>
      </c>
      <c r="B143" s="113"/>
      <c r="C143" s="113"/>
      <c r="D143" s="113"/>
      <c r="E143" s="113"/>
      <c r="F143" s="113"/>
      <c r="G143" s="42"/>
      <c r="H143" s="37"/>
      <c r="J143" s="113" t="s">
        <v>181</v>
      </c>
      <c r="K143" s="113"/>
      <c r="L143" s="113"/>
      <c r="M143" s="113"/>
      <c r="N143" s="113"/>
      <c r="O143" s="113"/>
      <c r="P143" s="42"/>
      <c r="Q143" s="37"/>
      <c r="S143" s="113" t="s">
        <v>181</v>
      </c>
      <c r="T143" s="113"/>
      <c r="U143" s="113"/>
      <c r="V143" s="113"/>
      <c r="W143" s="113"/>
      <c r="X143" s="113"/>
      <c r="Y143" s="42"/>
      <c r="Z143" s="37"/>
      <c r="AB143" s="113" t="s">
        <v>181</v>
      </c>
      <c r="AC143" s="113"/>
      <c r="AD143" s="113"/>
      <c r="AE143" s="113"/>
      <c r="AF143" s="113"/>
      <c r="AG143" s="113"/>
      <c r="AH143" s="42"/>
      <c r="AI143" s="37"/>
    </row>
    <row r="144" customFormat="false" ht="18.75" hidden="false" customHeight="false" outlineLevel="0" collapsed="false">
      <c r="A144" s="150" t="s">
        <v>26</v>
      </c>
      <c r="B144" s="151" t="s">
        <v>182</v>
      </c>
      <c r="C144" s="151"/>
      <c r="D144" s="151"/>
      <c r="E144" s="151"/>
      <c r="F144" s="151"/>
      <c r="G144" s="146" t="n">
        <f aca="false">H18</f>
        <v>0</v>
      </c>
      <c r="H144" s="44" t="n">
        <f aca="false">G144</f>
        <v>0</v>
      </c>
      <c r="J144" s="150" t="s">
        <v>26</v>
      </c>
      <c r="K144" s="151" t="s">
        <v>182</v>
      </c>
      <c r="L144" s="151"/>
      <c r="M144" s="151"/>
      <c r="N144" s="151"/>
      <c r="O144" s="151"/>
      <c r="P144" s="146" t="n">
        <f aca="false">H18</f>
        <v>0</v>
      </c>
      <c r="Q144" s="44" t="n">
        <f aca="false">P144</f>
        <v>0</v>
      </c>
      <c r="S144" s="150" t="s">
        <v>26</v>
      </c>
      <c r="T144" s="151" t="s">
        <v>182</v>
      </c>
      <c r="U144" s="151"/>
      <c r="V144" s="151"/>
      <c r="W144" s="151"/>
      <c r="X144" s="151"/>
      <c r="Y144" s="146" t="n">
        <f aca="false">H18</f>
        <v>0</v>
      </c>
      <c r="Z144" s="44" t="n">
        <f aca="false">Y144</f>
        <v>0</v>
      </c>
      <c r="AB144" s="150" t="s">
        <v>26</v>
      </c>
      <c r="AC144" s="151" t="s">
        <v>182</v>
      </c>
      <c r="AD144" s="151"/>
      <c r="AE144" s="151"/>
      <c r="AF144" s="151"/>
      <c r="AG144" s="151"/>
      <c r="AH144" s="146" t="n">
        <f aca="false">H18</f>
        <v>0</v>
      </c>
      <c r="AI144" s="44" t="n">
        <f aca="false">AH144</f>
        <v>0</v>
      </c>
    </row>
    <row r="145" customFormat="false" ht="18.75" hidden="false" customHeight="false" outlineLevel="0" collapsed="false">
      <c r="A145" s="150" t="s">
        <v>28</v>
      </c>
      <c r="B145" s="151" t="s">
        <v>182</v>
      </c>
      <c r="C145" s="151"/>
      <c r="D145" s="151"/>
      <c r="E145" s="151"/>
      <c r="F145" s="151"/>
      <c r="G145" s="146" t="n">
        <f aca="false">H19</f>
        <v>0</v>
      </c>
      <c r="H145" s="44" t="n">
        <f aca="false">G145</f>
        <v>0</v>
      </c>
      <c r="I145" s="6" t="n">
        <f aca="false">(G142+G145+G146+G144)</f>
        <v>13</v>
      </c>
      <c r="J145" s="150" t="s">
        <v>28</v>
      </c>
      <c r="K145" s="151" t="s">
        <v>182</v>
      </c>
      <c r="L145" s="151"/>
      <c r="M145" s="151"/>
      <c r="N145" s="151"/>
      <c r="O145" s="151"/>
      <c r="P145" s="146" t="n">
        <f aca="false">H19</f>
        <v>0</v>
      </c>
      <c r="Q145" s="44" t="n">
        <f aca="false">P145</f>
        <v>0</v>
      </c>
      <c r="S145" s="150" t="s">
        <v>28</v>
      </c>
      <c r="T145" s="151" t="s">
        <v>182</v>
      </c>
      <c r="U145" s="151"/>
      <c r="V145" s="151"/>
      <c r="W145" s="151"/>
      <c r="X145" s="151"/>
      <c r="Y145" s="146" t="n">
        <f aca="false">H19</f>
        <v>0</v>
      </c>
      <c r="Z145" s="44" t="n">
        <f aca="false">Y145</f>
        <v>0</v>
      </c>
      <c r="AB145" s="150" t="s">
        <v>28</v>
      </c>
      <c r="AC145" s="151" t="s">
        <v>182</v>
      </c>
      <c r="AD145" s="151"/>
      <c r="AE145" s="151"/>
      <c r="AF145" s="151"/>
      <c r="AG145" s="151"/>
      <c r="AH145" s="146" t="n">
        <f aca="false">H19</f>
        <v>0</v>
      </c>
      <c r="AI145" s="44" t="n">
        <f aca="false">AH145</f>
        <v>0</v>
      </c>
    </row>
    <row r="146" customFormat="false" ht="18.75" hidden="false" customHeight="false" outlineLevel="0" collapsed="false">
      <c r="A146" s="152" t="s">
        <v>29</v>
      </c>
      <c r="B146" s="153" t="s">
        <v>182</v>
      </c>
      <c r="C146" s="153"/>
      <c r="D146" s="153"/>
      <c r="E146" s="153"/>
      <c r="F146" s="153"/>
      <c r="G146" s="146" t="n">
        <f aca="false">H20</f>
        <v>0</v>
      </c>
      <c r="H146" s="44" t="n">
        <f aca="false">G146</f>
        <v>0</v>
      </c>
      <c r="I146" s="6" t="n">
        <f aca="false">(H142+H144+H145+H146)</f>
        <v>13</v>
      </c>
      <c r="J146" s="152" t="s">
        <v>29</v>
      </c>
      <c r="K146" s="153" t="s">
        <v>182</v>
      </c>
      <c r="L146" s="153"/>
      <c r="M146" s="153"/>
      <c r="N146" s="153"/>
      <c r="O146" s="153"/>
      <c r="P146" s="146" t="n">
        <f aca="false">H20</f>
        <v>0</v>
      </c>
      <c r="Q146" s="44" t="n">
        <f aca="false">P146</f>
        <v>0</v>
      </c>
      <c r="S146" s="152" t="s">
        <v>29</v>
      </c>
      <c r="T146" s="153" t="s">
        <v>182</v>
      </c>
      <c r="U146" s="153"/>
      <c r="V146" s="153"/>
      <c r="W146" s="153"/>
      <c r="X146" s="153"/>
      <c r="Y146" s="146" t="n">
        <f aca="false">H20</f>
        <v>0</v>
      </c>
      <c r="Z146" s="44" t="n">
        <f aca="false">Y146</f>
        <v>0</v>
      </c>
      <c r="AB146" s="152" t="s">
        <v>29</v>
      </c>
      <c r="AC146" s="153" t="s">
        <v>182</v>
      </c>
      <c r="AD146" s="153"/>
      <c r="AE146" s="153"/>
      <c r="AF146" s="153"/>
      <c r="AG146" s="153"/>
      <c r="AH146" s="146" t="n">
        <f aca="false">H20</f>
        <v>0</v>
      </c>
      <c r="AI146" s="44" t="n">
        <f aca="false">AH146</f>
        <v>0</v>
      </c>
    </row>
    <row r="147" customFormat="false" ht="19.7" hidden="false" customHeight="false" outlineLevel="0" collapsed="false">
      <c r="A147" s="145" t="s">
        <v>183</v>
      </c>
      <c r="B147" s="145"/>
      <c r="C147" s="145"/>
      <c r="D147" s="145"/>
      <c r="E147" s="145"/>
      <c r="F147" s="145"/>
      <c r="G147" s="148" t="n">
        <f aca="false">G141-((G144*1.2)+(G145*1.2)+(G146*1.2)+(G142*1.2))</f>
        <v>49301.9924</v>
      </c>
      <c r="H147" s="154" t="n">
        <f aca="false">H141-((H144*1.2)+(H145*1.2)+(H146*1.2)+(H142*1.2))</f>
        <v>59165.51636</v>
      </c>
      <c r="J147" s="145" t="s">
        <v>183</v>
      </c>
      <c r="K147" s="145"/>
      <c r="L147" s="145"/>
      <c r="M147" s="145"/>
      <c r="N147" s="145"/>
      <c r="O147" s="145"/>
      <c r="P147" s="148" t="n">
        <f aca="false">P141-((P144*1.2)+(P145*1.2)+(P146*1.2)+(P142*1.2))</f>
        <v>49301.9924</v>
      </c>
      <c r="Q147" s="154" t="n">
        <f aca="false">Q141-((Q144*1.2)+(Q145*1.2)+(Q146*1.2)+(Q142*1.2))</f>
        <v>36144.4</v>
      </c>
      <c r="S147" s="145" t="s">
        <v>183</v>
      </c>
      <c r="T147" s="145"/>
      <c r="U147" s="145"/>
      <c r="V147" s="145"/>
      <c r="W147" s="145"/>
      <c r="X147" s="145"/>
      <c r="Y147" s="148" t="n">
        <f aca="false">Y141-((Y144*1.2)+(Y145*1.2)+(Y146*1.2)+(Y142*1.2))</f>
        <v>49301.9924</v>
      </c>
      <c r="Z147" s="154" t="n">
        <f aca="false">Z141-((Z144*1.2)+(Z145*1.2)+(Z146*1.2)+(Z142*1.2))</f>
        <v>54467.36701</v>
      </c>
      <c r="AB147" s="145" t="s">
        <v>183</v>
      </c>
      <c r="AC147" s="145"/>
      <c r="AD147" s="145"/>
      <c r="AE147" s="145"/>
      <c r="AF147" s="145"/>
      <c r="AG147" s="145"/>
      <c r="AH147" s="148" t="n">
        <f aca="false">AH141-((AH144*1.2)+(AH145*1.2)+(AH146*1.2)+(AH142*1.2))</f>
        <v>49301.9924</v>
      </c>
      <c r="AI147" s="154" t="n">
        <f aca="false">AI141-((AI144*1.2)+(AI145*1.2)+(AI146*1.2)+(AI142*1.2))</f>
        <v>41396.893</v>
      </c>
    </row>
    <row r="148" customFormat="false" ht="18.75" hidden="false" customHeight="false" outlineLevel="0" collapsed="false">
      <c r="A148" s="145" t="s">
        <v>184</v>
      </c>
      <c r="B148" s="145"/>
      <c r="C148" s="145"/>
      <c r="D148" s="145"/>
      <c r="E148" s="145"/>
      <c r="F148" s="145"/>
      <c r="G148" s="146"/>
      <c r="H148" s="44" t="n">
        <f aca="false">((H147-G147)-(H137-G137))+((I146-I145)*0.2)</f>
        <v>8219.6033</v>
      </c>
      <c r="I148" s="6" t="n">
        <f aca="false">(H148-G81)/1.2</f>
        <v>-43371.5942166667</v>
      </c>
      <c r="J148" s="145" t="s">
        <v>184</v>
      </c>
      <c r="K148" s="145"/>
      <c r="L148" s="145"/>
      <c r="M148" s="145"/>
      <c r="N148" s="145"/>
      <c r="O148" s="145"/>
      <c r="P148" s="146"/>
      <c r="Q148" s="44" t="n">
        <f aca="false">Q147-P147</f>
        <v>-13157.5924</v>
      </c>
      <c r="S148" s="145" t="s">
        <v>184</v>
      </c>
      <c r="T148" s="145"/>
      <c r="U148" s="145"/>
      <c r="V148" s="145"/>
      <c r="W148" s="145"/>
      <c r="X148" s="145"/>
      <c r="Y148" s="146"/>
      <c r="Z148" s="44" t="n">
        <f aca="false">Z147-Y147</f>
        <v>5165.37461</v>
      </c>
      <c r="AB148" s="145" t="s">
        <v>184</v>
      </c>
      <c r="AC148" s="145"/>
      <c r="AD148" s="145"/>
      <c r="AE148" s="145"/>
      <c r="AF148" s="145"/>
      <c r="AG148" s="145"/>
      <c r="AH148" s="146"/>
      <c r="AI148" s="44" t="n">
        <f aca="false">AI147-AH147</f>
        <v>-7905.09940000001</v>
      </c>
    </row>
    <row r="149" customFormat="false" ht="18.75" hidden="false" customHeight="false" outlineLevel="0" collapsed="false">
      <c r="A149" s="35"/>
      <c r="B149" s="36"/>
      <c r="C149" s="36"/>
      <c r="D149" s="36"/>
      <c r="E149" s="27"/>
      <c r="F149" s="27"/>
      <c r="G149" s="27"/>
      <c r="H149" s="37"/>
      <c r="J149" s="35"/>
      <c r="K149" s="36"/>
      <c r="L149" s="36"/>
      <c r="M149" s="36"/>
      <c r="N149" s="27"/>
      <c r="O149" s="27"/>
      <c r="P149" s="27"/>
      <c r="Q149" s="37"/>
      <c r="S149" s="35"/>
      <c r="T149" s="36"/>
      <c r="U149" s="36"/>
      <c r="V149" s="36"/>
      <c r="W149" s="27"/>
      <c r="X149" s="27"/>
      <c r="Y149" s="27"/>
      <c r="Z149" s="37"/>
      <c r="AB149" s="35"/>
      <c r="AC149" s="36"/>
      <c r="AD149" s="36"/>
      <c r="AE149" s="36"/>
      <c r="AF149" s="27"/>
      <c r="AG149" s="27"/>
      <c r="AH149" s="27"/>
      <c r="AI149" s="37"/>
    </row>
    <row r="150" customFormat="false" ht="22.05" hidden="false" customHeight="false" outlineLevel="0" collapsed="false">
      <c r="A150" s="32" t="s">
        <v>185</v>
      </c>
      <c r="B150" s="32"/>
      <c r="C150" s="32"/>
      <c r="D150" s="32"/>
      <c r="E150" s="32"/>
      <c r="F150" s="32"/>
      <c r="G150" s="32"/>
      <c r="H150" s="32"/>
      <c r="J150" s="32" t="s">
        <v>185</v>
      </c>
      <c r="K150" s="32"/>
      <c r="L150" s="32"/>
      <c r="M150" s="32"/>
      <c r="N150" s="32"/>
      <c r="O150" s="32"/>
      <c r="P150" s="32"/>
      <c r="Q150" s="32"/>
      <c r="S150" s="32" t="s">
        <v>185</v>
      </c>
      <c r="T150" s="32"/>
      <c r="U150" s="32"/>
      <c r="V150" s="32"/>
      <c r="W150" s="32"/>
      <c r="X150" s="32"/>
      <c r="Y150" s="32"/>
      <c r="Z150" s="32"/>
      <c r="AB150" s="32" t="s">
        <v>185</v>
      </c>
      <c r="AC150" s="32"/>
      <c r="AD150" s="32"/>
      <c r="AE150" s="32"/>
      <c r="AF150" s="32"/>
      <c r="AG150" s="32"/>
      <c r="AH150" s="32"/>
      <c r="AI150" s="32"/>
    </row>
    <row r="151" customFormat="false" ht="18.75" hidden="false" customHeight="false" outlineLevel="0" collapsed="false">
      <c r="A151" s="35"/>
      <c r="B151" s="36"/>
      <c r="C151" s="36"/>
      <c r="D151" s="36"/>
      <c r="E151" s="27"/>
      <c r="F151" s="27"/>
      <c r="G151" s="27"/>
      <c r="H151" s="37"/>
      <c r="J151" s="35"/>
      <c r="K151" s="36"/>
      <c r="L151" s="36"/>
      <c r="M151" s="36"/>
      <c r="N151" s="27"/>
      <c r="O151" s="27"/>
      <c r="P151" s="27"/>
      <c r="Q151" s="37"/>
      <c r="S151" s="35"/>
      <c r="T151" s="36"/>
      <c r="U151" s="36"/>
      <c r="V151" s="36"/>
      <c r="W151" s="27"/>
      <c r="X151" s="27"/>
      <c r="Y151" s="27"/>
      <c r="Z151" s="37"/>
      <c r="AB151" s="35"/>
      <c r="AC151" s="36"/>
      <c r="AD151" s="36"/>
      <c r="AE151" s="36"/>
      <c r="AF151" s="27"/>
      <c r="AG151" s="27"/>
      <c r="AH151" s="27"/>
      <c r="AI151" s="37"/>
    </row>
    <row r="152" customFormat="false" ht="18.75" hidden="false" customHeight="false" outlineLevel="0" collapsed="false">
      <c r="A152" s="35" t="s">
        <v>186</v>
      </c>
      <c r="B152" s="36"/>
      <c r="C152" s="36"/>
      <c r="D152" s="27"/>
      <c r="E152" s="109" t="n">
        <v>0</v>
      </c>
      <c r="F152" s="109"/>
      <c r="G152" s="109" t="n">
        <v>0</v>
      </c>
      <c r="H152" s="109"/>
      <c r="J152" s="35" t="s">
        <v>186</v>
      </c>
      <c r="K152" s="36"/>
      <c r="L152" s="36"/>
      <c r="M152" s="27"/>
      <c r="N152" s="109" t="n">
        <v>10000</v>
      </c>
      <c r="O152" s="109"/>
      <c r="P152" s="109" t="n">
        <v>5000</v>
      </c>
      <c r="Q152" s="109"/>
      <c r="S152" s="35" t="s">
        <v>186</v>
      </c>
      <c r="T152" s="36"/>
      <c r="U152" s="36"/>
      <c r="V152" s="27"/>
      <c r="W152" s="109" t="n">
        <v>10000</v>
      </c>
      <c r="X152" s="109"/>
      <c r="Y152" s="109" t="n">
        <v>5000</v>
      </c>
      <c r="Z152" s="109"/>
      <c r="AB152" s="35" t="s">
        <v>186</v>
      </c>
      <c r="AC152" s="36"/>
      <c r="AD152" s="36"/>
      <c r="AE152" s="27"/>
      <c r="AF152" s="109" t="n">
        <v>10000</v>
      </c>
      <c r="AG152" s="109"/>
      <c r="AH152" s="109" t="n">
        <v>5000</v>
      </c>
      <c r="AI152" s="109"/>
    </row>
    <row r="153" customFormat="false" ht="18.75" hidden="false" customHeight="false" outlineLevel="0" collapsed="false">
      <c r="A153" s="35" t="s">
        <v>187</v>
      </c>
      <c r="B153" s="36"/>
      <c r="C153" s="36"/>
      <c r="D153" s="27"/>
      <c r="E153" s="156" t="n">
        <f aca="false">G153</f>
        <v>0</v>
      </c>
      <c r="F153" s="156"/>
      <c r="G153" s="109" t="n">
        <v>0</v>
      </c>
      <c r="H153" s="109"/>
      <c r="J153" s="35" t="s">
        <v>187</v>
      </c>
      <c r="K153" s="36"/>
      <c r="L153" s="36"/>
      <c r="M153" s="27"/>
      <c r="N153" s="156" t="n">
        <f aca="false">P153</f>
        <v>7000</v>
      </c>
      <c r="O153" s="156"/>
      <c r="P153" s="109" t="n">
        <v>7000</v>
      </c>
      <c r="Q153" s="109"/>
      <c r="S153" s="35" t="s">
        <v>187</v>
      </c>
      <c r="T153" s="36"/>
      <c r="U153" s="36"/>
      <c r="V153" s="27"/>
      <c r="W153" s="156" t="n">
        <f aca="false">Y153</f>
        <v>7000</v>
      </c>
      <c r="X153" s="156"/>
      <c r="Y153" s="109" t="n">
        <v>7000</v>
      </c>
      <c r="Z153" s="109"/>
      <c r="AB153" s="35" t="s">
        <v>187</v>
      </c>
      <c r="AC153" s="36"/>
      <c r="AD153" s="36"/>
      <c r="AE153" s="27"/>
      <c r="AF153" s="156" t="n">
        <f aca="false">AH153</f>
        <v>7000</v>
      </c>
      <c r="AG153" s="156"/>
      <c r="AH153" s="109" t="n">
        <v>7000</v>
      </c>
      <c r="AI153" s="109"/>
    </row>
    <row r="154" customFormat="false" ht="18.75" hidden="false" customHeight="false" outlineLevel="0" collapsed="false">
      <c r="A154" s="35" t="s">
        <v>188</v>
      </c>
      <c r="B154" s="36"/>
      <c r="C154" s="36"/>
      <c r="D154" s="27"/>
      <c r="E154" s="156" t="n">
        <f aca="false">E152-E153</f>
        <v>0</v>
      </c>
      <c r="F154" s="156"/>
      <c r="G154" s="157" t="n">
        <f aca="false">G152-G153</f>
        <v>0</v>
      </c>
      <c r="H154" s="157"/>
      <c r="J154" s="35" t="s">
        <v>188</v>
      </c>
      <c r="K154" s="36"/>
      <c r="L154" s="36"/>
      <c r="M154" s="27"/>
      <c r="N154" s="156" t="n">
        <f aca="false">N152-N153</f>
        <v>3000</v>
      </c>
      <c r="O154" s="156"/>
      <c r="P154" s="157" t="n">
        <f aca="false">P152-P153</f>
        <v>-2000</v>
      </c>
      <c r="Q154" s="157"/>
      <c r="S154" s="35" t="s">
        <v>188</v>
      </c>
      <c r="T154" s="36"/>
      <c r="U154" s="36"/>
      <c r="V154" s="27"/>
      <c r="W154" s="156" t="n">
        <f aca="false">W152-W153</f>
        <v>3000</v>
      </c>
      <c r="X154" s="156"/>
      <c r="Y154" s="157" t="n">
        <f aca="false">Y152-Y153</f>
        <v>-2000</v>
      </c>
      <c r="Z154" s="157"/>
      <c r="AB154" s="35" t="s">
        <v>188</v>
      </c>
      <c r="AC154" s="36"/>
      <c r="AD154" s="36"/>
      <c r="AE154" s="27"/>
      <c r="AF154" s="156" t="n">
        <f aca="false">AF152-AF153</f>
        <v>3000</v>
      </c>
      <c r="AG154" s="156"/>
      <c r="AH154" s="157" t="n">
        <f aca="false">AH152-AH153</f>
        <v>-2000</v>
      </c>
      <c r="AI154" s="157"/>
    </row>
    <row r="155" customFormat="false" ht="18.75" hidden="false" customHeight="false" outlineLevel="0" collapsed="false">
      <c r="A155" s="35" t="s">
        <v>189</v>
      </c>
      <c r="B155" s="36"/>
      <c r="C155" s="36"/>
      <c r="D155" s="27"/>
      <c r="E155" s="156" t="n">
        <f aca="false">E154-G154</f>
        <v>0</v>
      </c>
      <c r="F155" s="156"/>
      <c r="G155" s="27"/>
      <c r="H155" s="37"/>
      <c r="J155" s="35" t="s">
        <v>189</v>
      </c>
      <c r="K155" s="36"/>
      <c r="L155" s="36"/>
      <c r="M155" s="27"/>
      <c r="N155" s="156" t="n">
        <f aca="false">N154-P154</f>
        <v>5000</v>
      </c>
      <c r="O155" s="156"/>
      <c r="P155" s="27"/>
      <c r="Q155" s="37"/>
      <c r="S155" s="35" t="s">
        <v>189</v>
      </c>
      <c r="T155" s="36"/>
      <c r="U155" s="36"/>
      <c r="V155" s="27"/>
      <c r="W155" s="156" t="n">
        <f aca="false">W154-Y154</f>
        <v>5000</v>
      </c>
      <c r="X155" s="156"/>
      <c r="Y155" s="27"/>
      <c r="Z155" s="37"/>
      <c r="AB155" s="35" t="s">
        <v>189</v>
      </c>
      <c r="AC155" s="36"/>
      <c r="AD155" s="36"/>
      <c r="AE155" s="27"/>
      <c r="AF155" s="156" t="n">
        <f aca="false">AF154-AH154</f>
        <v>5000</v>
      </c>
      <c r="AG155" s="156"/>
      <c r="AH155" s="27"/>
      <c r="AI155" s="37"/>
    </row>
    <row r="156" customFormat="false" ht="18.75" hidden="false" customHeight="false" outlineLevel="0" collapsed="false">
      <c r="A156" s="29" t="s">
        <v>190</v>
      </c>
      <c r="B156" s="30"/>
      <c r="C156" s="30"/>
      <c r="D156" s="79"/>
      <c r="E156" s="30"/>
      <c r="F156" s="79"/>
      <c r="G156" s="158" t="s">
        <v>10</v>
      </c>
      <c r="H156" s="44" t="n">
        <v>1420</v>
      </c>
      <c r="J156" s="35"/>
      <c r="K156" s="36"/>
      <c r="L156" s="36"/>
      <c r="M156" s="27"/>
      <c r="N156" s="36"/>
      <c r="O156" s="27"/>
      <c r="P156" s="27"/>
      <c r="Q156" s="37"/>
      <c r="S156" s="35"/>
      <c r="T156" s="36"/>
      <c r="U156" s="36"/>
      <c r="V156" s="27"/>
      <c r="W156" s="36"/>
      <c r="X156" s="27"/>
      <c r="Y156" s="27"/>
      <c r="Z156" s="37"/>
      <c r="AB156" s="35"/>
      <c r="AC156" s="36"/>
      <c r="AD156" s="36"/>
      <c r="AE156" s="27"/>
      <c r="AF156" s="36"/>
      <c r="AG156" s="27"/>
      <c r="AH156" s="27"/>
      <c r="AI156" s="37"/>
    </row>
    <row r="157" customFormat="false" ht="18.75" hidden="false" customHeight="false" outlineLevel="0" collapsed="false">
      <c r="A157" s="29" t="s">
        <v>191</v>
      </c>
      <c r="B157" s="30"/>
      <c r="C157" s="30"/>
      <c r="D157" s="79"/>
      <c r="E157" s="30"/>
      <c r="F157" s="79"/>
      <c r="G157" s="158" t="n">
        <f aca="false">A114</f>
        <v>2000</v>
      </c>
      <c r="H157" s="158"/>
      <c r="J157" s="29" t="s">
        <v>191</v>
      </c>
      <c r="K157" s="30"/>
      <c r="L157" s="30"/>
      <c r="M157" s="79"/>
      <c r="N157" s="30"/>
      <c r="O157" s="79"/>
      <c r="P157" s="158" t="n">
        <f aca="false">J114</f>
        <v>1000</v>
      </c>
      <c r="Q157" s="158"/>
      <c r="S157" s="29" t="s">
        <v>191</v>
      </c>
      <c r="T157" s="30"/>
      <c r="U157" s="30"/>
      <c r="V157" s="79"/>
      <c r="W157" s="30"/>
      <c r="X157" s="79"/>
      <c r="Y157" s="158" t="n">
        <f aca="false">S114</f>
        <v>1000</v>
      </c>
      <c r="Z157" s="158"/>
      <c r="AB157" s="29" t="s">
        <v>191</v>
      </c>
      <c r="AC157" s="30"/>
      <c r="AD157" s="30"/>
      <c r="AE157" s="79"/>
      <c r="AF157" s="30"/>
      <c r="AG157" s="79"/>
      <c r="AH157" s="158" t="n">
        <f aca="false">AB114</f>
        <v>1000</v>
      </c>
      <c r="AI157" s="158"/>
    </row>
    <row r="158" customFormat="false" ht="19.7" hidden="false" customHeight="false" outlineLevel="0" collapsed="false">
      <c r="A158" s="159" t="s">
        <v>192</v>
      </c>
      <c r="B158" s="36"/>
      <c r="C158" s="36"/>
      <c r="D158" s="27"/>
      <c r="E158" s="36"/>
      <c r="F158" s="27"/>
      <c r="G158" s="160" t="n">
        <f aca="false">H147-G154-G157+H156</f>
        <v>60265.51636</v>
      </c>
      <c r="H158" s="160"/>
      <c r="J158" s="159" t="s">
        <v>192</v>
      </c>
      <c r="K158" s="36"/>
      <c r="L158" s="36"/>
      <c r="M158" s="27"/>
      <c r="N158" s="36"/>
      <c r="O158" s="27"/>
      <c r="P158" s="160" t="n">
        <f aca="false">Q147-P154-P157</f>
        <v>37144.4</v>
      </c>
      <c r="Q158" s="160"/>
      <c r="S158" s="159" t="s">
        <v>192</v>
      </c>
      <c r="T158" s="36"/>
      <c r="U158" s="36"/>
      <c r="V158" s="27"/>
      <c r="W158" s="36"/>
      <c r="X158" s="27"/>
      <c r="Y158" s="160" t="n">
        <f aca="false">Z147-Y154-Y157</f>
        <v>55467.36701</v>
      </c>
      <c r="Z158" s="160"/>
      <c r="AB158" s="159" t="s">
        <v>192</v>
      </c>
      <c r="AC158" s="36"/>
      <c r="AD158" s="36"/>
      <c r="AE158" s="27"/>
      <c r="AF158" s="36"/>
      <c r="AG158" s="27"/>
      <c r="AH158" s="160" t="n">
        <f aca="false">AI147-AH154-AH157</f>
        <v>42396.893</v>
      </c>
      <c r="AI158" s="160"/>
    </row>
    <row r="159" customFormat="false" ht="18.75" hidden="false" customHeight="false" outlineLevel="0" collapsed="false">
      <c r="A159" s="60" t="s">
        <v>66</v>
      </c>
      <c r="B159" s="61"/>
      <c r="C159" s="61"/>
      <c r="D159" s="101"/>
      <c r="E159" s="61"/>
      <c r="F159" s="101"/>
      <c r="G159" s="161" t="n">
        <f aca="false">B114</f>
        <v>199.991666666667</v>
      </c>
      <c r="H159" s="161"/>
      <c r="J159" s="60" t="s">
        <v>66</v>
      </c>
      <c r="K159" s="61"/>
      <c r="L159" s="61"/>
      <c r="M159" s="101"/>
      <c r="N159" s="61"/>
      <c r="O159" s="101"/>
      <c r="P159" s="161" t="n">
        <f aca="false">K114</f>
        <v>239.99</v>
      </c>
      <c r="Q159" s="161"/>
      <c r="S159" s="60" t="s">
        <v>66</v>
      </c>
      <c r="T159" s="61"/>
      <c r="U159" s="61"/>
      <c r="V159" s="101"/>
      <c r="W159" s="61"/>
      <c r="X159" s="101"/>
      <c r="Y159" s="161" t="n">
        <f aca="false">T114</f>
        <v>199.99</v>
      </c>
      <c r="Z159" s="161"/>
      <c r="AB159" s="60" t="s">
        <v>66</v>
      </c>
      <c r="AC159" s="61"/>
      <c r="AD159" s="61"/>
      <c r="AE159" s="101"/>
      <c r="AF159" s="61"/>
      <c r="AG159" s="101"/>
      <c r="AH159" s="161" t="n">
        <f aca="false">AC114</f>
        <v>239.99</v>
      </c>
      <c r="AI159" s="161"/>
    </row>
    <row r="160" customFormat="false" ht="18.75" hidden="false" customHeight="false" outlineLevel="0" collapsed="false">
      <c r="A160" s="35"/>
      <c r="B160" s="36"/>
      <c r="C160" s="36"/>
      <c r="D160" s="36"/>
      <c r="E160" s="27"/>
      <c r="F160" s="27"/>
      <c r="G160" s="27"/>
      <c r="H160" s="37"/>
      <c r="J160" s="35"/>
      <c r="K160" s="36"/>
      <c r="L160" s="36"/>
      <c r="M160" s="36"/>
      <c r="N160" s="27"/>
      <c r="O160" s="27"/>
      <c r="P160" s="27"/>
      <c r="Q160" s="37"/>
      <c r="S160" s="35"/>
      <c r="T160" s="36"/>
      <c r="U160" s="36"/>
      <c r="V160" s="36"/>
      <c r="W160" s="27"/>
      <c r="X160" s="27"/>
      <c r="Y160" s="27"/>
      <c r="Z160" s="37"/>
      <c r="AB160" s="35"/>
      <c r="AC160" s="36"/>
      <c r="AD160" s="36"/>
      <c r="AE160" s="36"/>
      <c r="AF160" s="27"/>
      <c r="AG160" s="27"/>
      <c r="AH160" s="27"/>
      <c r="AI160" s="37"/>
    </row>
    <row r="161" customFormat="false" ht="18.75" hidden="false" customHeight="false" outlineLevel="0" collapsed="false">
      <c r="A161" s="35"/>
      <c r="B161" s="36"/>
      <c r="C161" s="36"/>
      <c r="D161" s="36"/>
      <c r="E161" s="27"/>
      <c r="F161" s="27"/>
      <c r="G161" s="27"/>
      <c r="H161" s="37"/>
      <c r="J161" s="35"/>
      <c r="K161" s="36"/>
      <c r="L161" s="36"/>
      <c r="M161" s="36"/>
      <c r="N161" s="27"/>
      <c r="O161" s="27"/>
      <c r="P161" s="27"/>
      <c r="Q161" s="37"/>
      <c r="S161" s="35"/>
      <c r="T161" s="36"/>
      <c r="U161" s="36"/>
      <c r="V161" s="36"/>
      <c r="W161" s="27"/>
      <c r="X161" s="27"/>
      <c r="Y161" s="27"/>
      <c r="Z161" s="37"/>
      <c r="AB161" s="35"/>
      <c r="AC161" s="36"/>
      <c r="AD161" s="36"/>
      <c r="AE161" s="36"/>
      <c r="AF161" s="27"/>
      <c r="AG161" s="27"/>
      <c r="AH161" s="27"/>
      <c r="AI161" s="37"/>
    </row>
    <row r="162" customFormat="false" ht="22.05" hidden="false" customHeight="false" outlineLevel="0" collapsed="false">
      <c r="A162" s="32" t="s">
        <v>193</v>
      </c>
      <c r="B162" s="32"/>
      <c r="C162" s="32"/>
      <c r="D162" s="32"/>
      <c r="E162" s="32"/>
      <c r="F162" s="32"/>
      <c r="G162" s="32"/>
      <c r="H162" s="32"/>
      <c r="J162" s="32" t="s">
        <v>193</v>
      </c>
      <c r="K162" s="32"/>
      <c r="L162" s="32"/>
      <c r="M162" s="32"/>
      <c r="N162" s="32"/>
      <c r="O162" s="32"/>
      <c r="P162" s="32"/>
      <c r="Q162" s="32"/>
      <c r="S162" s="32" t="s">
        <v>193</v>
      </c>
      <c r="T162" s="32"/>
      <c r="U162" s="32"/>
      <c r="V162" s="32"/>
      <c r="W162" s="32"/>
      <c r="X162" s="32"/>
      <c r="Y162" s="32"/>
      <c r="Z162" s="32"/>
      <c r="AB162" s="32" t="s">
        <v>193</v>
      </c>
      <c r="AC162" s="32"/>
      <c r="AD162" s="32"/>
      <c r="AE162" s="32"/>
      <c r="AF162" s="32"/>
      <c r="AG162" s="32"/>
      <c r="AH162" s="32"/>
      <c r="AI162" s="32"/>
    </row>
    <row r="163" customFormat="false" ht="18.75" hidden="false" customHeight="false" outlineLevel="0" collapsed="false">
      <c r="A163" s="35"/>
      <c r="B163" s="36"/>
      <c r="C163" s="36"/>
      <c r="D163" s="36"/>
      <c r="E163" s="27"/>
      <c r="F163" s="27"/>
      <c r="G163" s="27"/>
      <c r="H163" s="37"/>
      <c r="J163" s="35"/>
      <c r="K163" s="36"/>
      <c r="L163" s="36"/>
      <c r="M163" s="36"/>
      <c r="N163" s="27"/>
      <c r="O163" s="27"/>
      <c r="P163" s="27"/>
      <c r="Q163" s="37"/>
      <c r="S163" s="35"/>
      <c r="T163" s="36"/>
      <c r="U163" s="36"/>
      <c r="V163" s="36"/>
      <c r="W163" s="27"/>
      <c r="X163" s="27"/>
      <c r="Y163" s="27"/>
      <c r="Z163" s="37"/>
      <c r="AB163" s="35"/>
      <c r="AC163" s="36"/>
      <c r="AD163" s="36"/>
      <c r="AE163" s="36"/>
      <c r="AF163" s="27"/>
      <c r="AG163" s="27"/>
      <c r="AH163" s="27"/>
      <c r="AI163" s="37"/>
    </row>
    <row r="164" customFormat="false" ht="18.75" hidden="false" customHeight="false" outlineLevel="0" collapsed="false">
      <c r="A164" s="35" t="s">
        <v>194</v>
      </c>
      <c r="B164" s="162" t="n">
        <v>0</v>
      </c>
      <c r="C164" s="162"/>
      <c r="D164" s="36"/>
      <c r="E164" s="27"/>
      <c r="F164" s="27"/>
      <c r="G164" s="27"/>
      <c r="H164" s="37"/>
      <c r="J164" s="35" t="s">
        <v>194</v>
      </c>
      <c r="K164" s="162" t="n">
        <v>0</v>
      </c>
      <c r="L164" s="162"/>
      <c r="M164" s="36"/>
      <c r="N164" s="27"/>
      <c r="O164" s="27"/>
      <c r="P164" s="27"/>
      <c r="Q164" s="37"/>
      <c r="S164" s="35" t="s">
        <v>194</v>
      </c>
      <c r="T164" s="162" t="n">
        <v>0</v>
      </c>
      <c r="U164" s="162"/>
      <c r="V164" s="36"/>
      <c r="W164" s="27"/>
      <c r="X164" s="27"/>
      <c r="Y164" s="27"/>
      <c r="Z164" s="37"/>
      <c r="AB164" s="35" t="s">
        <v>194</v>
      </c>
      <c r="AC164" s="162" t="n">
        <v>0</v>
      </c>
      <c r="AD164" s="162"/>
      <c r="AE164" s="36"/>
      <c r="AF164" s="27"/>
      <c r="AG164" s="27"/>
      <c r="AH164" s="27"/>
      <c r="AI164" s="37"/>
    </row>
    <row r="165" customFormat="false" ht="18.75" hidden="false" customHeight="false" outlineLevel="0" collapsed="false">
      <c r="A165" s="35"/>
      <c r="B165" s="36"/>
      <c r="C165" s="36"/>
      <c r="D165" s="36"/>
      <c r="E165" s="27"/>
      <c r="F165" s="27"/>
      <c r="G165" s="27"/>
      <c r="H165" s="37"/>
      <c r="J165" s="35"/>
      <c r="K165" s="36"/>
      <c r="L165" s="36"/>
      <c r="M165" s="36"/>
      <c r="N165" s="27"/>
      <c r="O165" s="27"/>
      <c r="P165" s="27"/>
      <c r="Q165" s="37"/>
      <c r="S165" s="35"/>
      <c r="T165" s="36"/>
      <c r="U165" s="36"/>
      <c r="V165" s="36"/>
      <c r="W165" s="27"/>
      <c r="X165" s="27"/>
      <c r="Y165" s="27"/>
      <c r="Z165" s="37"/>
      <c r="AB165" s="35"/>
      <c r="AC165" s="36"/>
      <c r="AD165" s="36"/>
      <c r="AE165" s="36"/>
      <c r="AF165" s="27"/>
      <c r="AG165" s="27"/>
      <c r="AH165" s="27"/>
      <c r="AI165" s="37"/>
    </row>
    <row r="166" customFormat="false" ht="18.75" hidden="false" customHeight="false" outlineLevel="0" collapsed="false">
      <c r="A166" s="163" t="s">
        <v>195</v>
      </c>
      <c r="B166" s="164" t="s">
        <v>196</v>
      </c>
      <c r="C166" s="164"/>
      <c r="D166" s="164"/>
      <c r="E166" s="164" t="s">
        <v>197</v>
      </c>
      <c r="F166" s="27"/>
      <c r="G166" s="27" t="s">
        <v>198</v>
      </c>
      <c r="H166" s="37"/>
      <c r="J166" s="163" t="s">
        <v>195</v>
      </c>
      <c r="K166" s="164" t="s">
        <v>196</v>
      </c>
      <c r="L166" s="164"/>
      <c r="M166" s="164"/>
      <c r="N166" s="164" t="s">
        <v>197</v>
      </c>
      <c r="O166" s="27"/>
      <c r="P166" s="27"/>
      <c r="Q166" s="37"/>
      <c r="S166" s="163" t="s">
        <v>195</v>
      </c>
      <c r="T166" s="164" t="s">
        <v>196</v>
      </c>
      <c r="U166" s="164"/>
      <c r="V166" s="164"/>
      <c r="W166" s="164" t="s">
        <v>197</v>
      </c>
      <c r="X166" s="27"/>
      <c r="Y166" s="27"/>
      <c r="Z166" s="37"/>
      <c r="AB166" s="163" t="s">
        <v>195</v>
      </c>
      <c r="AC166" s="164" t="s">
        <v>196</v>
      </c>
      <c r="AD166" s="164"/>
      <c r="AE166" s="164"/>
      <c r="AF166" s="164" t="s">
        <v>197</v>
      </c>
      <c r="AG166" s="27"/>
      <c r="AH166" s="27"/>
      <c r="AI166" s="37"/>
    </row>
    <row r="167" customFormat="false" ht="18.75" hidden="false" customHeight="false" outlineLevel="0" collapsed="false">
      <c r="A167" s="165" t="n">
        <f aca="false">B95</f>
        <v>1898.00311359165</v>
      </c>
      <c r="B167" s="166" t="n">
        <f aca="false">B94</f>
        <v>140.541470588235</v>
      </c>
      <c r="C167" s="164"/>
      <c r="D167" s="164"/>
      <c r="E167" s="166" t="n">
        <f aca="false">B96</f>
        <v>2038.54458417988</v>
      </c>
      <c r="F167" s="27"/>
      <c r="G167" s="27" t="n">
        <f aca="false">ROUND(G95,2)</f>
        <v>1740.05</v>
      </c>
      <c r="H167" s="37"/>
      <c r="J167" s="165" t="n">
        <f aca="false">K95</f>
        <v>1485.8580590649</v>
      </c>
      <c r="K167" s="166" t="n">
        <f aca="false">K94</f>
        <v>163.8312</v>
      </c>
      <c r="L167" s="164"/>
      <c r="M167" s="164"/>
      <c r="N167" s="166" t="n">
        <f aca="false">K96</f>
        <v>1649.6892590649</v>
      </c>
      <c r="O167" s="27"/>
      <c r="P167" s="27"/>
      <c r="Q167" s="37"/>
      <c r="S167" s="165" t="n">
        <f aca="false">T95</f>
        <v>1747.59159070211</v>
      </c>
      <c r="T167" s="166" t="n">
        <f aca="false">T94</f>
        <v>129.730588235294</v>
      </c>
      <c r="U167" s="164"/>
      <c r="V167" s="164"/>
      <c r="W167" s="166" t="n">
        <f aca="false">T96</f>
        <v>1877.3221789374</v>
      </c>
      <c r="X167" s="27"/>
      <c r="Y167" s="27"/>
      <c r="Z167" s="37"/>
      <c r="AB167" s="165" t="n">
        <f aca="false">AC95</f>
        <v>1285.34884951115</v>
      </c>
      <c r="AC167" s="166" t="n">
        <f aca="false">AC94</f>
        <v>155.676705882353</v>
      </c>
      <c r="AD167" s="164"/>
      <c r="AE167" s="164"/>
      <c r="AF167" s="166" t="n">
        <f aca="false">AC96</f>
        <v>1441.0255553935</v>
      </c>
      <c r="AG167" s="27"/>
      <c r="AH167" s="27"/>
      <c r="AI167" s="37"/>
    </row>
    <row r="168" customFormat="false" ht="18.75" hidden="false" customHeight="false" outlineLevel="0" collapsed="false">
      <c r="A168" s="35"/>
      <c r="B168" s="36"/>
      <c r="C168" s="36"/>
      <c r="D168" s="36"/>
      <c r="E168" s="27"/>
      <c r="F168" s="27"/>
      <c r="G168" s="27"/>
      <c r="H168" s="37"/>
      <c r="J168" s="35"/>
      <c r="K168" s="36"/>
      <c r="L168" s="36"/>
      <c r="M168" s="36"/>
      <c r="N168" s="27"/>
      <c r="O168" s="27"/>
      <c r="P168" s="27"/>
      <c r="Q168" s="37"/>
      <c r="S168" s="35"/>
      <c r="T168" s="36"/>
      <c r="U168" s="36"/>
      <c r="V168" s="36"/>
      <c r="W168" s="27"/>
      <c r="X168" s="27"/>
      <c r="Y168" s="27"/>
      <c r="Z168" s="37"/>
      <c r="AB168" s="35"/>
      <c r="AC168" s="36"/>
      <c r="AD168" s="36"/>
      <c r="AE168" s="36"/>
      <c r="AF168" s="27"/>
      <c r="AG168" s="27"/>
      <c r="AH168" s="27"/>
      <c r="AI168" s="37"/>
    </row>
    <row r="169" customFormat="false" ht="18.75" hidden="false" customHeight="false" outlineLevel="0" collapsed="false">
      <c r="A169" s="35" t="s">
        <v>95</v>
      </c>
      <c r="B169" s="36" t="s">
        <v>96</v>
      </c>
      <c r="C169" s="36"/>
      <c r="D169" s="27"/>
      <c r="E169" s="36" t="s">
        <v>199</v>
      </c>
      <c r="F169" s="27"/>
      <c r="G169" s="27"/>
      <c r="H169" s="37"/>
      <c r="J169" s="35" t="s">
        <v>95</v>
      </c>
      <c r="K169" s="36" t="s">
        <v>96</v>
      </c>
      <c r="L169" s="36"/>
      <c r="M169" s="27"/>
      <c r="N169" s="36" t="s">
        <v>199</v>
      </c>
      <c r="O169" s="27"/>
      <c r="P169" s="27"/>
      <c r="Q169" s="37"/>
      <c r="S169" s="35" t="s">
        <v>95</v>
      </c>
      <c r="T169" s="36" t="s">
        <v>96</v>
      </c>
      <c r="U169" s="36"/>
      <c r="V169" s="27"/>
      <c r="W169" s="36" t="s">
        <v>199</v>
      </c>
      <c r="X169" s="27"/>
      <c r="Y169" s="27"/>
      <c r="Z169" s="37"/>
      <c r="AB169" s="35" t="s">
        <v>95</v>
      </c>
      <c r="AC169" s="36" t="s">
        <v>96</v>
      </c>
      <c r="AD169" s="36"/>
      <c r="AE169" s="27"/>
      <c r="AF169" s="36" t="s">
        <v>199</v>
      </c>
      <c r="AG169" s="27"/>
      <c r="AH169" s="27"/>
      <c r="AI169" s="37"/>
    </row>
    <row r="170" customFormat="false" ht="18.75" hidden="false" customHeight="false" outlineLevel="0" collapsed="false">
      <c r="A170" s="167" t="n">
        <f aca="false">K29</f>
        <v>35</v>
      </c>
      <c r="B170" s="168" t="n">
        <f aca="false">K30</f>
        <v>35000</v>
      </c>
      <c r="C170" s="169"/>
      <c r="D170" s="27"/>
      <c r="E170" s="170" t="n">
        <f aca="false">IF(A111="YES",A40,0)</f>
        <v>8850</v>
      </c>
      <c r="F170" s="27"/>
      <c r="G170" s="27"/>
      <c r="H170" s="37"/>
      <c r="J170" s="167" t="n">
        <f aca="false">K29</f>
        <v>35</v>
      </c>
      <c r="K170" s="168" t="n">
        <f aca="false">K30</f>
        <v>35000</v>
      </c>
      <c r="L170" s="169"/>
      <c r="M170" s="27"/>
      <c r="N170" s="170" t="n">
        <f aca="false">IF(A111="YES",A40,0)</f>
        <v>8850</v>
      </c>
      <c r="O170" s="27"/>
      <c r="P170" s="27"/>
      <c r="Q170" s="37"/>
      <c r="S170" s="167" t="n">
        <f aca="false">K29</f>
        <v>35</v>
      </c>
      <c r="T170" s="168" t="n">
        <f aca="false">K30</f>
        <v>35000</v>
      </c>
      <c r="U170" s="169"/>
      <c r="V170" s="27"/>
      <c r="W170" s="170" t="n">
        <f aca="false">IF(A111="YES",A40,0)</f>
        <v>8850</v>
      </c>
      <c r="X170" s="27"/>
      <c r="Y170" s="27"/>
      <c r="Z170" s="37"/>
      <c r="AB170" s="167" t="n">
        <f aca="false">K29</f>
        <v>35</v>
      </c>
      <c r="AC170" s="168" t="n">
        <f aca="false">K30</f>
        <v>35000</v>
      </c>
      <c r="AD170" s="169"/>
      <c r="AE170" s="27"/>
      <c r="AF170" s="170" t="n">
        <f aca="false">IF(A111="YES",A40,0)</f>
        <v>8850</v>
      </c>
      <c r="AG170" s="27"/>
      <c r="AH170" s="27"/>
      <c r="AI170" s="37"/>
    </row>
    <row r="171" customFormat="false" ht="18.75" hidden="false" customHeight="false" outlineLevel="0" collapsed="false">
      <c r="A171" s="35"/>
      <c r="B171" s="36"/>
      <c r="C171" s="36"/>
      <c r="D171" s="27"/>
      <c r="E171" s="36"/>
      <c r="F171" s="27"/>
      <c r="G171" s="27"/>
      <c r="H171" s="37"/>
      <c r="J171" s="35"/>
      <c r="K171" s="36"/>
      <c r="L171" s="36"/>
      <c r="M171" s="27"/>
      <c r="N171" s="36"/>
      <c r="O171" s="27"/>
      <c r="P171" s="27"/>
      <c r="Q171" s="37"/>
      <c r="S171" s="35"/>
      <c r="T171" s="36"/>
      <c r="U171" s="36"/>
      <c r="V171" s="27"/>
      <c r="W171" s="36"/>
      <c r="X171" s="27"/>
      <c r="Y171" s="27"/>
      <c r="Z171" s="37"/>
      <c r="AB171" s="35"/>
      <c r="AC171" s="36"/>
      <c r="AD171" s="36"/>
      <c r="AE171" s="27"/>
      <c r="AF171" s="36"/>
      <c r="AG171" s="27"/>
      <c r="AH171" s="27"/>
      <c r="AI171" s="37"/>
    </row>
    <row r="172" customFormat="false" ht="18.75" hidden="false" customHeight="false" outlineLevel="0" collapsed="false">
      <c r="A172" s="35" t="s">
        <v>200</v>
      </c>
      <c r="B172" s="36" t="s">
        <v>201</v>
      </c>
      <c r="C172" s="36"/>
      <c r="D172" s="27"/>
      <c r="E172" s="36" t="s">
        <v>202</v>
      </c>
      <c r="F172" s="27"/>
      <c r="G172" s="27"/>
      <c r="H172" s="37"/>
      <c r="J172" s="35" t="s">
        <v>200</v>
      </c>
      <c r="K172" s="36" t="s">
        <v>201</v>
      </c>
      <c r="L172" s="36"/>
      <c r="M172" s="27"/>
      <c r="N172" s="36" t="s">
        <v>202</v>
      </c>
      <c r="O172" s="27"/>
      <c r="P172" s="27"/>
      <c r="Q172" s="37"/>
      <c r="S172" s="35" t="s">
        <v>200</v>
      </c>
      <c r="T172" s="36" t="s">
        <v>201</v>
      </c>
      <c r="U172" s="36"/>
      <c r="V172" s="27"/>
      <c r="W172" s="36" t="s">
        <v>202</v>
      </c>
      <c r="X172" s="27"/>
      <c r="Y172" s="27"/>
      <c r="Z172" s="37"/>
      <c r="AB172" s="35" t="s">
        <v>200</v>
      </c>
      <c r="AC172" s="36" t="s">
        <v>201</v>
      </c>
      <c r="AD172" s="36"/>
      <c r="AE172" s="27"/>
      <c r="AF172" s="36" t="s">
        <v>202</v>
      </c>
      <c r="AG172" s="27"/>
      <c r="AH172" s="27"/>
      <c r="AI172" s="37"/>
    </row>
    <row r="173" customFormat="false" ht="18.75" hidden="false" customHeight="false" outlineLevel="0" collapsed="false">
      <c r="A173" s="171" t="n">
        <f aca="false">H141-H137-H139-H140-H142</f>
        <v>48462.9303</v>
      </c>
      <c r="B173" s="42" t="n">
        <f aca="false">H137</f>
        <v>9695.18606</v>
      </c>
      <c r="C173" s="47"/>
      <c r="D173" s="27"/>
      <c r="E173" s="170" t="n">
        <f aca="false">H139+H140</f>
        <v>1010</v>
      </c>
      <c r="F173" s="27"/>
      <c r="G173" s="27"/>
      <c r="H173" s="37"/>
      <c r="J173" s="171" t="n">
        <f aca="false">Q141-Q137-Q139-Q140</f>
        <v>29300</v>
      </c>
      <c r="K173" s="42" t="n">
        <f aca="false">Q137</f>
        <v>5860</v>
      </c>
      <c r="L173" s="47"/>
      <c r="M173" s="27"/>
      <c r="N173" s="170" t="n">
        <f aca="false">Q139+Q140</f>
        <v>1000</v>
      </c>
      <c r="O173" s="27"/>
      <c r="P173" s="27"/>
      <c r="Q173" s="37"/>
      <c r="S173" s="171" t="n">
        <f aca="false">Z141-Z137-Z139-Z140</f>
        <v>44569.139175</v>
      </c>
      <c r="T173" s="42" t="n">
        <f aca="false">Z137</f>
        <v>8913.827835</v>
      </c>
      <c r="U173" s="47"/>
      <c r="V173" s="27"/>
      <c r="W173" s="170" t="n">
        <f aca="false">Z139+Z140</f>
        <v>1000</v>
      </c>
      <c r="X173" s="27"/>
      <c r="Y173" s="27"/>
      <c r="Z173" s="37"/>
      <c r="AB173" s="171" t="n">
        <f aca="false">AI141-AI137-AI139-AI140</f>
        <v>33677.0775</v>
      </c>
      <c r="AC173" s="42" t="n">
        <f aca="false">AI137</f>
        <v>6735.4155</v>
      </c>
      <c r="AD173" s="47"/>
      <c r="AE173" s="27"/>
      <c r="AF173" s="170" t="n">
        <f aca="false">AI139+AI140</f>
        <v>1000</v>
      </c>
      <c r="AG173" s="27"/>
      <c r="AH173" s="27"/>
      <c r="AI173" s="37"/>
    </row>
    <row r="174" customFormat="false" ht="18.75" hidden="false" customHeight="false" outlineLevel="0" collapsed="false">
      <c r="A174" s="35"/>
      <c r="B174" s="36"/>
      <c r="C174" s="36"/>
      <c r="D174" s="27"/>
      <c r="E174" s="36"/>
      <c r="F174" s="27"/>
      <c r="G174" s="27"/>
      <c r="H174" s="37"/>
      <c r="J174" s="35"/>
      <c r="K174" s="36"/>
      <c r="L174" s="36"/>
      <c r="M174" s="27"/>
      <c r="N174" s="36"/>
      <c r="O174" s="27"/>
      <c r="P174" s="27"/>
      <c r="Q174" s="37"/>
      <c r="S174" s="35"/>
      <c r="T174" s="36"/>
      <c r="U174" s="36"/>
      <c r="V174" s="27"/>
      <c r="W174" s="36"/>
      <c r="X174" s="27"/>
      <c r="Y174" s="27"/>
      <c r="Z174" s="37"/>
      <c r="AB174" s="35"/>
      <c r="AC174" s="36"/>
      <c r="AD174" s="36"/>
      <c r="AE174" s="27"/>
      <c r="AF174" s="36"/>
      <c r="AG174" s="27"/>
      <c r="AH174" s="27"/>
      <c r="AI174" s="37"/>
    </row>
    <row r="175" customFormat="false" ht="18.75" hidden="false" customHeight="false" outlineLevel="0" collapsed="false">
      <c r="A175" s="35" t="s">
        <v>203</v>
      </c>
      <c r="B175" s="36" t="s">
        <v>149</v>
      </c>
      <c r="C175" s="36"/>
      <c r="D175" s="27"/>
      <c r="E175" s="36" t="s">
        <v>150</v>
      </c>
      <c r="F175" s="27"/>
      <c r="G175" s="27"/>
      <c r="H175" s="37"/>
      <c r="J175" s="35" t="s">
        <v>203</v>
      </c>
      <c r="K175" s="36" t="s">
        <v>149</v>
      </c>
      <c r="L175" s="36"/>
      <c r="M175" s="27"/>
      <c r="N175" s="36" t="s">
        <v>150</v>
      </c>
      <c r="O175" s="27"/>
      <c r="P175" s="27"/>
      <c r="Q175" s="37"/>
      <c r="S175" s="35" t="s">
        <v>203</v>
      </c>
      <c r="T175" s="36" t="s">
        <v>149</v>
      </c>
      <c r="U175" s="36"/>
      <c r="V175" s="27"/>
      <c r="W175" s="36" t="s">
        <v>150</v>
      </c>
      <c r="X175" s="27"/>
      <c r="Y175" s="27"/>
      <c r="Z175" s="37"/>
      <c r="AB175" s="35" t="s">
        <v>203</v>
      </c>
      <c r="AC175" s="36" t="s">
        <v>149</v>
      </c>
      <c r="AD175" s="36"/>
      <c r="AE175" s="27"/>
      <c r="AF175" s="36" t="s">
        <v>150</v>
      </c>
      <c r="AG175" s="27"/>
      <c r="AH175" s="27"/>
      <c r="AI175" s="37"/>
    </row>
    <row r="176" customFormat="false" ht="18.75" hidden="false" customHeight="false" outlineLevel="0" collapsed="false">
      <c r="A176" s="171" t="n">
        <f aca="false">H141</f>
        <v>59181.11636</v>
      </c>
      <c r="B176" s="42" t="n">
        <f aca="false">B111</f>
        <v>1000</v>
      </c>
      <c r="C176" s="42"/>
      <c r="D176" s="27"/>
      <c r="E176" s="42" t="n">
        <f aca="false">E111</f>
        <v>1000</v>
      </c>
      <c r="F176" s="27"/>
      <c r="G176" s="27"/>
      <c r="H176" s="107"/>
      <c r="J176" s="171" t="n">
        <f aca="false">Q141</f>
        <v>36160</v>
      </c>
      <c r="K176" s="42" t="n">
        <f aca="false">K111</f>
        <v>1000</v>
      </c>
      <c r="L176" s="42"/>
      <c r="M176" s="27"/>
      <c r="N176" s="42" t="n">
        <f aca="false">N111</f>
        <v>0</v>
      </c>
      <c r="O176" s="27"/>
      <c r="P176" s="27"/>
      <c r="Q176" s="107"/>
      <c r="S176" s="171" t="n">
        <f aca="false">Z141</f>
        <v>54482.96701</v>
      </c>
      <c r="T176" s="42" t="n">
        <f aca="false">T111</f>
        <v>1000</v>
      </c>
      <c r="U176" s="42"/>
      <c r="V176" s="27"/>
      <c r="W176" s="42" t="n">
        <f aca="false">W111</f>
        <v>0</v>
      </c>
      <c r="X176" s="27"/>
      <c r="Y176" s="27"/>
      <c r="Z176" s="107"/>
      <c r="AB176" s="171" t="n">
        <f aca="false">AI141</f>
        <v>41412.493</v>
      </c>
      <c r="AC176" s="42" t="n">
        <f aca="false">AC111</f>
        <v>1000</v>
      </c>
      <c r="AD176" s="42"/>
      <c r="AE176" s="27"/>
      <c r="AF176" s="42" t="n">
        <f aca="false">AF111</f>
        <v>0</v>
      </c>
      <c r="AG176" s="27"/>
      <c r="AH176" s="27"/>
      <c r="AI176" s="107"/>
    </row>
    <row r="177" customFormat="false" ht="18.75" hidden="false" customHeight="false" outlineLevel="0" collapsed="false">
      <c r="A177" s="35"/>
      <c r="B177" s="36"/>
      <c r="C177" s="36"/>
      <c r="D177" s="27"/>
      <c r="E177" s="36"/>
      <c r="F177" s="27"/>
      <c r="G177" s="27"/>
      <c r="H177" s="37"/>
      <c r="J177" s="35"/>
      <c r="K177" s="36"/>
      <c r="L177" s="36"/>
      <c r="M177" s="27"/>
      <c r="N177" s="36"/>
      <c r="O177" s="27"/>
      <c r="P177" s="27"/>
      <c r="Q177" s="37"/>
      <c r="S177" s="35"/>
      <c r="T177" s="36"/>
      <c r="U177" s="36"/>
      <c r="V177" s="27"/>
      <c r="W177" s="36"/>
      <c r="X177" s="27"/>
      <c r="Y177" s="27"/>
      <c r="Z177" s="37"/>
      <c r="AB177" s="35"/>
      <c r="AC177" s="36"/>
      <c r="AD177" s="36"/>
      <c r="AE177" s="27"/>
      <c r="AF177" s="36"/>
      <c r="AG177" s="27"/>
      <c r="AH177" s="27"/>
      <c r="AI177" s="37"/>
    </row>
    <row r="178" customFormat="false" ht="18.75" hidden="false" customHeight="false" outlineLevel="0" collapsed="false">
      <c r="A178" s="35" t="s">
        <v>151</v>
      </c>
      <c r="B178" s="36" t="s">
        <v>186</v>
      </c>
      <c r="C178" s="36"/>
      <c r="D178" s="27"/>
      <c r="E178" s="36" t="s">
        <v>192</v>
      </c>
      <c r="F178" s="27"/>
      <c r="G178" s="27"/>
      <c r="H178" s="37"/>
      <c r="J178" s="35" t="s">
        <v>151</v>
      </c>
      <c r="K178" s="36" t="s">
        <v>186</v>
      </c>
      <c r="L178" s="36"/>
      <c r="M178" s="27"/>
      <c r="N178" s="36" t="s">
        <v>192</v>
      </c>
      <c r="O178" s="27"/>
      <c r="P178" s="27"/>
      <c r="Q178" s="37"/>
      <c r="S178" s="35" t="s">
        <v>151</v>
      </c>
      <c r="T178" s="36" t="s">
        <v>186</v>
      </c>
      <c r="U178" s="36"/>
      <c r="V178" s="27"/>
      <c r="W178" s="36" t="s">
        <v>192</v>
      </c>
      <c r="X178" s="27"/>
      <c r="Y178" s="27"/>
      <c r="Z178" s="37"/>
      <c r="AB178" s="35" t="s">
        <v>151</v>
      </c>
      <c r="AC178" s="36" t="s">
        <v>186</v>
      </c>
      <c r="AD178" s="36"/>
      <c r="AE178" s="27"/>
      <c r="AF178" s="36" t="s">
        <v>192</v>
      </c>
      <c r="AG178" s="27"/>
      <c r="AH178" s="27"/>
      <c r="AI178" s="37"/>
    </row>
    <row r="179" customFormat="false" ht="18.75" hidden="false" customHeight="false" outlineLevel="0" collapsed="false">
      <c r="A179" s="113" t="n">
        <f aca="false">B176+E176</f>
        <v>2000</v>
      </c>
      <c r="B179" s="42" t="n">
        <f aca="false">G154</f>
        <v>0</v>
      </c>
      <c r="C179" s="42"/>
      <c r="D179" s="27"/>
      <c r="E179" s="42" t="n">
        <f aca="false">G158</f>
        <v>60265.51636</v>
      </c>
      <c r="F179" s="27"/>
      <c r="G179" s="27"/>
      <c r="H179" s="107"/>
      <c r="J179" s="113" t="n">
        <f aca="false">K176+N176</f>
        <v>1000</v>
      </c>
      <c r="K179" s="42" t="n">
        <f aca="false">P154</f>
        <v>-2000</v>
      </c>
      <c r="L179" s="42"/>
      <c r="M179" s="27"/>
      <c r="N179" s="42" t="n">
        <f aca="false">J176-J179-K179</f>
        <v>37160</v>
      </c>
      <c r="O179" s="27"/>
      <c r="P179" s="27"/>
      <c r="Q179" s="107"/>
      <c r="S179" s="113" t="n">
        <f aca="false">T176+W176</f>
        <v>1000</v>
      </c>
      <c r="T179" s="42" t="n">
        <f aca="false">Y154</f>
        <v>-2000</v>
      </c>
      <c r="U179" s="42"/>
      <c r="V179" s="27"/>
      <c r="W179" s="42" t="n">
        <f aca="false">S176-S179-T179</f>
        <v>55482.96701</v>
      </c>
      <c r="X179" s="27"/>
      <c r="Y179" s="27"/>
      <c r="Z179" s="107"/>
      <c r="AB179" s="113" t="n">
        <f aca="false">AC176+AF176</f>
        <v>1000</v>
      </c>
      <c r="AC179" s="42" t="n">
        <f aca="false">AH154</f>
        <v>-2000</v>
      </c>
      <c r="AD179" s="42"/>
      <c r="AE179" s="27"/>
      <c r="AF179" s="42" t="n">
        <f aca="false">AB176-AB179-AC179</f>
        <v>42412.493</v>
      </c>
      <c r="AG179" s="27"/>
      <c r="AH179" s="27"/>
      <c r="AI179" s="107"/>
    </row>
    <row r="180" customFormat="false" ht="18.75" hidden="false" customHeight="false" outlineLevel="0" collapsed="false">
      <c r="A180" s="35"/>
      <c r="B180" s="36"/>
      <c r="C180" s="36"/>
      <c r="D180" s="27"/>
      <c r="E180" s="36"/>
      <c r="F180" s="27"/>
      <c r="G180" s="27"/>
      <c r="H180" s="37"/>
      <c r="J180" s="35"/>
      <c r="K180" s="36"/>
      <c r="L180" s="36"/>
      <c r="M180" s="27"/>
      <c r="N180" s="36"/>
      <c r="O180" s="27"/>
      <c r="P180" s="27"/>
      <c r="Q180" s="37"/>
      <c r="S180" s="35"/>
      <c r="T180" s="36"/>
      <c r="U180" s="36"/>
      <c r="V180" s="27"/>
      <c r="W180" s="36"/>
      <c r="X180" s="27"/>
      <c r="Y180" s="27"/>
      <c r="Z180" s="37"/>
      <c r="AB180" s="35"/>
      <c r="AC180" s="36"/>
      <c r="AD180" s="36"/>
      <c r="AE180" s="27"/>
      <c r="AF180" s="36"/>
      <c r="AG180" s="27"/>
      <c r="AH180" s="27"/>
      <c r="AI180" s="37"/>
    </row>
    <row r="181" customFormat="false" ht="18.75" hidden="false" customHeight="false" outlineLevel="0" collapsed="false">
      <c r="A181" s="35" t="s">
        <v>204</v>
      </c>
      <c r="B181" s="36" t="s">
        <v>66</v>
      </c>
      <c r="C181" s="36"/>
      <c r="D181" s="27"/>
      <c r="E181" s="36" t="s">
        <v>205</v>
      </c>
      <c r="F181" s="27"/>
      <c r="G181" s="27"/>
      <c r="H181" s="37"/>
      <c r="J181" s="35" t="s">
        <v>204</v>
      </c>
      <c r="K181" s="36" t="s">
        <v>66</v>
      </c>
      <c r="L181" s="36"/>
      <c r="M181" s="27"/>
      <c r="N181" s="36" t="s">
        <v>205</v>
      </c>
      <c r="O181" s="27"/>
      <c r="P181" s="27"/>
      <c r="Q181" s="37"/>
      <c r="S181" s="35" t="s">
        <v>204</v>
      </c>
      <c r="T181" s="36" t="s">
        <v>66</v>
      </c>
      <c r="U181" s="36"/>
      <c r="V181" s="27"/>
      <c r="W181" s="36" t="s">
        <v>205</v>
      </c>
      <c r="X181" s="27"/>
      <c r="Y181" s="27"/>
      <c r="Z181" s="37"/>
      <c r="AB181" s="35" t="s">
        <v>204</v>
      </c>
      <c r="AC181" s="36" t="s">
        <v>66</v>
      </c>
      <c r="AD181" s="36"/>
      <c r="AE181" s="27"/>
      <c r="AF181" s="36" t="s">
        <v>205</v>
      </c>
      <c r="AG181" s="27"/>
      <c r="AH181" s="27"/>
      <c r="AI181" s="37"/>
    </row>
    <row r="182" customFormat="false" ht="18.75" hidden="false" customHeight="false" outlineLevel="0" collapsed="false">
      <c r="A182" s="113" t="n">
        <f aca="false">(ROUND(A167, 2)*B59)+ROUND(E185, 2)-ROUND(E179, 2)-ROUND(A185,2)</f>
        <v>13116.48</v>
      </c>
      <c r="B182" s="42" t="n">
        <f aca="false">B114</f>
        <v>199.991666666667</v>
      </c>
      <c r="C182" s="42"/>
      <c r="D182" s="27"/>
      <c r="E182" s="42" t="n">
        <f aca="false">ROUND(E179, 2)+ROUND(A182, 2)+(ROUND(B182, 2)*1.2)+ROUND(A185, 2)</f>
        <v>73631.988</v>
      </c>
      <c r="F182" s="27"/>
      <c r="G182" s="27"/>
      <c r="H182" s="107"/>
      <c r="J182" s="113" t="n">
        <f aca="false">(J167*K59)+N185-N179-J185</f>
        <v>22209.1740082066</v>
      </c>
      <c r="K182" s="42" t="n">
        <f aca="false">K114</f>
        <v>239.99</v>
      </c>
      <c r="L182" s="42"/>
      <c r="M182" s="27"/>
      <c r="N182" s="42" t="n">
        <f aca="false">N179+J182+K182+J185</f>
        <v>59629.1640082066</v>
      </c>
      <c r="O182" s="27"/>
      <c r="P182" s="27"/>
      <c r="Q182" s="107"/>
      <c r="S182" s="113" t="n">
        <f aca="false">(S167*T59)+W185-W179-S185</f>
        <v>12785.1470738717</v>
      </c>
      <c r="T182" s="42" t="n">
        <f aca="false">T114</f>
        <v>199.99</v>
      </c>
      <c r="U182" s="42"/>
      <c r="V182" s="27"/>
      <c r="W182" s="42" t="n">
        <f aca="false">W179+S182+T182+S185</f>
        <v>68478.1040838717</v>
      </c>
      <c r="X182" s="27"/>
      <c r="Y182" s="27"/>
      <c r="Z182" s="107"/>
      <c r="AB182" s="113" t="n">
        <f aca="false">(AB167*AC59)+AF185-AF179-AB185</f>
        <v>10139.367883379</v>
      </c>
      <c r="AC182" s="42" t="n">
        <f aca="false">AC114</f>
        <v>239.99</v>
      </c>
      <c r="AD182" s="42"/>
      <c r="AE182" s="27"/>
      <c r="AF182" s="42" t="n">
        <f aca="false">AF179+AB182+AC182+AB185</f>
        <v>52801.850883379</v>
      </c>
      <c r="AG182" s="27"/>
      <c r="AH182" s="27"/>
      <c r="AI182" s="107"/>
    </row>
    <row r="183" customFormat="false" ht="18.75" hidden="false" customHeight="false" outlineLevel="0" collapsed="false">
      <c r="A183" s="35"/>
      <c r="B183" s="36"/>
      <c r="C183" s="36"/>
      <c r="D183" s="27"/>
      <c r="E183" s="36"/>
      <c r="F183" s="27"/>
      <c r="G183" s="27"/>
      <c r="H183" s="37"/>
      <c r="J183" s="35"/>
      <c r="K183" s="36"/>
      <c r="L183" s="36"/>
      <c r="M183" s="27"/>
      <c r="N183" s="36"/>
      <c r="O183" s="27"/>
      <c r="P183" s="27"/>
      <c r="Q183" s="37"/>
      <c r="S183" s="35"/>
      <c r="T183" s="36"/>
      <c r="U183" s="36"/>
      <c r="V183" s="27"/>
      <c r="W183" s="36"/>
      <c r="X183" s="27"/>
      <c r="Y183" s="27"/>
      <c r="Z183" s="37"/>
      <c r="AB183" s="35"/>
      <c r="AC183" s="36"/>
      <c r="AD183" s="36"/>
      <c r="AE183" s="27"/>
      <c r="AF183" s="36"/>
      <c r="AG183" s="27"/>
      <c r="AH183" s="27"/>
      <c r="AI183" s="37"/>
    </row>
    <row r="184" customFormat="false" ht="18.75" hidden="false" customHeight="false" outlineLevel="0" collapsed="false">
      <c r="A184" s="35" t="s">
        <v>206</v>
      </c>
      <c r="B184" s="36" t="s">
        <v>207</v>
      </c>
      <c r="C184" s="36"/>
      <c r="D184" s="27"/>
      <c r="E184" s="36" t="s">
        <v>208</v>
      </c>
      <c r="F184" s="27"/>
      <c r="G184" s="27"/>
      <c r="H184" s="37"/>
      <c r="J184" s="35" t="s">
        <v>206</v>
      </c>
      <c r="K184" s="36" t="s">
        <v>207</v>
      </c>
      <c r="L184" s="36"/>
      <c r="M184" s="27"/>
      <c r="N184" s="36" t="s">
        <v>208</v>
      </c>
      <c r="O184" s="27"/>
      <c r="P184" s="27"/>
      <c r="Q184" s="37"/>
      <c r="S184" s="35" t="s">
        <v>206</v>
      </c>
      <c r="T184" s="36" t="s">
        <v>207</v>
      </c>
      <c r="U184" s="36"/>
      <c r="V184" s="27"/>
      <c r="W184" s="36" t="s">
        <v>208</v>
      </c>
      <c r="X184" s="27"/>
      <c r="Y184" s="27"/>
      <c r="Z184" s="37"/>
      <c r="AB184" s="35" t="s">
        <v>206</v>
      </c>
      <c r="AC184" s="36" t="s">
        <v>207</v>
      </c>
      <c r="AD184" s="36"/>
      <c r="AE184" s="27"/>
      <c r="AF184" s="36" t="s">
        <v>208</v>
      </c>
      <c r="AG184" s="27"/>
      <c r="AH184" s="27"/>
      <c r="AI184" s="37"/>
    </row>
    <row r="185" customFormat="false" ht="18.75" hidden="false" customHeight="false" outlineLevel="0" collapsed="false">
      <c r="A185" s="113" t="n">
        <f aca="false">B60</f>
        <v>10</v>
      </c>
      <c r="B185" s="42" t="n">
        <f aca="false">A179+B182*1.2</f>
        <v>2239.99</v>
      </c>
      <c r="C185" s="42"/>
      <c r="D185" s="27"/>
      <c r="E185" s="42" t="n">
        <f aca="false">IF( E170=0, A185+E167, E170+A185)</f>
        <v>8860</v>
      </c>
      <c r="F185" s="27"/>
      <c r="G185" s="27"/>
      <c r="H185" s="107"/>
      <c r="J185" s="113" t="n">
        <f aca="false">K60</f>
        <v>20</v>
      </c>
      <c r="K185" s="42" t="n">
        <f aca="false">J179+K182</f>
        <v>1239.99</v>
      </c>
      <c r="L185" s="42"/>
      <c r="M185" s="27"/>
      <c r="N185" s="42" t="n">
        <f aca="false">N170+J185</f>
        <v>8870</v>
      </c>
      <c r="O185" s="27"/>
      <c r="P185" s="27"/>
      <c r="Q185" s="107"/>
      <c r="S185" s="113" t="n">
        <f aca="false">T60</f>
        <v>10</v>
      </c>
      <c r="T185" s="42" t="n">
        <f aca="false">S179+T182</f>
        <v>1199.99</v>
      </c>
      <c r="U185" s="42"/>
      <c r="V185" s="27"/>
      <c r="W185" s="42" t="n">
        <f aca="false">W170+S185</f>
        <v>8860</v>
      </c>
      <c r="X185" s="27"/>
      <c r="Y185" s="27"/>
      <c r="Z185" s="107"/>
      <c r="AB185" s="113" t="n">
        <f aca="false">AC60</f>
        <v>10</v>
      </c>
      <c r="AC185" s="42" t="n">
        <f aca="false">AB179+AC182</f>
        <v>1239.99</v>
      </c>
      <c r="AD185" s="42"/>
      <c r="AE185" s="27"/>
      <c r="AF185" s="42" t="n">
        <f aca="false">AF170+AB185</f>
        <v>8860</v>
      </c>
      <c r="AG185" s="27"/>
      <c r="AH185" s="27"/>
      <c r="AI185" s="107"/>
    </row>
    <row r="186" customFormat="false" ht="18.75" hidden="false" customHeight="false" outlineLevel="0" collapsed="false">
      <c r="A186" s="35"/>
      <c r="B186" s="36"/>
      <c r="C186" s="36"/>
      <c r="D186" s="36"/>
      <c r="E186" s="27"/>
      <c r="F186" s="27"/>
      <c r="G186" s="27"/>
      <c r="H186" s="37"/>
      <c r="J186" s="35"/>
      <c r="K186" s="36"/>
      <c r="L186" s="36"/>
      <c r="M186" s="36"/>
      <c r="N186" s="27"/>
      <c r="O186" s="27"/>
      <c r="P186" s="27"/>
      <c r="Q186" s="37"/>
      <c r="S186" s="35"/>
      <c r="T186" s="36"/>
      <c r="U186" s="36"/>
      <c r="V186" s="36"/>
      <c r="W186" s="27"/>
      <c r="X186" s="36"/>
      <c r="Y186" s="36"/>
      <c r="Z186" s="37"/>
      <c r="AB186" s="35"/>
      <c r="AC186" s="36"/>
      <c r="AD186" s="36"/>
      <c r="AE186" s="36"/>
      <c r="AF186" s="27"/>
      <c r="AG186" s="27"/>
      <c r="AH186" s="27"/>
      <c r="AI186" s="37"/>
    </row>
    <row r="187" customFormat="false" ht="18.75" hidden="false" customHeight="false" outlineLevel="0" collapsed="false">
      <c r="A187" s="35" t="s">
        <v>209</v>
      </c>
      <c r="B187" s="36" t="s">
        <v>210</v>
      </c>
      <c r="C187" s="36"/>
      <c r="D187" s="36"/>
      <c r="E187" s="43" t="s">
        <v>211</v>
      </c>
      <c r="F187" s="27"/>
      <c r="G187" s="27"/>
      <c r="H187" s="37"/>
      <c r="J187" s="35" t="s">
        <v>209</v>
      </c>
      <c r="K187" s="36" t="s">
        <v>210</v>
      </c>
      <c r="L187" s="36"/>
      <c r="M187" s="36"/>
      <c r="N187" s="43" t="s">
        <v>211</v>
      </c>
      <c r="O187" s="27"/>
      <c r="P187" s="27"/>
      <c r="Q187" s="37"/>
      <c r="S187" s="35" t="s">
        <v>209</v>
      </c>
      <c r="T187" s="36" t="s">
        <v>210</v>
      </c>
      <c r="U187" s="36"/>
      <c r="V187" s="36"/>
      <c r="W187" s="43" t="s">
        <v>211</v>
      </c>
      <c r="X187" s="36"/>
      <c r="Y187" s="36"/>
      <c r="Z187" s="37"/>
      <c r="AB187" s="35" t="s">
        <v>209</v>
      </c>
      <c r="AC187" s="36" t="s">
        <v>210</v>
      </c>
      <c r="AD187" s="36"/>
      <c r="AE187" s="36"/>
      <c r="AF187" s="43" t="s">
        <v>211</v>
      </c>
      <c r="AG187" s="36"/>
      <c r="AH187" s="36"/>
      <c r="AI187" s="37"/>
    </row>
    <row r="188" customFormat="false" ht="18.75" hidden="false" customHeight="false" outlineLevel="0" collapsed="false">
      <c r="A188" s="113" t="n">
        <f aca="false">IF(E105="YES",J18*0.000002,0)*100</f>
        <v>10.7229984</v>
      </c>
      <c r="B188" s="42" t="n">
        <f aca="false">(G158*B67)</f>
        <v>451.9913727</v>
      </c>
      <c r="C188" s="36"/>
      <c r="D188" s="36"/>
      <c r="E188" s="42" t="n">
        <f aca="false">(E40*A108)*0.1*(C45/100)</f>
        <v>110.271</v>
      </c>
      <c r="F188" s="27"/>
      <c r="G188" s="27"/>
      <c r="H188" s="37"/>
      <c r="J188" s="113" t="n">
        <f aca="false">IF(N105="YES",H15*0.000002,0)</f>
        <v>0.0986351848</v>
      </c>
      <c r="K188" s="42" t="n">
        <f aca="false">(P158*K67)/1.2</f>
        <v>2289.28159722222</v>
      </c>
      <c r="L188" s="36"/>
      <c r="M188" s="36"/>
      <c r="N188" s="42" t="n">
        <f aca="false">(E40*J108)*0.1</f>
        <v>110.271</v>
      </c>
      <c r="O188" s="27"/>
      <c r="P188" s="27"/>
      <c r="Q188" s="37"/>
      <c r="S188" s="113" t="n">
        <f aca="false">IF(W105="YES",Z15*0.000002,0)</f>
        <v>0</v>
      </c>
      <c r="T188" s="42" t="n">
        <f aca="false">(Y158*T67)/1.2</f>
        <v>452.598307199653</v>
      </c>
      <c r="U188" s="36"/>
      <c r="V188" s="36"/>
      <c r="W188" s="42" t="n">
        <f aca="false">(E40*S108)*0.1</f>
        <v>73.514</v>
      </c>
      <c r="X188" s="36"/>
      <c r="Y188" s="36"/>
      <c r="Z188" s="37"/>
      <c r="AB188" s="113" t="n">
        <f aca="false">IF(AF105="YES",AI15*0.000002,0)</f>
        <v>0</v>
      </c>
      <c r="AC188" s="42" t="n">
        <f aca="false">(AH158*AC67)/1.2</f>
        <v>345.946869965278</v>
      </c>
      <c r="AD188" s="36"/>
      <c r="AE188" s="36"/>
      <c r="AF188" s="42" t="n">
        <f aca="false">(E40*AB108)*0.1</f>
        <v>73.514</v>
      </c>
      <c r="AG188" s="36"/>
      <c r="AH188" s="36"/>
      <c r="AI188" s="37"/>
    </row>
    <row r="189" customFormat="false" ht="18.75" hidden="false" customHeight="false" outlineLevel="0" collapsed="false">
      <c r="A189" s="113"/>
      <c r="B189" s="42"/>
      <c r="C189" s="36"/>
      <c r="D189" s="36"/>
      <c r="E189" s="27"/>
      <c r="F189" s="27"/>
      <c r="G189" s="27"/>
      <c r="H189" s="37"/>
      <c r="J189" s="113"/>
      <c r="K189" s="42"/>
      <c r="L189" s="36"/>
      <c r="M189" s="36"/>
      <c r="N189" s="27"/>
      <c r="O189" s="27"/>
      <c r="P189" s="27"/>
      <c r="Q189" s="37"/>
      <c r="S189" s="113"/>
      <c r="T189" s="42"/>
      <c r="U189" s="36"/>
      <c r="V189" s="36"/>
      <c r="W189" s="27"/>
      <c r="X189" s="36"/>
      <c r="Y189" s="36"/>
      <c r="Z189" s="37"/>
      <c r="AB189" s="113"/>
      <c r="AC189" s="42"/>
      <c r="AD189" s="36"/>
      <c r="AE189" s="36"/>
      <c r="AF189" s="27"/>
      <c r="AG189" s="36"/>
      <c r="AH189" s="36"/>
      <c r="AI189" s="37"/>
    </row>
    <row r="190" customFormat="false" ht="18.75" hidden="false" customHeight="false" outlineLevel="0" collapsed="false">
      <c r="A190" s="64" t="s">
        <v>212</v>
      </c>
      <c r="B190" s="43" t="s">
        <v>213</v>
      </c>
      <c r="C190" s="36"/>
      <c r="D190" s="36"/>
      <c r="E190" s="43" t="s">
        <v>214</v>
      </c>
      <c r="F190" s="27"/>
      <c r="G190" s="27"/>
      <c r="H190" s="37"/>
      <c r="J190" s="64" t="s">
        <v>212</v>
      </c>
      <c r="K190" s="43" t="s">
        <v>213</v>
      </c>
      <c r="L190" s="36"/>
      <c r="M190" s="36"/>
      <c r="N190" s="43" t="s">
        <v>214</v>
      </c>
      <c r="O190" s="27"/>
      <c r="P190" s="27"/>
      <c r="Q190" s="37"/>
      <c r="S190" s="64" t="s">
        <v>212</v>
      </c>
      <c r="T190" s="43" t="s">
        <v>213</v>
      </c>
      <c r="U190" s="36"/>
      <c r="V190" s="36"/>
      <c r="W190" s="43" t="s">
        <v>214</v>
      </c>
      <c r="X190" s="36"/>
      <c r="Y190" s="36"/>
      <c r="Z190" s="37"/>
      <c r="AB190" s="64" t="s">
        <v>212</v>
      </c>
      <c r="AC190" s="43" t="s">
        <v>213</v>
      </c>
      <c r="AD190" s="36"/>
      <c r="AE190" s="36"/>
      <c r="AF190" s="43" t="s">
        <v>214</v>
      </c>
      <c r="AG190" s="36"/>
      <c r="AH190" s="36"/>
      <c r="AI190" s="37"/>
    </row>
    <row r="191" customFormat="false" ht="18.75" hidden="false" customHeight="false" outlineLevel="0" collapsed="false">
      <c r="A191" s="113" t="n">
        <v>20</v>
      </c>
      <c r="B191" s="42" t="n">
        <f aca="false">B188+E188+A191</f>
        <v>582.2623727</v>
      </c>
      <c r="C191" s="36"/>
      <c r="D191" s="36"/>
      <c r="E191" s="42" t="n">
        <f aca="false">H148</f>
        <v>8219.6033</v>
      </c>
      <c r="F191" s="27"/>
      <c r="G191" s="27"/>
      <c r="H191" s="37"/>
      <c r="J191" s="113" t="n">
        <f aca="false">K185-100</f>
        <v>1139.99</v>
      </c>
      <c r="K191" s="42" t="n">
        <f aca="false">K188+N188+J191</f>
        <v>3539.54259722222</v>
      </c>
      <c r="L191" s="36"/>
      <c r="M191" s="36"/>
      <c r="N191" s="42" t="n">
        <f aca="false">Q148</f>
        <v>-13157.5924</v>
      </c>
      <c r="O191" s="27"/>
      <c r="P191" s="27"/>
      <c r="Q191" s="37"/>
      <c r="S191" s="113" t="n">
        <f aca="false">T185-100</f>
        <v>1099.99</v>
      </c>
      <c r="T191" s="42" t="n">
        <f aca="false">T188+W188+S191</f>
        <v>1626.10230719965</v>
      </c>
      <c r="U191" s="36"/>
      <c r="V191" s="36"/>
      <c r="W191" s="42" t="n">
        <f aca="false">Z148</f>
        <v>5165.37461</v>
      </c>
      <c r="X191" s="36"/>
      <c r="Y191" s="36"/>
      <c r="Z191" s="37"/>
      <c r="AB191" s="113" t="n">
        <f aca="false">AC185-100</f>
        <v>1139.99</v>
      </c>
      <c r="AC191" s="42" t="n">
        <f aca="false">AC188+AF188+AB191</f>
        <v>1559.45086996528</v>
      </c>
      <c r="AD191" s="36"/>
      <c r="AE191" s="36"/>
      <c r="AF191" s="42" t="n">
        <f aca="false">AI148</f>
        <v>-7905.09940000001</v>
      </c>
      <c r="AG191" s="36"/>
      <c r="AH191" s="36"/>
      <c r="AI191" s="37"/>
    </row>
    <row r="192" customFormat="false" ht="18.75" hidden="false" customHeight="false" outlineLevel="0" collapsed="false">
      <c r="A192" s="35"/>
      <c r="B192" s="36"/>
      <c r="C192" s="36"/>
      <c r="D192" s="36"/>
      <c r="E192" s="27"/>
      <c r="F192" s="27"/>
      <c r="G192" s="27"/>
      <c r="H192" s="37"/>
      <c r="J192" s="35"/>
      <c r="K192" s="36"/>
      <c r="L192" s="36"/>
      <c r="M192" s="36"/>
      <c r="N192" s="27"/>
      <c r="O192" s="27"/>
      <c r="P192" s="27"/>
      <c r="Q192" s="37"/>
      <c r="S192" s="35"/>
      <c r="T192" s="36"/>
      <c r="U192" s="36"/>
      <c r="V192" s="36"/>
      <c r="W192" s="27"/>
      <c r="X192" s="27"/>
      <c r="Y192" s="27"/>
      <c r="Z192" s="37"/>
      <c r="AB192" s="35"/>
      <c r="AC192" s="36"/>
      <c r="AD192" s="36"/>
      <c r="AE192" s="36"/>
      <c r="AF192" s="27"/>
      <c r="AG192" s="27"/>
      <c r="AH192" s="27"/>
      <c r="AI192" s="37"/>
    </row>
    <row r="193" customFormat="false" ht="18.75" hidden="false" customHeight="false" outlineLevel="0" collapsed="false">
      <c r="A193" s="70" t="s">
        <v>215</v>
      </c>
      <c r="B193" s="36"/>
      <c r="C193" s="36"/>
      <c r="D193" s="71"/>
      <c r="E193" s="71"/>
      <c r="F193" s="71"/>
      <c r="G193" s="71"/>
      <c r="H193" s="72"/>
      <c r="J193" s="70" t="s">
        <v>215</v>
      </c>
      <c r="K193" s="36"/>
      <c r="L193" s="36"/>
      <c r="M193" s="71"/>
      <c r="N193" s="71"/>
      <c r="O193" s="71"/>
      <c r="P193" s="71"/>
      <c r="Q193" s="72"/>
      <c r="S193" s="70" t="s">
        <v>215</v>
      </c>
      <c r="T193" s="36"/>
      <c r="U193" s="36"/>
      <c r="V193" s="71"/>
      <c r="W193" s="71"/>
      <c r="X193" s="71"/>
      <c r="Y193" s="71"/>
      <c r="Z193" s="72"/>
      <c r="AB193" s="70" t="s">
        <v>215</v>
      </c>
      <c r="AC193" s="36"/>
      <c r="AD193" s="36"/>
      <c r="AE193" s="71"/>
      <c r="AF193" s="71"/>
      <c r="AG193" s="71"/>
      <c r="AH193" s="71"/>
      <c r="AI193" s="72"/>
    </row>
    <row r="194" customFormat="false" ht="18.75" hidden="false" customHeight="false" outlineLevel="0" collapsed="false">
      <c r="A194" s="35"/>
      <c r="B194" s="73"/>
      <c r="C194" s="73"/>
      <c r="D194" s="36"/>
      <c r="E194" s="27"/>
      <c r="F194" s="27"/>
      <c r="G194" s="27"/>
      <c r="H194" s="37"/>
      <c r="J194" s="35"/>
      <c r="K194" s="73"/>
      <c r="L194" s="73"/>
      <c r="M194" s="36"/>
      <c r="N194" s="27"/>
      <c r="O194" s="27"/>
      <c r="P194" s="27"/>
      <c r="Q194" s="37"/>
      <c r="S194" s="35"/>
      <c r="T194" s="73"/>
      <c r="U194" s="73"/>
      <c r="V194" s="36"/>
      <c r="W194" s="27"/>
      <c r="X194" s="27"/>
      <c r="Y194" s="27"/>
      <c r="Z194" s="37"/>
      <c r="AB194" s="35"/>
      <c r="AC194" s="73"/>
      <c r="AD194" s="73"/>
      <c r="AE194" s="36"/>
      <c r="AF194" s="27"/>
      <c r="AG194" s="27"/>
      <c r="AH194" s="27"/>
      <c r="AI194" s="37"/>
    </row>
    <row r="195" customFormat="false" ht="19.7" hidden="false" customHeight="false" outlineLevel="0" collapsed="false">
      <c r="A195" s="172" t="s">
        <v>95</v>
      </c>
      <c r="B195" s="75" t="s">
        <v>96</v>
      </c>
      <c r="C195" s="75"/>
      <c r="D195" s="75"/>
      <c r="E195" s="27"/>
      <c r="F195" s="27"/>
      <c r="G195" s="27"/>
      <c r="H195" s="37"/>
      <c r="J195" s="172" t="s">
        <v>95</v>
      </c>
      <c r="K195" s="75" t="s">
        <v>96</v>
      </c>
      <c r="L195" s="75"/>
      <c r="M195" s="75"/>
      <c r="N195" s="27"/>
      <c r="O195" s="27"/>
      <c r="P195" s="27"/>
      <c r="Q195" s="37"/>
      <c r="S195" s="172" t="s">
        <v>95</v>
      </c>
      <c r="T195" s="75" t="s">
        <v>96</v>
      </c>
      <c r="U195" s="75"/>
      <c r="V195" s="75"/>
      <c r="W195" s="27"/>
      <c r="X195" s="27"/>
      <c r="Y195" s="27"/>
      <c r="Z195" s="37"/>
      <c r="AB195" s="172" t="s">
        <v>95</v>
      </c>
      <c r="AC195" s="75" t="s">
        <v>96</v>
      </c>
      <c r="AD195" s="75"/>
      <c r="AE195" s="75"/>
      <c r="AF195" s="27"/>
      <c r="AG195" s="27"/>
      <c r="AH195" s="27"/>
      <c r="AI195" s="37"/>
    </row>
    <row r="196" customFormat="false" ht="19.5" hidden="false" customHeight="true" outlineLevel="0" collapsed="false">
      <c r="A196" s="172"/>
      <c r="B196" s="76" t="n">
        <f aca="false">K30</f>
        <v>35000</v>
      </c>
      <c r="C196" s="76"/>
      <c r="D196" s="76"/>
      <c r="E196" s="27"/>
      <c r="F196" s="27"/>
      <c r="G196" s="27"/>
      <c r="H196" s="37"/>
      <c r="J196" s="172"/>
      <c r="K196" s="76" t="n">
        <f aca="false">K30</f>
        <v>35000</v>
      </c>
      <c r="L196" s="76"/>
      <c r="M196" s="76"/>
      <c r="N196" s="27"/>
      <c r="O196" s="27"/>
      <c r="P196" s="27"/>
      <c r="Q196" s="37"/>
      <c r="S196" s="172"/>
      <c r="T196" s="76" t="n">
        <f aca="false">K30</f>
        <v>35000</v>
      </c>
      <c r="U196" s="76"/>
      <c r="V196" s="76"/>
      <c r="W196" s="27"/>
      <c r="X196" s="27"/>
      <c r="Y196" s="27"/>
      <c r="Z196" s="37"/>
      <c r="AB196" s="172"/>
      <c r="AC196" s="76" t="n">
        <f aca="false">K30</f>
        <v>35000</v>
      </c>
      <c r="AD196" s="76"/>
      <c r="AE196" s="76"/>
      <c r="AF196" s="27"/>
      <c r="AG196" s="27"/>
      <c r="AH196" s="27"/>
      <c r="AI196" s="37"/>
    </row>
    <row r="197" customFormat="false" ht="18.75" hidden="false" customHeight="false" outlineLevel="0" collapsed="false">
      <c r="A197" s="77" t="n">
        <f aca="false">K29</f>
        <v>35</v>
      </c>
      <c r="B197" s="78" t="n">
        <f aca="false">B96</f>
        <v>2038.54458417988</v>
      </c>
      <c r="C197" s="78"/>
      <c r="D197" s="78"/>
      <c r="E197" s="27"/>
      <c r="F197" s="27"/>
      <c r="G197" s="27"/>
      <c r="H197" s="37"/>
      <c r="J197" s="77" t="n">
        <f aca="false">K29</f>
        <v>35</v>
      </c>
      <c r="K197" s="78" t="n">
        <f aca="false">K96</f>
        <v>1649.6892590649</v>
      </c>
      <c r="L197" s="78"/>
      <c r="M197" s="78"/>
      <c r="N197" s="27"/>
      <c r="O197" s="27"/>
      <c r="P197" s="27"/>
      <c r="Q197" s="37"/>
      <c r="S197" s="77" t="n">
        <f aca="false">K29</f>
        <v>35</v>
      </c>
      <c r="T197" s="78" t="n">
        <f aca="false">T96</f>
        <v>1877.3221789374</v>
      </c>
      <c r="U197" s="78"/>
      <c r="V197" s="78"/>
      <c r="W197" s="27"/>
      <c r="X197" s="27"/>
      <c r="Y197" s="27"/>
      <c r="Z197" s="37"/>
      <c r="AB197" s="77" t="n">
        <f aca="false">K29</f>
        <v>35</v>
      </c>
      <c r="AC197" s="78" t="n">
        <f aca="false">AC96</f>
        <v>1441.0255553935</v>
      </c>
      <c r="AD197" s="78"/>
      <c r="AE197" s="78"/>
      <c r="AF197" s="27"/>
      <c r="AG197" s="27"/>
      <c r="AH197" s="27"/>
      <c r="AI197" s="37"/>
    </row>
    <row r="198" customFormat="false" ht="18.75" hidden="false" customHeight="false" outlineLevel="0" collapsed="false">
      <c r="A198" s="35"/>
      <c r="B198" s="36"/>
      <c r="C198" s="36"/>
      <c r="D198" s="36"/>
      <c r="E198" s="27"/>
      <c r="F198" s="27"/>
      <c r="G198" s="27"/>
      <c r="H198" s="37"/>
      <c r="J198" s="35"/>
      <c r="K198" s="36"/>
      <c r="L198" s="36"/>
      <c r="M198" s="36"/>
      <c r="N198" s="27"/>
      <c r="O198" s="27"/>
      <c r="P198" s="27"/>
      <c r="Q198" s="37"/>
      <c r="S198" s="35"/>
      <c r="T198" s="36"/>
      <c r="U198" s="36"/>
      <c r="V198" s="36"/>
      <c r="W198" s="27"/>
      <c r="X198" s="27"/>
      <c r="Y198" s="27"/>
      <c r="Z198" s="37"/>
      <c r="AB198" s="35"/>
      <c r="AC198" s="36"/>
      <c r="AD198" s="36"/>
      <c r="AE198" s="36"/>
      <c r="AF198" s="27"/>
      <c r="AG198" s="27"/>
      <c r="AH198" s="27"/>
      <c r="AI198" s="37"/>
    </row>
    <row r="199" customFormat="false" ht="18.75" hidden="false" customHeight="false" outlineLevel="0" collapsed="false">
      <c r="A199" s="35"/>
      <c r="B199" s="36"/>
      <c r="C199" s="36"/>
      <c r="D199" s="36"/>
      <c r="E199" s="27"/>
      <c r="F199" s="27"/>
      <c r="G199" s="27"/>
      <c r="H199" s="37"/>
      <c r="J199" s="35"/>
      <c r="K199" s="36"/>
      <c r="L199" s="36"/>
      <c r="M199" s="36"/>
      <c r="N199" s="27"/>
      <c r="O199" s="27"/>
      <c r="P199" s="27"/>
      <c r="Q199" s="37"/>
      <c r="S199" s="35"/>
      <c r="T199" s="36"/>
      <c r="U199" s="36"/>
      <c r="V199" s="36"/>
      <c r="W199" s="27"/>
      <c r="X199" s="27"/>
      <c r="Y199" s="27"/>
      <c r="Z199" s="37"/>
      <c r="AB199" s="35"/>
      <c r="AC199" s="36"/>
      <c r="AD199" s="36"/>
      <c r="AE199" s="36"/>
      <c r="AF199" s="27"/>
      <c r="AG199" s="27"/>
      <c r="AH199" s="27"/>
      <c r="AI199" s="37"/>
    </row>
    <row r="200" customFormat="false" ht="18.75" hidden="false" customHeight="false" outlineLevel="0" collapsed="false">
      <c r="A200" s="35" t="s">
        <v>216</v>
      </c>
      <c r="B200" s="36" t="s">
        <v>217</v>
      </c>
      <c r="C200" s="36"/>
      <c r="D200" s="36"/>
      <c r="E200" s="27"/>
      <c r="F200" s="27"/>
      <c r="G200" s="27"/>
      <c r="H200" s="37"/>
      <c r="J200" s="35"/>
      <c r="K200" s="36"/>
      <c r="L200" s="36"/>
      <c r="M200" s="36"/>
      <c r="N200" s="27"/>
      <c r="O200" s="27"/>
      <c r="P200" s="27"/>
      <c r="Q200" s="37"/>
      <c r="S200" s="35"/>
      <c r="T200" s="36"/>
      <c r="U200" s="36"/>
      <c r="V200" s="36"/>
      <c r="W200" s="27"/>
      <c r="X200" s="27"/>
      <c r="Y200" s="27"/>
      <c r="Z200" s="37"/>
      <c r="AB200" s="35"/>
      <c r="AC200" s="36"/>
      <c r="AD200" s="36"/>
      <c r="AE200" s="36"/>
      <c r="AF200" s="27"/>
      <c r="AG200" s="27"/>
      <c r="AH200" s="27"/>
      <c r="AI200" s="37"/>
    </row>
    <row r="201" customFormat="false" ht="18.75" hidden="false" customHeight="false" outlineLevel="0" collapsed="false">
      <c r="A201" s="40" t="n">
        <f aca="false">IF(A40=0,((G167*(B59+1))-E179),((G167*B59)+E185-E179-A185))</f>
        <v>7746.18363999999</v>
      </c>
      <c r="B201" s="47" t="n">
        <f aca="false">E179+A201+(B182*1.2)+A185</f>
        <v>68261.69</v>
      </c>
      <c r="C201" s="36"/>
      <c r="D201" s="36"/>
      <c r="E201" s="27"/>
      <c r="F201" s="27"/>
      <c r="G201" s="27"/>
      <c r="H201" s="37"/>
      <c r="J201" s="35"/>
      <c r="K201" s="36"/>
      <c r="L201" s="36"/>
      <c r="M201" s="36"/>
      <c r="N201" s="27"/>
      <c r="O201" s="27"/>
      <c r="P201" s="27"/>
      <c r="Q201" s="37"/>
      <c r="S201" s="35"/>
      <c r="T201" s="36"/>
      <c r="U201" s="36"/>
      <c r="V201" s="36"/>
      <c r="W201" s="27"/>
      <c r="X201" s="27"/>
      <c r="Y201" s="27"/>
      <c r="Z201" s="37"/>
      <c r="AB201" s="35"/>
      <c r="AC201" s="36"/>
      <c r="AD201" s="36"/>
      <c r="AE201" s="36"/>
      <c r="AF201" s="27"/>
      <c r="AG201" s="27"/>
      <c r="AH201" s="27"/>
      <c r="AI201" s="37"/>
    </row>
    <row r="202" customFormat="false" ht="18.75" hidden="false" customHeight="false" outlineLevel="0" collapsed="false">
      <c r="A202" s="60"/>
      <c r="B202" s="61"/>
      <c r="C202" s="61"/>
      <c r="D202" s="61"/>
      <c r="E202" s="61"/>
      <c r="F202" s="61"/>
      <c r="G202" s="61"/>
      <c r="H202" s="69"/>
      <c r="J202" s="60"/>
      <c r="K202" s="61"/>
      <c r="L202" s="61"/>
      <c r="M202" s="61"/>
      <c r="N202" s="61"/>
      <c r="O202" s="61"/>
      <c r="P202" s="61"/>
      <c r="Q202" s="69"/>
      <c r="S202" s="60"/>
      <c r="T202" s="61"/>
      <c r="U202" s="61"/>
      <c r="V202" s="61"/>
      <c r="W202" s="61"/>
      <c r="X202" s="61"/>
      <c r="Y202" s="61"/>
      <c r="Z202" s="69"/>
      <c r="AB202" s="60"/>
      <c r="AC202" s="61"/>
      <c r="AD202" s="61"/>
      <c r="AE202" s="61"/>
      <c r="AF202" s="61"/>
      <c r="AG202" s="61"/>
      <c r="AH202" s="61"/>
      <c r="AI202" s="69"/>
    </row>
    <row r="206" customFormat="false" ht="22.05" hidden="false" customHeight="false" outlineLevel="0" collapsed="false">
      <c r="A206" s="175" t="s">
        <v>193</v>
      </c>
      <c r="B206" s="175"/>
      <c r="C206" s="175"/>
      <c r="D206" s="175"/>
      <c r="E206" s="175"/>
      <c r="F206" s="175"/>
      <c r="G206" s="175"/>
      <c r="H206" s="175"/>
    </row>
    <row r="207" customFormat="false" ht="18.75" hidden="false" customHeight="false" outlineLevel="0" collapsed="false">
      <c r="A207" s="35"/>
      <c r="B207" s="36"/>
      <c r="C207" s="36"/>
      <c r="D207" s="36"/>
      <c r="E207" s="27"/>
      <c r="F207" s="27"/>
      <c r="G207" s="27"/>
      <c r="H207" s="37"/>
    </row>
    <row r="208" customFormat="false" ht="18.75" hidden="false" customHeight="false" outlineLevel="0" collapsed="false">
      <c r="A208" s="176" t="s">
        <v>138</v>
      </c>
      <c r="B208" s="177" t="s">
        <v>52</v>
      </c>
      <c r="C208" s="177"/>
      <c r="D208" s="177"/>
      <c r="E208" s="177" t="s">
        <v>53</v>
      </c>
      <c r="F208" s="178"/>
      <c r="G208" s="27"/>
      <c r="H208" s="37"/>
    </row>
    <row r="209" customFormat="false" ht="18.75" hidden="false" customHeight="false" outlineLevel="0" collapsed="false">
      <c r="A209" s="179" t="s">
        <v>218</v>
      </c>
      <c r="B209" s="164" t="n">
        <f aca="false">A197</f>
        <v>35</v>
      </c>
      <c r="C209" s="164"/>
      <c r="D209" s="164"/>
      <c r="E209" s="164" t="n">
        <f aca="false">B196</f>
        <v>35000</v>
      </c>
      <c r="F209" s="178"/>
      <c r="G209" s="27"/>
      <c r="H209" s="37"/>
    </row>
    <row r="210" customFormat="false" ht="18.75" hidden="false" customHeight="false" outlineLevel="0" collapsed="false">
      <c r="A210" s="35"/>
      <c r="B210" s="36"/>
      <c r="C210" s="36"/>
      <c r="D210" s="36"/>
      <c r="E210" s="27"/>
      <c r="F210" s="27"/>
      <c r="G210" s="27"/>
      <c r="H210" s="37"/>
    </row>
    <row r="211" customFormat="false" ht="18.75" hidden="false" customHeight="false" outlineLevel="0" collapsed="false">
      <c r="A211" s="176" t="s">
        <v>195</v>
      </c>
      <c r="B211" s="177" t="s">
        <v>196</v>
      </c>
      <c r="C211" s="177"/>
      <c r="D211" s="177"/>
      <c r="E211" s="177" t="s">
        <v>197</v>
      </c>
      <c r="F211" s="27"/>
      <c r="G211" s="27"/>
      <c r="H211" s="37"/>
    </row>
    <row r="212" customFormat="false" ht="18.75" hidden="false" customHeight="false" outlineLevel="0" collapsed="false">
      <c r="A212" s="165" t="n">
        <f aca="false">A167</f>
        <v>1898.00311359165</v>
      </c>
      <c r="B212" s="166" t="n">
        <f aca="false">B167</f>
        <v>140.541470588235</v>
      </c>
      <c r="C212" s="164"/>
      <c r="D212" s="164"/>
      <c r="E212" s="166" t="n">
        <f aca="false">E167</f>
        <v>2038.54458417988</v>
      </c>
      <c r="F212" s="27"/>
      <c r="G212" s="27"/>
      <c r="H212" s="37"/>
    </row>
    <row r="213" customFormat="false" ht="18.75" hidden="false" customHeight="false" outlineLevel="0" collapsed="false">
      <c r="A213" s="35"/>
      <c r="B213" s="36"/>
      <c r="C213" s="36"/>
      <c r="D213" s="36"/>
      <c r="E213" s="27"/>
      <c r="F213" s="27"/>
      <c r="G213" s="27"/>
      <c r="H213" s="37"/>
    </row>
    <row r="214" customFormat="false" ht="18.75" hidden="false" customHeight="false" outlineLevel="0" collapsed="false">
      <c r="A214" s="35" t="s">
        <v>200</v>
      </c>
      <c r="B214" s="36" t="s">
        <v>201</v>
      </c>
      <c r="C214" s="36"/>
      <c r="D214" s="27"/>
      <c r="E214" s="36" t="s">
        <v>202</v>
      </c>
      <c r="F214" s="27"/>
      <c r="G214" s="27"/>
      <c r="H214" s="37"/>
    </row>
    <row r="215" customFormat="false" ht="18.75" hidden="false" customHeight="false" outlineLevel="0" collapsed="false">
      <c r="A215" s="171" t="n">
        <f aca="false">A173</f>
        <v>48462.9303</v>
      </c>
      <c r="B215" s="42" t="n">
        <f aca="false">B173</f>
        <v>9695.18606</v>
      </c>
      <c r="C215" s="47"/>
      <c r="D215" s="27"/>
      <c r="E215" s="170" t="n">
        <f aca="false">E173</f>
        <v>1010</v>
      </c>
      <c r="F215" s="27"/>
      <c r="G215" s="27"/>
      <c r="H215" s="37"/>
    </row>
    <row r="216" customFormat="false" ht="18.75" hidden="false" customHeight="false" outlineLevel="0" collapsed="false">
      <c r="A216" s="35"/>
      <c r="B216" s="36"/>
      <c r="C216" s="36"/>
      <c r="D216" s="27"/>
      <c r="E216" s="36"/>
      <c r="F216" s="27"/>
      <c r="G216" s="27"/>
      <c r="H216" s="37"/>
    </row>
    <row r="217" customFormat="false" ht="18.75" hidden="false" customHeight="false" outlineLevel="0" collapsed="false">
      <c r="A217" s="35" t="s">
        <v>203</v>
      </c>
      <c r="B217" s="36" t="s">
        <v>149</v>
      </c>
      <c r="C217" s="36"/>
      <c r="D217" s="27"/>
      <c r="E217" s="36" t="s">
        <v>150</v>
      </c>
      <c r="F217" s="27"/>
      <c r="G217" s="27"/>
      <c r="H217" s="37"/>
    </row>
    <row r="218" customFormat="false" ht="18.75" hidden="false" customHeight="false" outlineLevel="0" collapsed="false">
      <c r="A218" s="171" t="n">
        <f aca="false">A176</f>
        <v>59181.11636</v>
      </c>
      <c r="B218" s="42" t="n">
        <f aca="false">B176</f>
        <v>1000</v>
      </c>
      <c r="C218" s="42"/>
      <c r="D218" s="27"/>
      <c r="E218" s="42" t="n">
        <f aca="false">E176</f>
        <v>1000</v>
      </c>
      <c r="F218" s="27"/>
      <c r="G218" s="27"/>
      <c r="H218" s="107"/>
    </row>
    <row r="219" customFormat="false" ht="18.75" hidden="false" customHeight="false" outlineLevel="0" collapsed="false">
      <c r="A219" s="35"/>
      <c r="B219" s="36"/>
      <c r="C219" s="36"/>
      <c r="D219" s="27"/>
      <c r="E219" s="36"/>
      <c r="F219" s="27"/>
      <c r="G219" s="27"/>
      <c r="H219" s="37"/>
    </row>
    <row r="220" customFormat="false" ht="18.75" hidden="false" customHeight="false" outlineLevel="0" collapsed="false">
      <c r="A220" s="35" t="s">
        <v>151</v>
      </c>
      <c r="B220" s="36" t="s">
        <v>186</v>
      </c>
      <c r="C220" s="36"/>
      <c r="D220" s="27"/>
      <c r="E220" s="36" t="s">
        <v>192</v>
      </c>
      <c r="F220" s="27"/>
      <c r="G220" s="27"/>
      <c r="H220" s="37"/>
    </row>
    <row r="221" customFormat="false" ht="18.75" hidden="false" customHeight="false" outlineLevel="0" collapsed="false">
      <c r="A221" s="113" t="n">
        <f aca="false">A179</f>
        <v>2000</v>
      </c>
      <c r="B221" s="42" t="n">
        <f aca="false">B179</f>
        <v>0</v>
      </c>
      <c r="C221" s="42"/>
      <c r="D221" s="27"/>
      <c r="E221" s="42" t="n">
        <f aca="false">E179</f>
        <v>60265.51636</v>
      </c>
      <c r="F221" s="27"/>
      <c r="G221" s="27"/>
      <c r="H221" s="107"/>
    </row>
    <row r="222" customFormat="false" ht="18.75" hidden="false" customHeight="false" outlineLevel="0" collapsed="false">
      <c r="A222" s="35"/>
      <c r="B222" s="36"/>
      <c r="C222" s="36"/>
      <c r="D222" s="27"/>
      <c r="E222" s="36"/>
      <c r="F222" s="27"/>
      <c r="G222" s="27"/>
      <c r="H222" s="37"/>
    </row>
    <row r="223" customFormat="false" ht="18.75" hidden="false" customHeight="false" outlineLevel="0" collapsed="false">
      <c r="A223" s="35" t="s">
        <v>204</v>
      </c>
      <c r="B223" s="36" t="s">
        <v>66</v>
      </c>
      <c r="C223" s="36"/>
      <c r="D223" s="27"/>
      <c r="E223" s="36" t="s">
        <v>205</v>
      </c>
      <c r="F223" s="27"/>
      <c r="G223" s="27"/>
      <c r="H223" s="37"/>
    </row>
    <row r="224" customFormat="false" ht="18.75" hidden="false" customHeight="false" outlineLevel="0" collapsed="false">
      <c r="A224" s="113" t="n">
        <f aca="false">A182</f>
        <v>13116.48</v>
      </c>
      <c r="B224" s="42" t="n">
        <f aca="false">B182</f>
        <v>199.991666666667</v>
      </c>
      <c r="C224" s="42"/>
      <c r="D224" s="27"/>
      <c r="E224" s="42" t="n">
        <f aca="false">E182</f>
        <v>73631.988</v>
      </c>
      <c r="F224" s="27"/>
      <c r="G224" s="27"/>
      <c r="H224" s="107"/>
    </row>
    <row r="225" customFormat="false" ht="18.75" hidden="false" customHeight="false" outlineLevel="0" collapsed="false">
      <c r="A225" s="35"/>
      <c r="B225" s="36"/>
      <c r="C225" s="36"/>
      <c r="D225" s="27"/>
      <c r="E225" s="36"/>
      <c r="F225" s="27"/>
      <c r="G225" s="27"/>
      <c r="H225" s="37"/>
    </row>
    <row r="226" customFormat="false" ht="18.75" hidden="false" customHeight="false" outlineLevel="0" collapsed="false">
      <c r="A226" s="35" t="s">
        <v>206</v>
      </c>
      <c r="B226" s="36" t="s">
        <v>207</v>
      </c>
      <c r="C226" s="36"/>
      <c r="D226" s="27"/>
      <c r="E226" s="36" t="s">
        <v>219</v>
      </c>
      <c r="F226" s="27"/>
      <c r="G226" s="27"/>
      <c r="H226" s="37"/>
    </row>
    <row r="227" customFormat="false" ht="18.75" hidden="false" customHeight="false" outlineLevel="0" collapsed="false">
      <c r="A227" s="113" t="n">
        <f aca="false">A185</f>
        <v>10</v>
      </c>
      <c r="B227" s="42" t="n">
        <f aca="false">B185</f>
        <v>2239.99</v>
      </c>
      <c r="C227" s="42"/>
      <c r="D227" s="27"/>
      <c r="E227" s="42" t="n">
        <f aca="false">B59</f>
        <v>34</v>
      </c>
      <c r="F227" s="27"/>
      <c r="G227" s="27"/>
      <c r="H227" s="107"/>
    </row>
    <row r="228" customFormat="false" ht="18.75" hidden="false" customHeight="false" outlineLevel="0" collapsed="false">
      <c r="A228" s="35"/>
      <c r="B228" s="36"/>
      <c r="C228" s="36"/>
      <c r="D228" s="36"/>
      <c r="E228" s="27"/>
      <c r="F228" s="27"/>
      <c r="G228" s="27"/>
      <c r="H228" s="37"/>
    </row>
    <row r="229" customFormat="false" ht="18.75" hidden="false" customHeight="false" outlineLevel="0" collapsed="false">
      <c r="A229" s="35" t="s">
        <v>195</v>
      </c>
      <c r="B229" s="36" t="s">
        <v>196</v>
      </c>
      <c r="C229" s="36"/>
      <c r="D229" s="36"/>
      <c r="E229" s="36" t="s">
        <v>197</v>
      </c>
      <c r="F229" s="27"/>
      <c r="G229" s="27"/>
      <c r="H229" s="37"/>
    </row>
    <row r="230" customFormat="false" ht="18.75" hidden="false" customHeight="false" outlineLevel="0" collapsed="false">
      <c r="A230" s="113" t="n">
        <f aca="false">A167</f>
        <v>1898.00311359165</v>
      </c>
      <c r="B230" s="42" t="n">
        <f aca="false">B167</f>
        <v>140.541470588235</v>
      </c>
      <c r="C230" s="47"/>
      <c r="D230" s="47"/>
      <c r="E230" s="42" t="n">
        <f aca="false">E167</f>
        <v>2038.54458417988</v>
      </c>
      <c r="F230" s="27"/>
      <c r="G230" s="27"/>
      <c r="H230" s="37"/>
    </row>
    <row r="231" customFormat="false" ht="18.75" hidden="false" customHeight="false" outlineLevel="0" collapsed="false">
      <c r="A231" s="35"/>
      <c r="B231" s="36"/>
      <c r="C231" s="36"/>
      <c r="D231" s="36"/>
      <c r="E231" s="27"/>
      <c r="F231" s="27"/>
      <c r="G231" s="27"/>
      <c r="H231" s="37"/>
    </row>
    <row r="232" customFormat="false" ht="18.75" hidden="false" customHeight="false" outlineLevel="0" collapsed="false">
      <c r="A232" s="35" t="s">
        <v>220</v>
      </c>
      <c r="B232" s="36" t="s">
        <v>221</v>
      </c>
      <c r="C232" s="36"/>
      <c r="D232" s="36"/>
      <c r="E232" s="36" t="s">
        <v>80</v>
      </c>
      <c r="F232" s="27"/>
      <c r="G232" s="27"/>
      <c r="H232" s="37"/>
    </row>
    <row r="233" customFormat="false" ht="18.75" hidden="false" customHeight="false" outlineLevel="0" collapsed="false">
      <c r="A233" s="113" t="n">
        <f aca="false">E170</f>
        <v>8850</v>
      </c>
      <c r="B233" s="42" t="n">
        <f aca="false">E185</f>
        <v>8860</v>
      </c>
      <c r="C233" s="36"/>
      <c r="D233" s="36"/>
      <c r="E233" s="42" t="n">
        <f aca="false">J18*0.000006*100</f>
        <v>32.1689952</v>
      </c>
      <c r="F233" s="27"/>
      <c r="G233" s="27"/>
      <c r="H233" s="37"/>
    </row>
    <row r="234" customFormat="false" ht="18.75" hidden="false" customHeight="false" outlineLevel="0" collapsed="false">
      <c r="A234" s="113"/>
      <c r="B234" s="42"/>
      <c r="C234" s="36"/>
      <c r="D234" s="36"/>
      <c r="E234" s="42"/>
      <c r="F234" s="27"/>
      <c r="G234" s="27"/>
      <c r="H234" s="37"/>
    </row>
    <row r="235" customFormat="false" ht="18.75" hidden="false" customHeight="false" outlineLevel="0" collapsed="false">
      <c r="A235" s="64" t="s">
        <v>222</v>
      </c>
      <c r="B235" s="43" t="s">
        <v>85</v>
      </c>
      <c r="C235" s="36"/>
      <c r="D235" s="36"/>
      <c r="E235" s="43" t="s">
        <v>143</v>
      </c>
      <c r="F235" s="27"/>
      <c r="G235" s="27"/>
      <c r="H235" s="37"/>
    </row>
    <row r="236" customFormat="false" ht="18.75" hidden="false" customHeight="false" outlineLevel="0" collapsed="false">
      <c r="A236" s="113" t="n">
        <f aca="false">IF(E105="YES",J18*0.000002,0)*100</f>
        <v>10.7229984</v>
      </c>
      <c r="B236" s="42" t="n">
        <f aca="false">E233+A236</f>
        <v>42.8919936</v>
      </c>
      <c r="C236" s="36"/>
      <c r="D236" s="36"/>
      <c r="E236" s="42"/>
      <c r="F236" s="27"/>
      <c r="G236" s="27"/>
      <c r="H236" s="37"/>
    </row>
    <row r="237" customFormat="false" ht="18.75" hidden="false" customHeight="false" outlineLevel="0" collapsed="false">
      <c r="A237" s="113"/>
      <c r="B237" s="42"/>
      <c r="C237" s="36"/>
      <c r="D237" s="36"/>
      <c r="E237" s="42"/>
      <c r="F237" s="27"/>
      <c r="G237" s="27"/>
      <c r="H237" s="37"/>
    </row>
    <row r="238" customFormat="false" ht="22.05" hidden="false" customHeight="false" outlineLevel="0" collapsed="false">
      <c r="A238" s="180" t="s">
        <v>223</v>
      </c>
      <c r="B238" s="180"/>
      <c r="C238" s="180"/>
      <c r="D238" s="180"/>
      <c r="E238" s="180"/>
      <c r="F238" s="180"/>
      <c r="G238" s="180"/>
      <c r="H238" s="180"/>
    </row>
    <row r="239" customFormat="false" ht="18.75" hidden="false" customHeight="false" outlineLevel="0" collapsed="false">
      <c r="A239" s="35" t="s">
        <v>224</v>
      </c>
      <c r="B239" s="36" t="s">
        <v>210</v>
      </c>
      <c r="C239" s="36"/>
      <c r="D239" s="36"/>
      <c r="E239" s="43" t="s">
        <v>211</v>
      </c>
      <c r="F239" s="27"/>
      <c r="G239" s="27"/>
      <c r="H239" s="37"/>
    </row>
    <row r="240" customFormat="false" ht="18.75" hidden="false" customHeight="false" outlineLevel="0" collapsed="false">
      <c r="A240" s="113" t="n">
        <f aca="false">H148</f>
        <v>8219.6033</v>
      </c>
      <c r="B240" s="42" t="n">
        <f aca="false">B68</f>
        <v>451.9913727</v>
      </c>
      <c r="C240" s="36"/>
      <c r="D240" s="36"/>
      <c r="E240" s="42" t="n">
        <f aca="false">E188</f>
        <v>110.271</v>
      </c>
      <c r="F240" s="27"/>
      <c r="G240" s="27"/>
      <c r="H240" s="37"/>
    </row>
    <row r="241" customFormat="false" ht="18.75" hidden="false" customHeight="false" outlineLevel="0" collapsed="false">
      <c r="A241" s="113"/>
      <c r="B241" s="42"/>
      <c r="C241" s="36"/>
      <c r="D241" s="36"/>
      <c r="E241" s="27"/>
      <c r="F241" s="27"/>
      <c r="G241" s="27"/>
      <c r="H241" s="37"/>
    </row>
    <row r="242" customFormat="false" ht="18.75" hidden="false" customHeight="false" outlineLevel="0" collapsed="false">
      <c r="A242" s="64" t="s">
        <v>212</v>
      </c>
      <c r="B242" s="43" t="s">
        <v>213</v>
      </c>
      <c r="C242" s="36"/>
      <c r="D242" s="36"/>
      <c r="E242" s="43"/>
      <c r="F242" s="27"/>
      <c r="G242" s="27"/>
      <c r="H242" s="37"/>
    </row>
    <row r="243" customFormat="false" ht="18.75" hidden="false" customHeight="false" outlineLevel="0" collapsed="false">
      <c r="A243" s="113" t="n">
        <f aca="false">A191</f>
        <v>20</v>
      </c>
      <c r="B243" s="42" t="n">
        <f aca="false">B240+E240+A243+A240-H156</f>
        <v>5701.8656727</v>
      </c>
      <c r="C243" s="36"/>
      <c r="D243" s="36"/>
      <c r="E243" s="42"/>
      <c r="F243" s="27"/>
      <c r="G243" s="27"/>
      <c r="H243" s="37"/>
    </row>
    <row r="244" customFormat="false" ht="18.75" hidden="false" customHeight="false" outlineLevel="0" collapsed="false">
      <c r="A244" s="35"/>
      <c r="B244" s="36"/>
      <c r="C244" s="36"/>
      <c r="D244" s="36"/>
      <c r="E244" s="27"/>
      <c r="F244" s="27"/>
      <c r="G244" s="27"/>
      <c r="H244" s="37"/>
    </row>
    <row r="245" customFormat="false" ht="18.75" hidden="false" customHeight="false" outlineLevel="0" collapsed="false">
      <c r="A245" s="60"/>
      <c r="B245" s="61"/>
      <c r="C245" s="61"/>
      <c r="D245" s="61"/>
      <c r="E245" s="61"/>
      <c r="F245" s="61"/>
      <c r="G245" s="61"/>
      <c r="H245" s="69"/>
    </row>
    <row r="251" customFormat="false" ht="22.05" hidden="false" customHeight="false" outlineLevel="0" collapsed="false">
      <c r="A251" s="175" t="s">
        <v>225</v>
      </c>
      <c r="B251" s="175"/>
      <c r="C251" s="175"/>
      <c r="D251" s="175"/>
      <c r="E251" s="175"/>
      <c r="F251" s="175"/>
      <c r="G251" s="175"/>
      <c r="H251" s="175"/>
    </row>
    <row r="252" customFormat="false" ht="18.75" hidden="false" customHeight="false" outlineLevel="0" collapsed="false">
      <c r="A252" s="35"/>
      <c r="B252" s="36"/>
      <c r="C252" s="36"/>
      <c r="D252" s="36"/>
      <c r="E252" s="27"/>
      <c r="F252" s="27"/>
      <c r="G252" s="27"/>
      <c r="H252" s="37"/>
    </row>
    <row r="253" customFormat="false" ht="18.75" hidden="false" customHeight="false" outlineLevel="0" collapsed="false">
      <c r="A253" s="176" t="s">
        <v>226</v>
      </c>
      <c r="B253" s="181" t="n">
        <f aca="false">K35</f>
        <v>0.075</v>
      </c>
      <c r="C253" s="182"/>
      <c r="D253" s="183" t="s">
        <v>227</v>
      </c>
      <c r="E253" s="183"/>
      <c r="F253" s="181" t="n">
        <f aca="false">B83</f>
        <v>0.125</v>
      </c>
      <c r="G253" s="27"/>
      <c r="H253" s="37"/>
    </row>
    <row r="254" customFormat="false" ht="18.75" hidden="false" customHeight="false" outlineLevel="0" collapsed="false">
      <c r="A254" s="176" t="s">
        <v>228</v>
      </c>
      <c r="B254" s="185" t="n">
        <f aca="false">(E182-B182)-(B201-B182-A185)</f>
        <v>5380.298</v>
      </c>
      <c r="C254" s="182"/>
      <c r="D254" s="183" t="s">
        <v>229</v>
      </c>
      <c r="E254" s="183"/>
      <c r="F254" s="185" t="n">
        <f aca="false">F261+F267+F269+B270+B271</f>
        <v>451.9913727</v>
      </c>
      <c r="G254" s="27"/>
      <c r="H254" s="37"/>
    </row>
    <row r="255" customFormat="false" ht="18.75" hidden="false" customHeight="false" outlineLevel="0" collapsed="false">
      <c r="A255" s="176" t="s">
        <v>230</v>
      </c>
      <c r="B255" s="185" t="n">
        <f aca="false">F262+B263</f>
        <v>1122.71</v>
      </c>
      <c r="C255" s="182"/>
      <c r="D255" s="183" t="s">
        <v>231</v>
      </c>
      <c r="E255" s="183"/>
      <c r="F255" s="185" t="n">
        <f aca="false">(B254-F254)+B255</f>
        <v>6051.0166273</v>
      </c>
      <c r="G255" s="27"/>
      <c r="H255" s="37"/>
    </row>
    <row r="256" customFormat="false" ht="18.75" hidden="false" customHeight="false" outlineLevel="0" collapsed="false">
      <c r="A256" s="186"/>
      <c r="B256" s="182"/>
      <c r="C256" s="187"/>
      <c r="D256" s="187"/>
      <c r="E256" s="187"/>
      <c r="F256" s="187"/>
      <c r="G256" s="188"/>
      <c r="H256" s="189"/>
    </row>
    <row r="257" customFormat="false" ht="18.75" hidden="false" customHeight="false" outlineLevel="0" collapsed="false">
      <c r="A257" s="35" t="s">
        <v>226</v>
      </c>
      <c r="B257" s="190" t="n">
        <f aca="false">B253</f>
        <v>0.075</v>
      </c>
      <c r="C257" s="182"/>
      <c r="D257" s="182"/>
      <c r="E257" s="182"/>
      <c r="F257" s="182"/>
      <c r="G257" s="27"/>
      <c r="H257" s="37"/>
    </row>
    <row r="258" customFormat="false" ht="18.75" hidden="false" customHeight="false" outlineLevel="0" collapsed="false">
      <c r="A258" s="191"/>
      <c r="B258" s="192"/>
      <c r="C258" s="193"/>
      <c r="D258" s="193"/>
      <c r="E258" s="188"/>
      <c r="F258" s="188"/>
      <c r="G258" s="188"/>
      <c r="H258" s="189"/>
    </row>
    <row r="259" customFormat="false" ht="18.75" hidden="false" customHeight="false" outlineLevel="0" collapsed="false">
      <c r="A259" s="35" t="s">
        <v>232</v>
      </c>
      <c r="B259" s="190" t="n">
        <f aca="false">B64</f>
        <v>0.05</v>
      </c>
      <c r="C259" s="36"/>
      <c r="D259" s="156" t="s">
        <v>233</v>
      </c>
      <c r="E259" s="156"/>
      <c r="F259" s="190" t="n">
        <v>0</v>
      </c>
      <c r="G259" s="27"/>
      <c r="H259" s="37"/>
    </row>
    <row r="260" customFormat="false" ht="18.75" hidden="false" customHeight="false" outlineLevel="0" collapsed="false">
      <c r="A260" s="112" t="s">
        <v>227</v>
      </c>
      <c r="B260" s="194" t="n">
        <f aca="false">B83</f>
        <v>0.125</v>
      </c>
      <c r="C260" s="47"/>
      <c r="D260" s="156" t="s">
        <v>228</v>
      </c>
      <c r="E260" s="156"/>
      <c r="F260" s="135" t="n">
        <f aca="false">B254</f>
        <v>5380.298</v>
      </c>
      <c r="G260" s="27"/>
      <c r="H260" s="37"/>
    </row>
    <row r="261" customFormat="false" ht="18.75" hidden="false" customHeight="false" outlineLevel="0" collapsed="false">
      <c r="A261" s="35" t="s">
        <v>234</v>
      </c>
      <c r="B261" s="194" t="n">
        <f aca="false">B67</f>
        <v>0.0075</v>
      </c>
      <c r="C261" s="36"/>
      <c r="D261" s="156" t="s">
        <v>234</v>
      </c>
      <c r="E261" s="156"/>
      <c r="F261" s="142" t="n">
        <f aca="false">B68</f>
        <v>451.9913727</v>
      </c>
      <c r="G261" s="27"/>
      <c r="H261" s="37"/>
    </row>
    <row r="262" customFormat="false" ht="18.75" hidden="false" customHeight="false" outlineLevel="0" collapsed="false">
      <c r="A262" s="35" t="s">
        <v>235</v>
      </c>
      <c r="B262" s="190" t="n">
        <f aca="false">A108</f>
        <v>0.3</v>
      </c>
      <c r="C262" s="36"/>
      <c r="D262" s="156" t="s">
        <v>235</v>
      </c>
      <c r="E262" s="156"/>
      <c r="F262" s="135" t="n">
        <f aca="false">E240*10</f>
        <v>1102.71</v>
      </c>
      <c r="G262" s="27"/>
      <c r="H262" s="37"/>
    </row>
    <row r="263" customFormat="false" ht="18.75" hidden="false" customHeight="false" outlineLevel="0" collapsed="false">
      <c r="A263" s="35" t="s">
        <v>236</v>
      </c>
      <c r="B263" s="135" t="n">
        <f aca="false">A243</f>
        <v>20</v>
      </c>
      <c r="C263" s="36"/>
      <c r="D263" s="43" t="s">
        <v>231</v>
      </c>
      <c r="E263" s="43"/>
      <c r="F263" s="135" t="n">
        <f aca="false">(B254-F254)+B255</f>
        <v>6051.0166273</v>
      </c>
      <c r="G263" s="27"/>
      <c r="H263" s="37"/>
    </row>
    <row r="264" customFormat="false" ht="18.75" hidden="false" customHeight="false" outlineLevel="0" collapsed="false">
      <c r="A264" s="113"/>
      <c r="B264" s="42"/>
      <c r="C264" s="36"/>
      <c r="D264" s="36"/>
      <c r="E264" s="42"/>
      <c r="F264" s="27"/>
      <c r="G264" s="27"/>
      <c r="H264" s="37"/>
    </row>
    <row r="265" customFormat="false" ht="22.05" hidden="false" customHeight="false" outlineLevel="0" collapsed="false">
      <c r="A265" s="180" t="s">
        <v>237</v>
      </c>
      <c r="B265" s="180"/>
      <c r="C265" s="180"/>
      <c r="D265" s="180"/>
      <c r="E265" s="180"/>
      <c r="F265" s="180"/>
      <c r="G265" s="180"/>
      <c r="H265" s="180"/>
    </row>
    <row r="266" customFormat="false" ht="18.75" hidden="false" customHeight="false" outlineLevel="0" collapsed="false">
      <c r="A266" s="35" t="s">
        <v>238</v>
      </c>
      <c r="B266" s="142" t="n">
        <v>0</v>
      </c>
      <c r="C266" s="36"/>
      <c r="D266" s="195" t="s">
        <v>239</v>
      </c>
      <c r="E266" s="195"/>
      <c r="F266" s="142" t="n">
        <v>0</v>
      </c>
      <c r="G266" s="27"/>
      <c r="H266" s="37"/>
    </row>
    <row r="267" customFormat="false" ht="18.75" hidden="false" customHeight="false" outlineLevel="0" collapsed="false">
      <c r="A267" s="113"/>
      <c r="B267" s="135"/>
      <c r="C267" s="36"/>
      <c r="D267" s="156" t="s">
        <v>240</v>
      </c>
      <c r="E267" s="156"/>
      <c r="F267" s="135" t="n">
        <f aca="false">B266+F266*B209</f>
        <v>0</v>
      </c>
      <c r="G267" s="27"/>
      <c r="H267" s="37"/>
    </row>
    <row r="268" customFormat="false" ht="18.75" hidden="false" customHeight="false" outlineLevel="0" collapsed="false">
      <c r="A268" s="64" t="s">
        <v>241</v>
      </c>
      <c r="B268" s="196" t="s">
        <v>10</v>
      </c>
      <c r="C268" s="36"/>
      <c r="D268" s="156" t="s">
        <v>242</v>
      </c>
      <c r="E268" s="156"/>
      <c r="F268" s="196" t="n">
        <f aca="false">B70</f>
        <v>0</v>
      </c>
      <c r="G268" s="27"/>
      <c r="H268" s="37"/>
    </row>
    <row r="269" customFormat="false" ht="18.75" hidden="false" customHeight="false" outlineLevel="0" collapsed="false">
      <c r="A269" s="64"/>
      <c r="B269" s="146"/>
      <c r="C269" s="36"/>
      <c r="D269" s="156" t="s">
        <v>243</v>
      </c>
      <c r="E269" s="156"/>
      <c r="F269" s="135" t="n">
        <f aca="false">B91</f>
        <v>0</v>
      </c>
      <c r="G269" s="27"/>
      <c r="H269" s="37"/>
    </row>
    <row r="270" customFormat="false" ht="18.75" hidden="false" customHeight="false" outlineLevel="0" collapsed="false">
      <c r="A270" s="64" t="s">
        <v>244</v>
      </c>
      <c r="B270" s="142" t="n">
        <v>0</v>
      </c>
      <c r="C270" s="36"/>
      <c r="D270" s="36"/>
      <c r="E270" s="42"/>
      <c r="F270" s="27"/>
      <c r="G270" s="27"/>
      <c r="H270" s="37"/>
    </row>
    <row r="271" customFormat="false" ht="18.75" hidden="false" customHeight="false" outlineLevel="0" collapsed="false">
      <c r="A271" s="35" t="s">
        <v>245</v>
      </c>
      <c r="B271" s="142" t="n">
        <v>0</v>
      </c>
      <c r="C271" s="36"/>
      <c r="D271" s="36"/>
      <c r="E271" s="27"/>
      <c r="F271" s="27"/>
      <c r="G271" s="27"/>
      <c r="H271" s="37"/>
    </row>
    <row r="272" customFormat="false" ht="18.75" hidden="false" customHeight="false" outlineLevel="0" collapsed="false">
      <c r="A272" s="60"/>
      <c r="B272" s="61"/>
      <c r="C272" s="61"/>
      <c r="D272" s="61"/>
      <c r="E272" s="61"/>
      <c r="F272" s="61"/>
      <c r="G272" s="61"/>
      <c r="H272" s="69"/>
    </row>
  </sheetData>
  <mergeCells count="287">
    <mergeCell ref="A1:H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B18:F18"/>
    <mergeCell ref="B19:F19"/>
    <mergeCell ref="B20:F20"/>
    <mergeCell ref="A21:F21"/>
    <mergeCell ref="A24:H24"/>
    <mergeCell ref="A28:H28"/>
    <mergeCell ref="B30:D30"/>
    <mergeCell ref="E33:G33"/>
    <mergeCell ref="E36:G36"/>
    <mergeCell ref="J38:K38"/>
    <mergeCell ref="B40:D40"/>
    <mergeCell ref="C45:E45"/>
    <mergeCell ref="A50:A51"/>
    <mergeCell ref="B50:D50"/>
    <mergeCell ref="B51:D51"/>
    <mergeCell ref="B52:D52"/>
    <mergeCell ref="A100:H100"/>
    <mergeCell ref="J100:Q100"/>
    <mergeCell ref="S100:Z100"/>
    <mergeCell ref="AB100:AI100"/>
    <mergeCell ref="A102:H102"/>
    <mergeCell ref="J102:Q102"/>
    <mergeCell ref="S102:Z102"/>
    <mergeCell ref="AB102:AI102"/>
    <mergeCell ref="B105:D105"/>
    <mergeCell ref="E105:G105"/>
    <mergeCell ref="K105:M105"/>
    <mergeCell ref="N105:P105"/>
    <mergeCell ref="T105:V105"/>
    <mergeCell ref="W105:Y105"/>
    <mergeCell ref="AC105:AE105"/>
    <mergeCell ref="AF105:AH105"/>
    <mergeCell ref="B108:D108"/>
    <mergeCell ref="E108:G108"/>
    <mergeCell ref="K108:M108"/>
    <mergeCell ref="N108:P108"/>
    <mergeCell ref="T108:V108"/>
    <mergeCell ref="W108:Y108"/>
    <mergeCell ref="AC108:AE108"/>
    <mergeCell ref="AF108:AH108"/>
    <mergeCell ref="B111:D111"/>
    <mergeCell ref="E111:G111"/>
    <mergeCell ref="K111:M111"/>
    <mergeCell ref="N111:P111"/>
    <mergeCell ref="T111:V111"/>
    <mergeCell ref="W111:Y111"/>
    <mergeCell ref="AC111:AE111"/>
    <mergeCell ref="AF111:AH111"/>
    <mergeCell ref="B114:D114"/>
    <mergeCell ref="E114:G114"/>
    <mergeCell ref="K114:M114"/>
    <mergeCell ref="N114:P114"/>
    <mergeCell ref="T114:V114"/>
    <mergeCell ref="W114:Y114"/>
    <mergeCell ref="AC114:AE114"/>
    <mergeCell ref="AF114:AH114"/>
    <mergeCell ref="A117:H117"/>
    <mergeCell ref="J117:Q117"/>
    <mergeCell ref="S117:Z117"/>
    <mergeCell ref="AB117:AI117"/>
    <mergeCell ref="B119:C119"/>
    <mergeCell ref="D119:E119"/>
    <mergeCell ref="F119:G119"/>
    <mergeCell ref="K119:L119"/>
    <mergeCell ref="M119:N119"/>
    <mergeCell ref="O119:P119"/>
    <mergeCell ref="T119:U119"/>
    <mergeCell ref="V119:W119"/>
    <mergeCell ref="X119:Y119"/>
    <mergeCell ref="AC119:AD119"/>
    <mergeCell ref="AE119:AF119"/>
    <mergeCell ref="AG119:AH119"/>
    <mergeCell ref="B130:C130"/>
    <mergeCell ref="D130:E130"/>
    <mergeCell ref="F130:G130"/>
    <mergeCell ref="K130:L130"/>
    <mergeCell ref="M130:N130"/>
    <mergeCell ref="O130:P130"/>
    <mergeCell ref="T130:U130"/>
    <mergeCell ref="V130:W130"/>
    <mergeCell ref="X130:Y130"/>
    <mergeCell ref="AC130:AD130"/>
    <mergeCell ref="AE130:AF130"/>
    <mergeCell ref="AG130:AH130"/>
    <mergeCell ref="B131:C131"/>
    <mergeCell ref="D131:E131"/>
    <mergeCell ref="F131:G131"/>
    <mergeCell ref="K131:L131"/>
    <mergeCell ref="M131:N131"/>
    <mergeCell ref="O131:P131"/>
    <mergeCell ref="T131:U131"/>
    <mergeCell ref="V131:W131"/>
    <mergeCell ref="X131:Y131"/>
    <mergeCell ref="AC131:AD131"/>
    <mergeCell ref="AE131:AF131"/>
    <mergeCell ref="AG131:AH131"/>
    <mergeCell ref="B132:C132"/>
    <mergeCell ref="D132:E132"/>
    <mergeCell ref="F132:G132"/>
    <mergeCell ref="K132:L132"/>
    <mergeCell ref="M132:N132"/>
    <mergeCell ref="O132:P132"/>
    <mergeCell ref="T132:U132"/>
    <mergeCell ref="V132:W132"/>
    <mergeCell ref="X132:Y132"/>
    <mergeCell ref="AC132:AD132"/>
    <mergeCell ref="AE132:AF132"/>
    <mergeCell ref="AG132:AH132"/>
    <mergeCell ref="B133:C133"/>
    <mergeCell ref="D133:E133"/>
    <mergeCell ref="F133:G133"/>
    <mergeCell ref="K133:L133"/>
    <mergeCell ref="M133:N133"/>
    <mergeCell ref="O133:P133"/>
    <mergeCell ref="T133:U133"/>
    <mergeCell ref="V133:W133"/>
    <mergeCell ref="X133:Y133"/>
    <mergeCell ref="AC133:AD133"/>
    <mergeCell ref="AE133:AF133"/>
    <mergeCell ref="AG133:AH133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137:F137"/>
    <mergeCell ref="J137:O137"/>
    <mergeCell ref="S137:X137"/>
    <mergeCell ref="AB137:AG137"/>
    <mergeCell ref="A138:F138"/>
    <mergeCell ref="J138:O138"/>
    <mergeCell ref="S138:X138"/>
    <mergeCell ref="AB138:AG138"/>
    <mergeCell ref="A139:F139"/>
    <mergeCell ref="J139:O139"/>
    <mergeCell ref="S139:X139"/>
    <mergeCell ref="AB139:AG139"/>
    <mergeCell ref="A140:F140"/>
    <mergeCell ref="J140:O140"/>
    <mergeCell ref="S140:X140"/>
    <mergeCell ref="AB140:AG140"/>
    <mergeCell ref="A141:F141"/>
    <mergeCell ref="J141:O141"/>
    <mergeCell ref="S141:X141"/>
    <mergeCell ref="AB141:AG141"/>
    <mergeCell ref="A142:F142"/>
    <mergeCell ref="J142:O142"/>
    <mergeCell ref="S142:X142"/>
    <mergeCell ref="AB142:AG142"/>
    <mergeCell ref="A143:F143"/>
    <mergeCell ref="J143:O143"/>
    <mergeCell ref="S143:X143"/>
    <mergeCell ref="AB143:AG143"/>
    <mergeCell ref="B144:F144"/>
    <mergeCell ref="K144:O144"/>
    <mergeCell ref="T144:X144"/>
    <mergeCell ref="AC144:AG144"/>
    <mergeCell ref="B145:F145"/>
    <mergeCell ref="K145:O145"/>
    <mergeCell ref="T145:X145"/>
    <mergeCell ref="AC145:AG145"/>
    <mergeCell ref="B146:F146"/>
    <mergeCell ref="K146:O146"/>
    <mergeCell ref="T146:X146"/>
    <mergeCell ref="AC146:AG146"/>
    <mergeCell ref="A147:F147"/>
    <mergeCell ref="J147:O147"/>
    <mergeCell ref="S147:X147"/>
    <mergeCell ref="AB147:AG147"/>
    <mergeCell ref="A148:F148"/>
    <mergeCell ref="J148:O148"/>
    <mergeCell ref="S148:X148"/>
    <mergeCell ref="AB148:AG148"/>
    <mergeCell ref="A150:H150"/>
    <mergeCell ref="J150:Q150"/>
    <mergeCell ref="S150:Z150"/>
    <mergeCell ref="AB150:AI150"/>
    <mergeCell ref="E152:F152"/>
    <mergeCell ref="G152:H152"/>
    <mergeCell ref="N152:O152"/>
    <mergeCell ref="P152:Q152"/>
    <mergeCell ref="W152:X152"/>
    <mergeCell ref="Y152:Z152"/>
    <mergeCell ref="AF152:AG152"/>
    <mergeCell ref="AH152:AI152"/>
    <mergeCell ref="E153:F153"/>
    <mergeCell ref="G153:H153"/>
    <mergeCell ref="N153:O153"/>
    <mergeCell ref="P153:Q153"/>
    <mergeCell ref="W153:X153"/>
    <mergeCell ref="Y153:Z153"/>
    <mergeCell ref="AF153:AG153"/>
    <mergeCell ref="AH153:AI153"/>
    <mergeCell ref="E154:F154"/>
    <mergeCell ref="G154:H154"/>
    <mergeCell ref="N154:O154"/>
    <mergeCell ref="P154:Q154"/>
    <mergeCell ref="W154:X154"/>
    <mergeCell ref="Y154:Z154"/>
    <mergeCell ref="AF154:AG154"/>
    <mergeCell ref="AH154:AI154"/>
    <mergeCell ref="E155:F155"/>
    <mergeCell ref="N155:O155"/>
    <mergeCell ref="W155:X155"/>
    <mergeCell ref="AF155:AG155"/>
    <mergeCell ref="G157:H157"/>
    <mergeCell ref="P157:Q157"/>
    <mergeCell ref="Y157:Z157"/>
    <mergeCell ref="AH157:AI157"/>
    <mergeCell ref="G158:H158"/>
    <mergeCell ref="P158:Q158"/>
    <mergeCell ref="Y158:Z158"/>
    <mergeCell ref="AH158:AI158"/>
    <mergeCell ref="G159:H159"/>
    <mergeCell ref="P159:Q159"/>
    <mergeCell ref="Y159:Z159"/>
    <mergeCell ref="AH159:AI159"/>
    <mergeCell ref="A162:H162"/>
    <mergeCell ref="J162:Q162"/>
    <mergeCell ref="S162:Z162"/>
    <mergeCell ref="AB162:AI162"/>
    <mergeCell ref="B164:C164"/>
    <mergeCell ref="K164:L164"/>
    <mergeCell ref="T164:U164"/>
    <mergeCell ref="AC164:AD164"/>
    <mergeCell ref="A195:A196"/>
    <mergeCell ref="B195:D195"/>
    <mergeCell ref="J195:J196"/>
    <mergeCell ref="K195:M195"/>
    <mergeCell ref="S195:S196"/>
    <mergeCell ref="T195:V195"/>
    <mergeCell ref="AB195:AB196"/>
    <mergeCell ref="AC195:AE195"/>
    <mergeCell ref="B196:D196"/>
    <mergeCell ref="K196:M196"/>
    <mergeCell ref="T196:V196"/>
    <mergeCell ref="AC196:AE196"/>
    <mergeCell ref="B197:D197"/>
    <mergeCell ref="K197:M197"/>
    <mergeCell ref="T197:V197"/>
    <mergeCell ref="AC197:AE197"/>
    <mergeCell ref="A206:H206"/>
    <mergeCell ref="A238:H238"/>
    <mergeCell ref="A251:H251"/>
    <mergeCell ref="D253:E253"/>
    <mergeCell ref="D254:E254"/>
    <mergeCell ref="D255:E255"/>
    <mergeCell ref="D259:E259"/>
    <mergeCell ref="D260:E260"/>
    <mergeCell ref="D261:E261"/>
    <mergeCell ref="D262:E262"/>
    <mergeCell ref="A265:H265"/>
    <mergeCell ref="D266:E266"/>
    <mergeCell ref="D267:E267"/>
    <mergeCell ref="D268:E268"/>
    <mergeCell ref="D269:E269"/>
  </mergeCells>
  <dataValidations count="2">
    <dataValidation allowBlank="true" errorStyle="stop" operator="between" showDropDown="false" showErrorMessage="true" showInputMessage="true" sqref="A18:A20 B105 K105 N105 T105 W105 AC105 AF105 B108:D108 K108:M108 T108:V108 AC108:AE108 A111 J111 S111 AB111 A144:A146 J144:J146 S144:S146 AB144:AB146" type="list">
      <formula1>#ref!</formula1>
      <formula2>0</formula2>
    </dataValidation>
    <dataValidation allowBlank="true" errorStyle="stop" operator="between" showDropDown="false" showErrorMessage="true" showInputMessage="true" sqref="B26 E105" type="list">
      <formula1>$Z$19:$Z$20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39" colorId="64" zoomScale="100" zoomScaleNormal="100" zoomScalePageLayoutView="100" workbookViewId="0">
      <selection pane="topLeft" activeCell="C211" activeCellId="0" sqref="C211"/>
    </sheetView>
  </sheetViews>
  <sheetFormatPr defaultColWidth="10.87890625" defaultRowHeight="14.25" customHeight="true" zeroHeight="false" outlineLevelRow="0" outlineLevelCol="0"/>
  <cols>
    <col min="1" max="1" customWidth="true" hidden="false" style="1" width="56.0" collapsed="false" outlineLevel="0"/>
    <col min="2" max="2" customWidth="true" hidden="false" style="1" width="18.12" collapsed="false" outlineLevel="0"/>
    <col min="3" max="3" customWidth="true" hidden="false" style="1" width="25.12" collapsed="false" outlineLevel="0"/>
    <col min="4" max="4" customWidth="true" hidden="false" style="1" width="18.12" collapsed="false" outlineLevel="0"/>
    <col min="5" max="5" customWidth="true" hidden="false" style="1" width="24.0" collapsed="false" outlineLevel="0"/>
    <col min="7" max="7" customWidth="true" hidden="false" style="1" width="53.5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8.2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 t="s">
        <v>31</v>
      </c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42" t="n">
        <v>38412.5</v>
      </c>
      <c r="C3" s="239" t="n">
        <v>666.67</v>
      </c>
      <c r="D3" s="242" t="n">
        <v>875</v>
      </c>
      <c r="E3" s="354" t="n">
        <v>0</v>
      </c>
      <c r="F3" s="67"/>
      <c r="G3" s="67" t="n">
        <v>25000</v>
      </c>
      <c r="H3" s="67"/>
      <c r="I3" s="67" t="s">
        <v>32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1" t="n">
        <v>0</v>
      </c>
      <c r="C4" s="1" t="n">
        <v>0</v>
      </c>
      <c r="D4" s="1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0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38412.5</v>
      </c>
      <c r="C7" s="36" t="n">
        <f aca="false">C3-C6</f>
        <v>666.67</v>
      </c>
      <c r="D7" s="36" t="n">
        <f aca="false">D3-D6</f>
        <v>875</v>
      </c>
      <c r="E7" s="37"/>
      <c r="F7" s="67"/>
      <c r="G7" s="364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365" t="n">
        <f aca="false">G9*100/B3</f>
        <v>-293.003570886213</v>
      </c>
      <c r="H8" s="67"/>
      <c r="I8" s="18" t="s">
        <v>17</v>
      </c>
      <c r="J8" s="14" t="n">
        <f aca="false">E13+E14</f>
        <v>65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406" t="n">
        <f aca="false">(B7+C7+D7+E3)</f>
        <v>39954.17</v>
      </c>
      <c r="F9" s="67"/>
      <c r="G9" s="364" t="n">
        <f aca="false">E9-G11</f>
        <v>-112549.996666667</v>
      </c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20.83</v>
      </c>
      <c r="F10" s="67"/>
      <c r="G10" s="364"/>
      <c r="H10" s="67"/>
      <c r="I10" s="20" t="s">
        <v>15</v>
      </c>
      <c r="J10" s="14" t="n">
        <f aca="false">E15-E11-J8</f>
        <v>39975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(E9+E10)*0.2</f>
        <v>7995</v>
      </c>
      <c r="F11" s="67"/>
      <c r="G11" s="364" t="n">
        <f aca="false">G13/1.2</f>
        <v>152504.166666667</v>
      </c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0</v>
      </c>
      <c r="F13" s="67"/>
      <c r="G13" s="364" t="n">
        <f aca="false">G15-E14-E13-E12</f>
        <v>183005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65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407" t="n">
        <f aca="false">(E9+E10+E13+E14+E11)-E12</f>
        <v>48035</v>
      </c>
      <c r="F15" s="67"/>
      <c r="G15" s="21" t="n">
        <v>183070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366" t="n">
        <f aca="false">(B3+C3+E10)*1.2</f>
        <v>46920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 t="n">
        <v>0</v>
      </c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47970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48035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364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4" t="s">
        <v>139</v>
      </c>
      <c r="B26" s="206" t="s">
        <v>31</v>
      </c>
      <c r="C26" s="199"/>
      <c r="D26" s="199"/>
      <c r="E26" s="200"/>
      <c r="F26" s="67"/>
      <c r="G26" s="202" t="s">
        <v>36</v>
      </c>
      <c r="H26" s="202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38</v>
      </c>
      <c r="H27" s="203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1" t="s">
        <v>193</v>
      </c>
      <c r="B28" s="201"/>
      <c r="C28" s="201"/>
      <c r="D28" s="201"/>
      <c r="E28" s="201"/>
      <c r="F28" s="67"/>
      <c r="G28" s="203" t="s">
        <v>40</v>
      </c>
      <c r="H28" s="203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198"/>
      <c r="B29" s="199"/>
      <c r="C29" s="199"/>
      <c r="D29" s="199"/>
      <c r="E29" s="200"/>
      <c r="F29" s="67"/>
      <c r="G29" s="202" t="s">
        <v>41</v>
      </c>
      <c r="H29" s="367" t="n">
        <v>35</v>
      </c>
      <c r="I29" s="67"/>
      <c r="J29" s="67"/>
      <c r="K29" s="67" t="n">
        <v>36</v>
      </c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 t="s">
        <v>194</v>
      </c>
      <c r="B30" s="162" t="s">
        <v>359</v>
      </c>
      <c r="C30" s="162"/>
      <c r="D30" s="199"/>
      <c r="E30" s="200"/>
      <c r="F30" s="67"/>
      <c r="G30" s="202" t="s">
        <v>45</v>
      </c>
      <c r="H30" s="367" t="n">
        <v>35000</v>
      </c>
      <c r="I30" s="67"/>
      <c r="J30" s="67"/>
      <c r="K30" s="67" t="n">
        <v>10000</v>
      </c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198"/>
      <c r="B31" s="199"/>
      <c r="C31" s="199"/>
      <c r="D31" s="199"/>
      <c r="E31" s="200"/>
      <c r="F31" s="67"/>
      <c r="G31" s="202" t="s">
        <v>48</v>
      </c>
      <c r="H31" s="46" t="n">
        <v>15350</v>
      </c>
      <c r="I31" s="7" t="n">
        <f aca="false">IF(C107="YES",H31,0)</f>
        <v>15350</v>
      </c>
      <c r="J31" s="67"/>
      <c r="K31" s="67" t="n">
        <v>20000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98" t="s">
        <v>95</v>
      </c>
      <c r="B32" s="199" t="s">
        <v>96</v>
      </c>
      <c r="C32" s="199"/>
      <c r="D32" s="368" t="s">
        <v>365</v>
      </c>
      <c r="E32" s="200"/>
      <c r="F32" s="67"/>
      <c r="G32" s="202" t="s">
        <v>49</v>
      </c>
      <c r="I32" s="46" t="n">
        <v>3801</v>
      </c>
      <c r="J32" s="67"/>
      <c r="K32" s="67" t="n">
        <v>2160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31.5" hidden="false" customHeight="true" outlineLevel="0" collapsed="false">
      <c r="A33" s="213" t="n">
        <f aca="false">A52</f>
        <v>35</v>
      </c>
      <c r="B33" s="214" t="n">
        <v>10000</v>
      </c>
      <c r="C33" s="215"/>
      <c r="D33" s="369" t="n">
        <f aca="false">H48</f>
        <v>1059.78333841811</v>
      </c>
      <c r="E33" s="200"/>
      <c r="F33" s="67"/>
      <c r="G33" s="203" t="s">
        <v>366</v>
      </c>
      <c r="H33" s="52" t="n">
        <f aca="false">E21-E11+((E16*20%)+(E19*20%)+(E20*20%))</f>
        <v>40040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198"/>
      <c r="B34" s="199"/>
      <c r="C34" s="199"/>
      <c r="D34" s="199"/>
      <c r="E34" s="200"/>
      <c r="F34" s="67"/>
      <c r="G34" s="67" t="s">
        <v>382</v>
      </c>
      <c r="H34" s="67" t="n">
        <f aca="false">H29</f>
        <v>35</v>
      </c>
      <c r="I34" s="67" t="n">
        <v>43957.29</v>
      </c>
      <c r="J34" s="67" t="n">
        <v>841.24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98" t="s">
        <v>367</v>
      </c>
      <c r="B35" s="199" t="s">
        <v>368</v>
      </c>
      <c r="C35" s="199"/>
      <c r="D35" s="199" t="s">
        <v>369</v>
      </c>
      <c r="E35" s="200"/>
      <c r="F35" s="67"/>
      <c r="G35" s="55" t="s">
        <v>59</v>
      </c>
      <c r="H35" s="218" t="n">
        <v>0.075</v>
      </c>
      <c r="I35" s="67" t="n">
        <v>46215.83</v>
      </c>
      <c r="J35" s="67" t="n">
        <v>909.69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71" t="n">
        <f aca="false">H47</f>
        <v>951.183338418112</v>
      </c>
      <c r="B36" s="42" t="n">
        <f aca="false">IF(B26="YES",H42,"")</f>
        <v>108.6</v>
      </c>
      <c r="C36" s="205"/>
      <c r="D36" s="170" t="n">
        <f aca="false">I31</f>
        <v>15350</v>
      </c>
      <c r="E36" s="200"/>
      <c r="F36" s="67"/>
      <c r="G36" s="67"/>
      <c r="H36" s="67"/>
      <c r="I36" s="67" t="n">
        <f aca="false">I35-I34</f>
        <v>2258.54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113"/>
      <c r="B37" s="42"/>
      <c r="C37" s="205"/>
      <c r="D37" s="42"/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198"/>
      <c r="B38" s="199"/>
      <c r="C38" s="199"/>
      <c r="D38" s="199"/>
      <c r="E38" s="200"/>
      <c r="F38" s="67"/>
      <c r="G38" s="227" t="s">
        <v>65</v>
      </c>
      <c r="H38" s="22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198" t="s">
        <v>370</v>
      </c>
      <c r="B39" s="199" t="s">
        <v>371</v>
      </c>
      <c r="C39" s="199"/>
      <c r="D39" s="199" t="s">
        <v>372</v>
      </c>
      <c r="E39" s="200"/>
      <c r="F39" s="67"/>
      <c r="G39" s="67" t="s">
        <v>97</v>
      </c>
      <c r="H39" s="7" t="n">
        <f aca="false">H33</f>
        <v>40040</v>
      </c>
      <c r="I39" s="7" t="n">
        <f aca="false">(I48*H46)+H44</f>
        <v>50705.3968768</v>
      </c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109" t="n">
        <f aca="false">D36*A45/100</f>
        <v>15350</v>
      </c>
      <c r="B40" s="109" t="n">
        <f aca="false">IF(B26="YES",H42,"0")</f>
        <v>108.6</v>
      </c>
      <c r="C40" s="109"/>
      <c r="D40" s="170" t="n">
        <f aca="false">I32</f>
        <v>3801</v>
      </c>
      <c r="E40" s="200"/>
      <c r="F40" s="67"/>
      <c r="G40" s="67" t="s">
        <v>119</v>
      </c>
      <c r="H40" s="7" t="n">
        <f aca="false">A40/1.2</f>
        <v>12791.6666666667</v>
      </c>
      <c r="I40" s="7" t="n">
        <f aca="false">H39-I39</f>
        <v>-10665.3968767999</v>
      </c>
      <c r="J40" s="67" t="n">
        <v>24541.66</v>
      </c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98"/>
      <c r="B41" s="199"/>
      <c r="C41" s="199"/>
      <c r="D41" s="199"/>
      <c r="E41" s="200"/>
      <c r="F41" s="67"/>
      <c r="G41" s="67" t="s">
        <v>373</v>
      </c>
      <c r="H41" s="225" t="n">
        <f aca="false">H35/12</f>
        <v>0.00625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198"/>
      <c r="B42" s="199"/>
      <c r="C42" s="199"/>
      <c r="D42" s="199"/>
      <c r="E42" s="200"/>
      <c r="F42" s="67"/>
      <c r="G42" s="67" t="s">
        <v>374</v>
      </c>
      <c r="H42" s="7" t="n">
        <f aca="false">(I32/H34)*(C45/100)</f>
        <v>108.6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65"/>
      <c r="B43" s="266"/>
      <c r="C43" s="266"/>
      <c r="D43" s="266"/>
      <c r="E43" s="267"/>
      <c r="F43" s="67"/>
      <c r="G43" s="67" t="s">
        <v>375</v>
      </c>
      <c r="H43" s="67"/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370" t="s">
        <v>89</v>
      </c>
      <c r="B44" s="199"/>
      <c r="C44" s="371" t="s">
        <v>90</v>
      </c>
      <c r="D44" s="371"/>
      <c r="E44" s="200"/>
      <c r="F44" s="67"/>
      <c r="G44" s="67" t="s">
        <v>383</v>
      </c>
      <c r="H44" s="7" t="n">
        <f aca="false">(H40/(1+H41)^(H34+1))</f>
        <v>10221.5079847673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372" t="n">
        <v>100</v>
      </c>
      <c r="B45" s="199"/>
      <c r="C45" s="373" t="n">
        <v>100</v>
      </c>
      <c r="D45" s="373"/>
      <c r="E45" s="200"/>
      <c r="F45" s="67"/>
      <c r="G45" s="67" t="s">
        <v>384</v>
      </c>
      <c r="H45" s="7" t="n">
        <f aca="false">(H39-H44)</f>
        <v>29818.4920152327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62"/>
      <c r="B46" s="263"/>
      <c r="C46" s="263"/>
      <c r="D46" s="263"/>
      <c r="E46" s="264"/>
      <c r="F46" s="67"/>
      <c r="G46" s="67" t="s">
        <v>385</v>
      </c>
      <c r="H46" s="7" t="n">
        <f aca="false">((1-(1/((1+H41)^H34)))/H41)</f>
        <v>31.3488376119194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98"/>
      <c r="B47" s="199"/>
      <c r="C47" s="199"/>
      <c r="D47" s="199"/>
      <c r="E47" s="200"/>
      <c r="F47" s="67"/>
      <c r="G47" s="67" t="s">
        <v>379</v>
      </c>
      <c r="H47" s="7" t="n">
        <f aca="false">H45/H46</f>
        <v>951.183338418112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374" t="s">
        <v>380</v>
      </c>
      <c r="H48" s="7" t="n">
        <f aca="false">IF(B26="YES",H47+H42,H47)</f>
        <v>1059.78333841811</v>
      </c>
      <c r="I48" s="7" t="n">
        <f aca="false">I49-H42</f>
        <v>1291.4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 t="s">
        <v>381</v>
      </c>
      <c r="H49" s="261"/>
      <c r="I49" s="7" t="n">
        <v>1400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35000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35</v>
      </c>
      <c r="B52" s="78" t="n">
        <f aca="false">H48</f>
        <v>1059.78333841811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199"/>
      <c r="N55" s="199"/>
      <c r="O55" s="199"/>
      <c r="P55" s="199"/>
      <c r="Q55" s="199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265"/>
      <c r="N56" s="266"/>
      <c r="O56" s="266"/>
      <c r="P56" s="266"/>
      <c r="Q56" s="2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IF(B99=Y97,1,IF(B99=Y98,1,IF(B99=Y99,3,IF(B99=Y100,6,IF(B99=Y101,9,IF(B99=Y102,12,IF(B99=Y103,3,IF(B99=Y104,6,IF(B99=Y105,9,0)))))))))</f>
        <v>6</v>
      </c>
      <c r="C57" s="199"/>
      <c r="D57" s="199"/>
      <c r="E57" s="200"/>
      <c r="F57" s="67"/>
      <c r="G57" s="198" t="s">
        <v>97</v>
      </c>
      <c r="H57" s="199" t="n">
        <f aca="false">IF(H99=Y97,1,IF(H99=Y98,1,IF(H99=Y99,3,IF(H99=Y100,6,IF(H99=Y101,9,IF(H99=Y102,12,IF(H99=Y103,3,IF(H99=Y104,6,IF(H99=Y105,9,0)))))))))</f>
        <v>6</v>
      </c>
      <c r="I57" s="199"/>
      <c r="J57" s="199"/>
      <c r="K57" s="200"/>
      <c r="L57" s="67"/>
      <c r="M57" s="198" t="s">
        <v>97</v>
      </c>
      <c r="N57" s="199" t="n">
        <f aca="false">IF(N99=Y97,1,IF(N99=Y98,1,IF(N99=Y99,3,IF(N99=Y100,6,IF(N99=Y101,9,IF(N99=Y102,12,IF(N99=Y103,3,IF(N99=Y104,6,IF(N99=Y105,9,0)))))))))</f>
        <v>6</v>
      </c>
      <c r="O57" s="199"/>
      <c r="P57" s="199"/>
      <c r="Q57" s="200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IF(B99=Y97,H29-B57,IF(B99=Y98,H29-B57,IF(B99=Y99,H29-1,IF(B99=Y100,H29-1,IF(B99=Y101,H29-1,IF(B99=Y102,H29-1,IF(B99=Y103,H29-B57,IF(B99=Y104,H29-B57,IF(B99=Y105,H29-B57,0)))))))))</f>
        <v>34</v>
      </c>
      <c r="C58" s="199"/>
      <c r="D58" s="199"/>
      <c r="E58" s="200"/>
      <c r="F58" s="67"/>
      <c r="G58" s="198" t="s">
        <v>98</v>
      </c>
      <c r="H58" s="199" t="n">
        <f aca="false">IF(H99=Y97,H29-H57,IF(H99=Y98,H29-H57,IF(H99=Y99,H29-1,IF(H99=Y100,H29-1,IF(H99=Y101,H29-1,IF(H99=Y102,H29-1,IF(H99=Y103,H29-H57,IF(H99=Y104,H29-H57,IF(H99=Y105,H29-H57,0)))))))))</f>
        <v>34</v>
      </c>
      <c r="I58" s="199"/>
      <c r="J58" s="199"/>
      <c r="K58" s="200"/>
      <c r="L58" s="67"/>
      <c r="M58" s="198" t="s">
        <v>98</v>
      </c>
      <c r="N58" s="199" t="n">
        <f aca="false">IF(N99=Y97,H29-N57,IF(N99=Y98,H29-N57,IF(N99=Y99,H29-1,IF(N99=Y100,H29-1,IF(N99=Y101,H29-1,IF(N99=Y102,H29-1,IF(N99=Y103,H29-N57,IF(N99=Y104,H29-N57,IF(N99=Y105,H29-N57,0)))))))))</f>
        <v>34</v>
      </c>
      <c r="O58" s="199"/>
      <c r="P58" s="199"/>
      <c r="Q58" s="200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198"/>
      <c r="N59" s="199"/>
      <c r="O59" s="199"/>
      <c r="P59" s="199"/>
      <c r="Q59" s="200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/>
      <c r="B60" s="199"/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198"/>
      <c r="N60" s="199"/>
      <c r="O60" s="199"/>
      <c r="P60" s="199"/>
      <c r="Q60" s="200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f aca="false">G18</f>
        <v>47970</v>
      </c>
      <c r="C61" s="199"/>
      <c r="D61" s="199"/>
      <c r="E61" s="200"/>
      <c r="F61" s="67"/>
      <c r="G61" s="198" t="s">
        <v>27</v>
      </c>
      <c r="H61" s="36" t="n">
        <f aca="false">G18</f>
        <v>47970</v>
      </c>
      <c r="I61" s="199"/>
      <c r="J61" s="199"/>
      <c r="K61" s="200"/>
      <c r="L61" s="67"/>
      <c r="M61" s="198" t="s">
        <v>27</v>
      </c>
      <c r="N61" s="36" t="n">
        <f aca="false">G18</f>
        <v>47970</v>
      </c>
      <c r="O61" s="199"/>
      <c r="P61" s="199"/>
      <c r="Q61" s="200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268" t="s">
        <v>287</v>
      </c>
      <c r="N62" s="269" t="n">
        <v>0.07</v>
      </c>
      <c r="O62" s="199"/>
      <c r="P62" s="199"/>
      <c r="Q62" s="200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0.1035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0.103541666666667</v>
      </c>
      <c r="I63" s="199"/>
      <c r="J63" s="199"/>
      <c r="K63" s="200"/>
      <c r="L63" s="67"/>
      <c r="M63" s="198" t="s">
        <v>288</v>
      </c>
      <c r="N63" s="270" t="n">
        <f aca="false">N62+(N62*0.25*(H29/12-1))</f>
        <v>0.103541666666667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B61*B63</f>
        <v>4964.895</v>
      </c>
      <c r="C64" s="199" t="n">
        <v>10000</v>
      </c>
      <c r="D64" s="36" t="n">
        <f aca="false">B64-A143</f>
        <v>4964.895</v>
      </c>
      <c r="E64" s="200"/>
      <c r="F64" s="67"/>
      <c r="G64" s="262" t="s">
        <v>103</v>
      </c>
      <c r="H64" s="69" t="n">
        <f aca="false">H61*H63</f>
        <v>4966.89375</v>
      </c>
      <c r="I64" s="199"/>
      <c r="J64" s="36" t="n">
        <f aca="false">H64-G145</f>
        <v>4966.89375</v>
      </c>
      <c r="K64" s="200"/>
      <c r="L64" s="67"/>
      <c r="M64" s="262" t="s">
        <v>103</v>
      </c>
      <c r="N64" s="69" t="n">
        <f aca="false">N61*N63</f>
        <v>4966.89375</v>
      </c>
      <c r="O64" s="199"/>
      <c r="P64" s="36" t="n">
        <f aca="false">N64-M145</f>
        <v>4966.89375</v>
      </c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199"/>
      <c r="E65" s="200"/>
      <c r="F65" s="67"/>
      <c r="G65" s="268" t="s">
        <v>104</v>
      </c>
      <c r="H65" s="269" t="n">
        <v>0.01</v>
      </c>
      <c r="I65" s="199"/>
      <c r="J65" s="199"/>
      <c r="K65" s="200"/>
      <c r="L65" s="67"/>
      <c r="M65" s="268" t="s">
        <v>104</v>
      </c>
      <c r="N65" s="269" t="n">
        <v>0.01</v>
      </c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199"/>
      <c r="D66" s="199"/>
      <c r="E66" s="200"/>
      <c r="F66" s="67"/>
      <c r="G66" s="198" t="s">
        <v>105</v>
      </c>
      <c r="H66" s="270" t="n">
        <f aca="false">H65+(H65*0.5*(H29/12-1))</f>
        <v>0.0195833333333333</v>
      </c>
      <c r="I66" s="199"/>
      <c r="J66" s="199"/>
      <c r="K66" s="200"/>
      <c r="L66" s="67"/>
      <c r="M66" s="198" t="s">
        <v>105</v>
      </c>
      <c r="N66" s="270" t="n">
        <f aca="false">N65+(N65*0.5*(H29/12-1))</f>
        <v>0.0195833333333333</v>
      </c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199"/>
      <c r="D67" s="36"/>
      <c r="E67" s="200"/>
      <c r="F67" s="67"/>
      <c r="G67" s="262" t="s">
        <v>106</v>
      </c>
      <c r="H67" s="69" t="n">
        <f aca="false">(H61*H66)/1.2</f>
        <v>782.84375</v>
      </c>
      <c r="I67" s="199"/>
      <c r="J67" s="36"/>
      <c r="K67" s="200"/>
      <c r="L67" s="67"/>
      <c r="M67" s="262" t="s">
        <v>106</v>
      </c>
      <c r="N67" s="69" t="n">
        <f aca="false">(N61*N66)/1.2</f>
        <v>782.84375</v>
      </c>
      <c r="O67" s="199"/>
      <c r="P67" s="36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199"/>
      <c r="D68" s="199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268" t="s">
        <v>107</v>
      </c>
      <c r="N68" s="269" t="n">
        <v>0.0075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0.12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272" t="s">
        <v>108</v>
      </c>
      <c r="N69" s="273" t="n">
        <v>0.12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381" t="n">
        <f aca="false">B68*(1+B69)</f>
        <v>0.0084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262" t="s">
        <v>109</v>
      </c>
      <c r="N70" s="381" t="n">
        <f aca="false">N68*(1+N69)</f>
        <v>0.0084</v>
      </c>
      <c r="O70" s="199"/>
      <c r="P70" s="199"/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268" t="s">
        <v>110</v>
      </c>
      <c r="N71" s="90" t="n">
        <v>160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272" t="s">
        <v>111</v>
      </c>
      <c r="N72" s="81" t="n">
        <v>4.5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157.5</v>
      </c>
      <c r="C73" s="199"/>
      <c r="D73" s="36" t="n">
        <f aca="false">B73+B71</f>
        <v>317.5</v>
      </c>
      <c r="E73" s="200"/>
      <c r="F73" s="67"/>
      <c r="G73" s="262" t="s">
        <v>112</v>
      </c>
      <c r="H73" s="69" t="n">
        <f aca="false">H72*H29</f>
        <v>157.5</v>
      </c>
      <c r="I73" s="199"/>
      <c r="J73" s="36" t="n">
        <f aca="false">H73+H71</f>
        <v>317.5</v>
      </c>
      <c r="K73" s="200"/>
      <c r="L73" s="67"/>
      <c r="M73" s="262" t="s">
        <v>112</v>
      </c>
      <c r="N73" s="69" t="n">
        <f aca="false">N72*H29</f>
        <v>157.5</v>
      </c>
      <c r="O73" s="199"/>
      <c r="P73" s="36" t="n">
        <f aca="false">N73+N71</f>
        <v>317.5</v>
      </c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339" t="s">
        <v>289</v>
      </c>
      <c r="B74" s="340" t="n">
        <v>0</v>
      </c>
      <c r="C74" s="199"/>
      <c r="D74" s="199"/>
      <c r="E74" s="200"/>
      <c r="F74" s="67"/>
      <c r="G74" s="268" t="s">
        <v>289</v>
      </c>
      <c r="H74" s="90" t="n">
        <v>165</v>
      </c>
      <c r="I74" s="199"/>
      <c r="J74" s="199"/>
      <c r="K74" s="200"/>
      <c r="L74" s="67"/>
      <c r="M74" s="339" t="s">
        <v>289</v>
      </c>
      <c r="N74" s="340" t="n">
        <v>0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341" t="s">
        <v>290</v>
      </c>
      <c r="B75" s="342" t="n">
        <v>0</v>
      </c>
      <c r="C75" s="199"/>
      <c r="D75" s="199"/>
      <c r="E75" s="200"/>
      <c r="F75" s="67"/>
      <c r="G75" s="272" t="s">
        <v>290</v>
      </c>
      <c r="H75" s="81" t="n">
        <v>0</v>
      </c>
      <c r="I75" s="199"/>
      <c r="J75" s="199"/>
      <c r="K75" s="200"/>
      <c r="L75" s="67"/>
      <c r="M75" s="341" t="s">
        <v>290</v>
      </c>
      <c r="N75" s="342" t="n">
        <v>0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343" t="s">
        <v>291</v>
      </c>
      <c r="B76" s="344" t="n">
        <f aca="false">((B74+B75)/12)*(H29-11)</f>
        <v>0</v>
      </c>
      <c r="C76" s="199"/>
      <c r="D76" s="36" t="n">
        <f aca="false">B76</f>
        <v>0</v>
      </c>
      <c r="E76" s="200"/>
      <c r="F76" s="67"/>
      <c r="G76" s="262" t="s">
        <v>291</v>
      </c>
      <c r="H76" s="69" t="n">
        <f aca="false">((H74+H75)/12)*(H29-11)</f>
        <v>330</v>
      </c>
      <c r="I76" s="199"/>
      <c r="J76" s="36" t="n">
        <f aca="false">H76</f>
        <v>330</v>
      </c>
      <c r="K76" s="200"/>
      <c r="L76" s="67"/>
      <c r="M76" s="343" t="s">
        <v>291</v>
      </c>
      <c r="N76" s="344" t="n">
        <f aca="false">((N74+N75)/12)*(H29-11)</f>
        <v>0</v>
      </c>
      <c r="O76" s="199"/>
      <c r="P76" s="36" t="n">
        <f aca="false">N76</f>
        <v>0</v>
      </c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292</v>
      </c>
      <c r="B77" s="31" t="n">
        <f aca="false">B102/(1-J15)</f>
        <v>0</v>
      </c>
      <c r="C77" s="199"/>
      <c r="D77" s="36" t="n">
        <f aca="false">B77</f>
        <v>0</v>
      </c>
      <c r="E77" s="200"/>
      <c r="F77" s="67"/>
      <c r="G77" s="268" t="s">
        <v>292</v>
      </c>
      <c r="H77" s="90" t="n">
        <v>0</v>
      </c>
      <c r="I77" s="199"/>
      <c r="J77" s="36" t="n">
        <f aca="false">H77</f>
        <v>0</v>
      </c>
      <c r="K77" s="200"/>
      <c r="L77" s="67"/>
      <c r="M77" s="268" t="s">
        <v>292</v>
      </c>
      <c r="N77" s="90" t="n">
        <v>0</v>
      </c>
      <c r="O77" s="199"/>
      <c r="P77" s="36" t="n">
        <f aca="false">N77</f>
        <v>0</v>
      </c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0</v>
      </c>
      <c r="C78" s="199"/>
      <c r="D78" s="36" t="n">
        <f aca="false">B78</f>
        <v>0</v>
      </c>
      <c r="E78" s="200"/>
      <c r="F78" s="67"/>
      <c r="G78" s="198" t="s">
        <v>293</v>
      </c>
      <c r="H78" s="37" t="n">
        <v>0</v>
      </c>
      <c r="I78" s="199"/>
      <c r="J78" s="36" t="n">
        <f aca="false">H78</f>
        <v>0</v>
      </c>
      <c r="K78" s="200"/>
      <c r="L78" s="67"/>
      <c r="M78" s="198" t="s">
        <v>293</v>
      </c>
      <c r="N78" s="37" t="n">
        <v>0</v>
      </c>
      <c r="O78" s="199"/>
      <c r="P78" s="36" t="n">
        <f aca="false">N78</f>
        <v>0</v>
      </c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199"/>
      <c r="D79" s="36" t="n">
        <f aca="false">B79</f>
        <v>300</v>
      </c>
      <c r="E79" s="200"/>
      <c r="F79" s="67"/>
      <c r="G79" s="272" t="s">
        <v>113</v>
      </c>
      <c r="H79" s="81" t="n">
        <v>200</v>
      </c>
      <c r="I79" s="199"/>
      <c r="J79" s="36" t="n">
        <f aca="false">H79</f>
        <v>200</v>
      </c>
      <c r="K79" s="200"/>
      <c r="L79" s="67"/>
      <c r="M79" s="272" t="s">
        <v>113</v>
      </c>
      <c r="N79" s="81" t="n">
        <v>200</v>
      </c>
      <c r="O79" s="199"/>
      <c r="P79" s="36" t="n">
        <f aca="false">N79</f>
        <v>200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199"/>
      <c r="D80" s="36" t="n">
        <f aca="false">B80</f>
        <v>100</v>
      </c>
      <c r="E80" s="200"/>
      <c r="F80" s="67"/>
      <c r="G80" s="275" t="s">
        <v>114</v>
      </c>
      <c r="H80" s="91" t="n">
        <v>200</v>
      </c>
      <c r="I80" s="199"/>
      <c r="J80" s="36" t="n">
        <f aca="false">H80</f>
        <v>200</v>
      </c>
      <c r="K80" s="200"/>
      <c r="L80" s="67"/>
      <c r="M80" s="275" t="s">
        <v>114</v>
      </c>
      <c r="N80" s="91" t="n">
        <v>200</v>
      </c>
      <c r="O80" s="199"/>
      <c r="P80" s="36" t="n">
        <f aca="false">N80</f>
        <v>200</v>
      </c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5682.395</v>
      </c>
      <c r="C81" s="199"/>
      <c r="D81" s="199"/>
      <c r="E81" s="200"/>
      <c r="F81" s="67"/>
      <c r="G81" s="276" t="s">
        <v>115</v>
      </c>
      <c r="H81" s="277" t="n">
        <f aca="false">SUM(J64:J80)</f>
        <v>6014.39375</v>
      </c>
      <c r="I81" s="199"/>
      <c r="J81" s="199"/>
      <c r="K81" s="200"/>
      <c r="L81" s="67"/>
      <c r="M81" s="276" t="s">
        <v>115</v>
      </c>
      <c r="N81" s="277" t="n">
        <f aca="false">SUM(P64:P80)</f>
        <v>5684.39375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162.354142857143</v>
      </c>
      <c r="C82" s="199"/>
      <c r="D82" s="199"/>
      <c r="E82" s="200"/>
      <c r="F82" s="67"/>
      <c r="G82" s="198" t="s">
        <v>116</v>
      </c>
      <c r="H82" s="37" t="n">
        <f aca="false">H81/H29</f>
        <v>171.839821428571</v>
      </c>
      <c r="I82" s="199"/>
      <c r="J82" s="199"/>
      <c r="K82" s="200"/>
      <c r="L82" s="67"/>
      <c r="M82" s="198" t="s">
        <v>116</v>
      </c>
      <c r="N82" s="37" t="n">
        <f aca="false">N81/H29</f>
        <v>162.41125</v>
      </c>
      <c r="O82" s="199"/>
      <c r="P82" s="199"/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H47</f>
        <v>951.183338418112</v>
      </c>
      <c r="C83" s="199"/>
      <c r="D83" s="199"/>
      <c r="E83" s="200"/>
      <c r="F83" s="67"/>
      <c r="G83" s="278" t="s">
        <v>117</v>
      </c>
      <c r="H83" s="63" t="n">
        <f aca="false">H47</f>
        <v>951.183338418112</v>
      </c>
      <c r="I83" s="199"/>
      <c r="J83" s="199"/>
      <c r="K83" s="200"/>
      <c r="L83" s="67"/>
      <c r="M83" s="278" t="s">
        <v>117</v>
      </c>
      <c r="N83" s="63" t="n">
        <f aca="false">H47</f>
        <v>951.183338418112</v>
      </c>
      <c r="O83" s="199"/>
      <c r="P83" s="199"/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199"/>
      <c r="D84" s="199"/>
      <c r="E84" s="200"/>
      <c r="F84" s="67"/>
      <c r="G84" s="198"/>
      <c r="H84" s="36"/>
      <c r="I84" s="199"/>
      <c r="J84" s="199"/>
      <c r="K84" s="200"/>
      <c r="L84" s="67"/>
      <c r="M84" s="198"/>
      <c r="N84" s="36"/>
      <c r="O84" s="199"/>
      <c r="P84" s="199"/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((B83*H29)+B81)</f>
        <v>38973.8118446339</v>
      </c>
      <c r="C85" s="199"/>
      <c r="D85" s="199"/>
      <c r="E85" s="200"/>
      <c r="F85" s="67"/>
      <c r="G85" s="265" t="s">
        <v>127</v>
      </c>
      <c r="H85" s="31" t="n">
        <f aca="false">((H83*H29)+H81)*1.2</f>
        <v>47166.9727135607</v>
      </c>
      <c r="I85" s="199"/>
      <c r="J85" s="199"/>
      <c r="K85" s="200"/>
      <c r="L85" s="67"/>
      <c r="M85" s="265" t="s">
        <v>127</v>
      </c>
      <c r="N85" s="31" t="n">
        <f aca="false">((N83*H29)+N81)</f>
        <v>38975.8105946339</v>
      </c>
      <c r="O85" s="199"/>
      <c r="P85" s="199"/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(B85/(1-B70))*B70</f>
        <v>330.153307276044</v>
      </c>
      <c r="C86" s="199"/>
      <c r="D86" s="199"/>
      <c r="E86" s="200"/>
      <c r="F86" s="67"/>
      <c r="G86" s="198" t="s">
        <v>128</v>
      </c>
      <c r="H86" s="37" t="n">
        <f aca="false">((((H83*H29)+H81))/(1-H70))*H70</f>
        <v>332.96572105176</v>
      </c>
      <c r="I86" s="199"/>
      <c r="J86" s="199"/>
      <c r="K86" s="200"/>
      <c r="L86" s="67"/>
      <c r="M86" s="198" t="s">
        <v>128</v>
      </c>
      <c r="N86" s="37" t="n">
        <f aca="false">(N85/(1-N70))*N70</f>
        <v>330.170239002546</v>
      </c>
      <c r="O86" s="199"/>
      <c r="P86" s="199"/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IF(B110="YES",((B85+B86)-E114),(B85+B86))</f>
        <v>39303.9651519099</v>
      </c>
      <c r="C87" s="199"/>
      <c r="D87" s="199"/>
      <c r="E87" s="200"/>
      <c r="F87" s="67"/>
      <c r="G87" s="262" t="s">
        <v>129</v>
      </c>
      <c r="H87" s="69" t="n">
        <f aca="false">IF(H110="YES",((H85+H86)-K114),(H85+H86))</f>
        <v>47499.9384346125</v>
      </c>
      <c r="I87" s="199"/>
      <c r="J87" s="199"/>
      <c r="K87" s="200"/>
      <c r="L87" s="67"/>
      <c r="M87" s="262" t="s">
        <v>129</v>
      </c>
      <c r="N87" s="69" t="n">
        <f aca="false">IF(N110="YES",((N85+N86)-Q114),(N85+N86))</f>
        <v>39305.9808336365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199"/>
      <c r="D88" s="199"/>
      <c r="E88" s="200"/>
      <c r="F88" s="67"/>
      <c r="G88" s="198"/>
      <c r="H88" s="36"/>
      <c r="I88" s="199"/>
      <c r="J88" s="199"/>
      <c r="K88" s="200"/>
      <c r="L88" s="67"/>
      <c r="M88" s="198"/>
      <c r="N88" s="36"/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7" t="n">
        <f aca="false">IF(B99=Y98,(D40+(D40*B105))/(B58),(D40+(D40*B105))/(B57+B58))*(C45/100)</f>
        <v>114.03</v>
      </c>
      <c r="C89" s="199"/>
      <c r="D89" s="199"/>
      <c r="E89" s="200"/>
      <c r="F89" s="67"/>
      <c r="G89" s="276" t="s">
        <v>130</v>
      </c>
      <c r="H89" s="277" t="n">
        <f aca="false">IF(H99=Y98,(D40+(D40*H105))/(H58),(D40+(D40*H105))/(H57+H58))*1.2</f>
        <v>136.836</v>
      </c>
      <c r="I89" s="199"/>
      <c r="J89" s="199"/>
      <c r="K89" s="200"/>
      <c r="L89" s="67"/>
      <c r="M89" s="276" t="s">
        <v>130</v>
      </c>
      <c r="N89" s="277" t="n">
        <f aca="false">IF(N99=Y98,(D40+(D40*N105))/(N58),(D40+(D40*N105))/(N57+N58))</f>
        <v>114.03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IF(B99=Y98,(B87-D105)/(B58),B87/(B57+B58))</f>
        <v>982.599128797749</v>
      </c>
      <c r="C90" s="199"/>
      <c r="D90" s="199"/>
      <c r="E90" s="200"/>
      <c r="F90" s="67"/>
      <c r="G90" s="280" t="s">
        <v>131</v>
      </c>
      <c r="H90" s="281" t="n">
        <f aca="false">IF(H99=Y98,(H87-J105)/(H58),H87/(H57+H58))</f>
        <v>1187.49846086531</v>
      </c>
      <c r="I90" s="199"/>
      <c r="J90" s="199"/>
      <c r="K90" s="200"/>
      <c r="L90" s="67"/>
      <c r="M90" s="280" t="s">
        <v>131</v>
      </c>
      <c r="N90" s="281" t="n">
        <f aca="false">IF(N99=Y98,(N87-P105)/(N58),N87/(N57+N58))</f>
        <v>982.649520840911</v>
      </c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1096.62912879775</v>
      </c>
      <c r="C91" s="199"/>
      <c r="D91" s="199"/>
      <c r="E91" s="200"/>
      <c r="F91" s="67"/>
      <c r="G91" s="282" t="s">
        <v>132</v>
      </c>
      <c r="H91" s="283" t="n">
        <f aca="false">IF(G105="YES",H90+H89,H90)</f>
        <v>1324.33446086531</v>
      </c>
      <c r="I91" s="199"/>
      <c r="J91" s="199"/>
      <c r="K91" s="200"/>
      <c r="L91" s="67"/>
      <c r="M91" s="282" t="s">
        <v>132</v>
      </c>
      <c r="N91" s="283" t="n">
        <f aca="false">IF(M105="YES",N90+N89,N90)</f>
        <v>1096.67952084091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263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262"/>
      <c r="N92" s="263"/>
      <c r="O92" s="263"/>
      <c r="P92" s="263"/>
      <c r="Q92" s="264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199"/>
      <c r="N93" s="199"/>
      <c r="O93" s="199"/>
      <c r="P93" s="199"/>
      <c r="Q93" s="199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56.25" hidden="false" customHeight="true" outlineLevel="0" collapsed="false">
      <c r="A94" s="197" t="s">
        <v>352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197" t="s">
        <v>352</v>
      </c>
      <c r="N94" s="197"/>
      <c r="O94" s="197"/>
      <c r="P94" s="197"/>
      <c r="Q94" s="19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/>
      <c r="F95" s="67"/>
      <c r="G95" s="198"/>
      <c r="H95" s="199"/>
      <c r="I95" s="199"/>
      <c r="J95" s="199"/>
      <c r="K95" s="200"/>
      <c r="L95" s="67"/>
      <c r="M95" s="198"/>
      <c r="N95" s="199"/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201" t="s">
        <v>137</v>
      </c>
      <c r="N96" s="201"/>
      <c r="O96" s="201"/>
      <c r="P96" s="201"/>
      <c r="Q96" s="201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199"/>
      <c r="C97" s="199"/>
      <c r="D97" s="199"/>
      <c r="E97" s="200"/>
      <c r="F97" s="67"/>
      <c r="G97" s="198"/>
      <c r="H97" s="199"/>
      <c r="I97" s="199"/>
      <c r="J97" s="199"/>
      <c r="K97" s="200"/>
      <c r="L97" s="67"/>
      <c r="M97" s="198"/>
      <c r="N97" s="199"/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 t="s">
        <v>141</v>
      </c>
      <c r="Z97" s="67"/>
      <c r="AC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198" t="s">
        <v>138</v>
      </c>
      <c r="N98" s="199" t="s">
        <v>36</v>
      </c>
      <c r="O98" s="199"/>
      <c r="P98" s="199" t="s">
        <v>295</v>
      </c>
      <c r="Q98" s="200"/>
      <c r="R98" s="67"/>
      <c r="S98" s="67"/>
      <c r="T98" s="67"/>
      <c r="U98" s="67"/>
      <c r="V98" s="67"/>
      <c r="W98" s="67"/>
      <c r="X98" s="67"/>
      <c r="Y98" s="67" t="s">
        <v>273</v>
      </c>
      <c r="Z98" s="67"/>
    </row>
    <row r="99" customFormat="false" ht="18.75" hidden="false" customHeight="true" outlineLevel="0" collapsed="false">
      <c r="A99" s="204" t="s">
        <v>296</v>
      </c>
      <c r="B99" s="284" t="s">
        <v>275</v>
      </c>
      <c r="C99" s="284"/>
      <c r="D99" s="109" t="n">
        <v>0</v>
      </c>
      <c r="E99" s="109"/>
      <c r="F99" s="67"/>
      <c r="G99" s="204" t="s">
        <v>296</v>
      </c>
      <c r="H99" s="284" t="s">
        <v>275</v>
      </c>
      <c r="I99" s="284"/>
      <c r="J99" s="109" t="n">
        <v>0</v>
      </c>
      <c r="K99" s="109"/>
      <c r="L99" s="67"/>
      <c r="M99" s="204" t="s">
        <v>296</v>
      </c>
      <c r="N99" s="284" t="s">
        <v>275</v>
      </c>
      <c r="O99" s="284"/>
      <c r="P99" s="109" t="n">
        <v>0</v>
      </c>
      <c r="Q99" s="109"/>
      <c r="R99" s="67"/>
      <c r="S99" s="67"/>
      <c r="T99" s="67"/>
      <c r="U99" s="67"/>
      <c r="V99" s="67"/>
      <c r="W99" s="67"/>
      <c r="X99" s="67"/>
      <c r="Y99" s="67" t="s">
        <v>274</v>
      </c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198"/>
      <c r="N100" s="199"/>
      <c r="O100" s="199"/>
      <c r="P100" s="199"/>
      <c r="Q100" s="200"/>
      <c r="R100" s="67"/>
      <c r="S100" s="67"/>
      <c r="T100" s="67"/>
      <c r="U100" s="67"/>
      <c r="V100" s="67"/>
      <c r="W100" s="67"/>
      <c r="X100" s="67"/>
      <c r="Y100" s="67" t="s">
        <v>275</v>
      </c>
      <c r="Z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299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198" t="s">
        <v>297</v>
      </c>
      <c r="N101" s="199" t="s">
        <v>298</v>
      </c>
      <c r="O101" s="199"/>
      <c r="P101" s="199" t="s">
        <v>299</v>
      </c>
      <c r="Q101" s="200"/>
      <c r="R101" s="67"/>
      <c r="S101" s="67"/>
      <c r="T101" s="67"/>
      <c r="U101" s="67"/>
      <c r="V101" s="67"/>
      <c r="W101" s="67"/>
      <c r="X101" s="67"/>
      <c r="Y101" s="67" t="s">
        <v>276</v>
      </c>
      <c r="Z101" s="67"/>
    </row>
    <row r="102" customFormat="false" ht="18.75" hidden="false" customHeight="true" outlineLevel="0" collapsed="false">
      <c r="A102" s="285" t="n">
        <v>199.991666666667</v>
      </c>
      <c r="B102" s="109" t="n">
        <v>0</v>
      </c>
      <c r="C102" s="109"/>
      <c r="D102" s="109" t="n">
        <v>0</v>
      </c>
      <c r="E102" s="109"/>
      <c r="F102" s="67"/>
      <c r="G102" s="285" t="n">
        <v>199.99</v>
      </c>
      <c r="H102" s="109" t="n">
        <v>0</v>
      </c>
      <c r="I102" s="109"/>
      <c r="J102" s="109" t="n">
        <v>0</v>
      </c>
      <c r="K102" s="109"/>
      <c r="L102" s="67"/>
      <c r="M102" s="285" t="n">
        <v>199.99</v>
      </c>
      <c r="N102" s="109" t="n">
        <v>0</v>
      </c>
      <c r="O102" s="109"/>
      <c r="P102" s="109" t="n">
        <v>0</v>
      </c>
      <c r="Q102" s="109"/>
      <c r="R102" s="67"/>
      <c r="S102" s="67"/>
      <c r="T102" s="67"/>
      <c r="U102" s="67"/>
      <c r="V102" s="67"/>
      <c r="W102" s="67"/>
      <c r="X102" s="67"/>
      <c r="Y102" s="67" t="s">
        <v>277</v>
      </c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 t="s">
        <v>278</v>
      </c>
      <c r="Z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204" t="s">
        <v>139</v>
      </c>
      <c r="N104" s="67" t="s">
        <v>142</v>
      </c>
      <c r="O104" s="199"/>
      <c r="P104" s="199" t="s">
        <v>153</v>
      </c>
      <c r="Q104" s="200"/>
      <c r="R104" s="67"/>
      <c r="S104" s="67"/>
      <c r="T104" s="67"/>
      <c r="U104" s="67"/>
      <c r="V104" s="67"/>
      <c r="W104" s="67"/>
      <c r="X104" s="67"/>
      <c r="Y104" s="67" t="s">
        <v>279</v>
      </c>
      <c r="Z104" s="67"/>
    </row>
    <row r="105" customFormat="false" ht="18.75" hidden="false" customHeight="true" outlineLevel="0" collapsed="false">
      <c r="A105" s="206" t="s">
        <v>31</v>
      </c>
      <c r="B105" s="286" t="n">
        <v>0.2</v>
      </c>
      <c r="C105" s="286"/>
      <c r="D105" s="109" t="n">
        <v>0</v>
      </c>
      <c r="E105" s="109"/>
      <c r="F105" s="67"/>
      <c r="G105" s="206" t="s">
        <v>31</v>
      </c>
      <c r="H105" s="286" t="n">
        <v>0.2</v>
      </c>
      <c r="I105" s="286"/>
      <c r="J105" s="109"/>
      <c r="K105" s="109"/>
      <c r="L105" s="67"/>
      <c r="M105" s="206" t="s">
        <v>31</v>
      </c>
      <c r="N105" s="286" t="n">
        <v>0.2</v>
      </c>
      <c r="O105" s="286"/>
      <c r="P105" s="109" t="n">
        <v>0</v>
      </c>
      <c r="Q105" s="109"/>
      <c r="R105" s="67"/>
      <c r="S105" s="67"/>
      <c r="T105" s="67"/>
      <c r="U105" s="67"/>
      <c r="V105" s="67"/>
      <c r="W105" s="67"/>
      <c r="X105" s="67"/>
      <c r="Y105" s="67" t="s">
        <v>280</v>
      </c>
      <c r="Z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8.75" hidden="false" customHeight="true" outlineLevel="0" collapsed="false">
      <c r="A107" s="198"/>
      <c r="B107" s="199" t="s">
        <v>353</v>
      </c>
      <c r="C107" s="206" t="s">
        <v>31</v>
      </c>
      <c r="D107" s="199"/>
      <c r="E107" s="200"/>
      <c r="F107" s="67"/>
      <c r="G107" s="198"/>
      <c r="H107" s="199"/>
      <c r="I107" s="199"/>
      <c r="J107" s="199"/>
      <c r="K107" s="200"/>
      <c r="L107" s="67"/>
      <c r="M107" s="198"/>
      <c r="N107" s="199" t="s">
        <v>353</v>
      </c>
      <c r="O107" s="206" t="s">
        <v>31</v>
      </c>
      <c r="P107" s="199"/>
      <c r="Q107" s="200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18.75" hidden="false" customHeight="true" outlineLevel="0" collapsed="false">
      <c r="A108" s="201" t="s">
        <v>300</v>
      </c>
      <c r="B108" s="201"/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201" t="s">
        <v>300</v>
      </c>
      <c r="N108" s="201"/>
      <c r="O108" s="201"/>
      <c r="P108" s="201"/>
      <c r="Q108" s="201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198" t="s">
        <v>301</v>
      </c>
      <c r="N110" s="206" t="s">
        <v>32</v>
      </c>
      <c r="O110" s="199"/>
      <c r="P110" s="199"/>
      <c r="Q110" s="200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8.75" hidden="false" customHeight="true" outlineLevel="0" collapsed="false">
      <c r="A111" s="198" t="s">
        <v>31</v>
      </c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198"/>
      <c r="N111" s="199"/>
      <c r="O111" s="199"/>
      <c r="P111" s="199"/>
      <c r="Q111" s="200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0</v>
      </c>
      <c r="K112" s="109" t="n">
        <v>0</v>
      </c>
      <c r="L112" s="67"/>
      <c r="M112" s="198" t="s">
        <v>186</v>
      </c>
      <c r="N112" s="199"/>
      <c r="O112" s="199"/>
      <c r="P112" s="285" t="n">
        <v>500</v>
      </c>
      <c r="Q112" s="109" t="n">
        <v>300</v>
      </c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0</v>
      </c>
      <c r="K113" s="109" t="n">
        <v>0</v>
      </c>
      <c r="L113" s="67"/>
      <c r="M113" s="198" t="s">
        <v>187</v>
      </c>
      <c r="N113" s="199"/>
      <c r="O113" s="199"/>
      <c r="P113" s="43" t="n">
        <f aca="false">Q113</f>
        <v>100</v>
      </c>
      <c r="Q113" s="109" t="n">
        <v>100</v>
      </c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0</v>
      </c>
      <c r="K114" s="157" t="n">
        <f aca="false">K112-K113</f>
        <v>0</v>
      </c>
      <c r="L114" s="67"/>
      <c r="M114" s="198" t="s">
        <v>188</v>
      </c>
      <c r="N114" s="199"/>
      <c r="O114" s="199"/>
      <c r="P114" s="43" t="n">
        <f aca="false">P112-P113</f>
        <v>400</v>
      </c>
      <c r="Q114" s="157" t="n">
        <f aca="false">Q112-Q113</f>
        <v>200</v>
      </c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0</v>
      </c>
      <c r="K115" s="200"/>
      <c r="L115" s="67"/>
      <c r="M115" s="198" t="s">
        <v>189</v>
      </c>
      <c r="N115" s="199"/>
      <c r="O115" s="199"/>
      <c r="P115" s="43" t="n">
        <f aca="false">P114-Q114</f>
        <v>200</v>
      </c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198"/>
      <c r="N116" s="199"/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265" t="s">
        <v>149</v>
      </c>
      <c r="N117" s="266"/>
      <c r="O117" s="266"/>
      <c r="P117" s="266"/>
      <c r="Q117" s="31" t="n">
        <f aca="false">P99</f>
        <v>0</v>
      </c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199.991666666667</v>
      </c>
      <c r="F118" s="67"/>
      <c r="G118" s="198" t="s">
        <v>66</v>
      </c>
      <c r="H118" s="199"/>
      <c r="I118" s="199"/>
      <c r="J118" s="199"/>
      <c r="K118" s="37" t="n">
        <f aca="false">G102</f>
        <v>199.99</v>
      </c>
      <c r="L118" s="67"/>
      <c r="M118" s="198" t="s">
        <v>66</v>
      </c>
      <c r="N118" s="199"/>
      <c r="O118" s="199"/>
      <c r="P118" s="199"/>
      <c r="Q118" s="37" t="n">
        <f aca="false">M102</f>
        <v>199.99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(E118*1.2)+E117-E114</f>
        <v>239.99</v>
      </c>
      <c r="F119" s="67"/>
      <c r="G119" s="287" t="s">
        <v>302</v>
      </c>
      <c r="H119" s="263"/>
      <c r="I119" s="263"/>
      <c r="J119" s="263"/>
      <c r="K119" s="69" t="n">
        <f aca="false">((K118/1.2)+K117)-(J115-K113)</f>
        <v>166.658333333333</v>
      </c>
      <c r="L119" s="67"/>
      <c r="M119" s="287" t="s">
        <v>302</v>
      </c>
      <c r="N119" s="263"/>
      <c r="O119" s="263"/>
      <c r="P119" s="263"/>
      <c r="Q119" s="69" t="n">
        <f aca="false">(Q118+Q117)-P115</f>
        <v>-0.00999999999999091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198"/>
      <c r="N120" s="199"/>
      <c r="O120" s="199"/>
      <c r="P120" s="199"/>
      <c r="Q120" s="200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198"/>
      <c r="N121" s="199"/>
      <c r="O121" s="199"/>
      <c r="P121" s="199"/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201" t="s">
        <v>303</v>
      </c>
      <c r="N122" s="201"/>
      <c r="O122" s="201"/>
      <c r="P122" s="201"/>
      <c r="Q122" s="201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198"/>
      <c r="N123" s="199"/>
      <c r="O123" s="199"/>
      <c r="P123" s="199"/>
      <c r="Q123" s="200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198" t="s">
        <v>194</v>
      </c>
      <c r="N124" s="162" t="n">
        <v>0</v>
      </c>
      <c r="O124" s="162"/>
      <c r="P124" s="199"/>
      <c r="Q124" s="200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35</v>
      </c>
      <c r="C125" s="294"/>
      <c r="D125" s="293" t="n">
        <f aca="false">B160</f>
        <v>35000</v>
      </c>
      <c r="E125" s="291"/>
      <c r="F125" s="67"/>
      <c r="G125" s="198"/>
      <c r="H125" s="199"/>
      <c r="I125" s="199"/>
      <c r="J125" s="199"/>
      <c r="K125" s="200"/>
      <c r="L125" s="67"/>
      <c r="M125" s="198"/>
      <c r="N125" s="199"/>
      <c r="O125" s="199"/>
      <c r="P125" s="199"/>
      <c r="Q125" s="200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296" t="s">
        <v>306</v>
      </c>
      <c r="H126" s="297" t="s">
        <v>307</v>
      </c>
      <c r="I126" s="297"/>
      <c r="J126" s="297" t="s">
        <v>308</v>
      </c>
      <c r="K126" s="200"/>
      <c r="L126" s="67"/>
      <c r="M126" s="296" t="s">
        <v>354</v>
      </c>
      <c r="N126" s="297" t="s">
        <v>262</v>
      </c>
      <c r="O126" s="297"/>
      <c r="P126" s="297" t="s">
        <v>132</v>
      </c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300" t="n">
        <f aca="false">H90</f>
        <v>1187.49846086531</v>
      </c>
      <c r="H127" s="166" t="n">
        <f aca="false">IF(G105="YES",H89*H57,0)</f>
        <v>821.016</v>
      </c>
      <c r="I127" s="166"/>
      <c r="J127" s="301" t="n">
        <f aca="false">H91</f>
        <v>1324.33446086531</v>
      </c>
      <c r="K127" s="200"/>
      <c r="L127" s="67"/>
      <c r="M127" s="300" t="n">
        <f aca="false">N90</f>
        <v>982.649520840911</v>
      </c>
      <c r="N127" s="166" t="n">
        <f aca="false">IF(M105="YES",N89*N57,0)</f>
        <v>684.18</v>
      </c>
      <c r="O127" s="166"/>
      <c r="P127" s="166" t="n">
        <f aca="false">N91</f>
        <v>1096.67952084091</v>
      </c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982.599128797749</v>
      </c>
      <c r="B128" s="290" t="n">
        <f aca="false">IF(A105="YES",B89,0)</f>
        <v>114.03</v>
      </c>
      <c r="C128" s="294"/>
      <c r="D128" s="290" t="n">
        <f aca="false">B91</f>
        <v>1096.62912879775</v>
      </c>
      <c r="E128" s="291"/>
      <c r="F128" s="67"/>
      <c r="G128" s="198"/>
      <c r="H128" s="199"/>
      <c r="I128" s="199"/>
      <c r="J128" s="199"/>
      <c r="K128" s="200"/>
      <c r="L128" s="67"/>
      <c r="M128" s="198"/>
      <c r="N128" s="199"/>
      <c r="O128" s="199"/>
      <c r="P128" s="199"/>
      <c r="Q128" s="200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 t="s">
        <v>95</v>
      </c>
      <c r="H129" s="199" t="s">
        <v>96</v>
      </c>
      <c r="I129" s="199"/>
      <c r="J129" s="199" t="s">
        <v>98</v>
      </c>
      <c r="K129" s="200"/>
      <c r="L129" s="67"/>
      <c r="M129" s="198" t="s">
        <v>95</v>
      </c>
      <c r="N129" s="199" t="s">
        <v>96</v>
      </c>
      <c r="O129" s="199"/>
      <c r="P129" s="199" t="s">
        <v>98</v>
      </c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213" t="n">
        <f aca="false">G152</f>
        <v>35</v>
      </c>
      <c r="H130" s="168" t="n">
        <f aca="false">B151</f>
        <v>0</v>
      </c>
      <c r="I130" s="215"/>
      <c r="J130" s="214" t="n">
        <f aca="false">B58</f>
        <v>34</v>
      </c>
      <c r="K130" s="200"/>
      <c r="L130" s="67"/>
      <c r="M130" s="213" t="n">
        <f aca="false">M155</f>
        <v>35</v>
      </c>
      <c r="N130" s="168" t="n">
        <f aca="false">B151</f>
        <v>0</v>
      </c>
      <c r="O130" s="215"/>
      <c r="P130" s="214" t="n">
        <f aca="false">B58</f>
        <v>34</v>
      </c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Spread rentals with 6 down </v>
      </c>
      <c r="B131" s="42" t="n">
        <f aca="false">B90*B57</f>
        <v>5895.59477278649</v>
      </c>
      <c r="C131" s="199"/>
      <c r="D131" s="42" t="n">
        <f aca="false">IF(A105="YES",B89*B57,0)</f>
        <v>684.18</v>
      </c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198" t="s">
        <v>355</v>
      </c>
      <c r="N132" s="199" t="s">
        <v>252</v>
      </c>
      <c r="O132" s="199"/>
      <c r="P132" s="199" t="s">
        <v>256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7124.99076519187</v>
      </c>
      <c r="H133" s="42" t="n">
        <f aca="false">IF(G105="YES",H89*H57,0)</f>
        <v>821.016</v>
      </c>
      <c r="I133" s="205"/>
      <c r="J133" s="170" t="n">
        <f aca="false">H91*H57</f>
        <v>7946.00676519187</v>
      </c>
      <c r="K133" s="200"/>
      <c r="L133" s="67"/>
      <c r="M133" s="171" t="n">
        <f aca="false">N90*N57</f>
        <v>5895.89712504547</v>
      </c>
      <c r="N133" s="42" t="n">
        <f aca="false">IF(M105="YES",N89*N57,0)</f>
        <v>684.18</v>
      </c>
      <c r="O133" s="205"/>
      <c r="P133" s="170" t="n">
        <f aca="false">N91*N57</f>
        <v>6580.07712504547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6579.77477278649</v>
      </c>
      <c r="B134" s="42" t="n">
        <f aca="false">E114</f>
        <v>0</v>
      </c>
      <c r="C134" s="199"/>
      <c r="D134" s="303" t="n">
        <f aca="false">B58</f>
        <v>34</v>
      </c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198" t="s">
        <v>264</v>
      </c>
      <c r="N135" s="199" t="s">
        <v>265</v>
      </c>
      <c r="O135" s="199"/>
      <c r="P135" s="199" t="s">
        <v>269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0.28821</v>
      </c>
      <c r="H136" s="42" t="n">
        <f aca="false">IF(G105="YES",E15*0.000002,0)</f>
        <v>0.09607</v>
      </c>
      <c r="I136" s="42"/>
      <c r="J136" s="42" t="n">
        <f aca="false">G136+H136</f>
        <v>0.38428</v>
      </c>
      <c r="K136" s="107"/>
      <c r="L136" s="67"/>
      <c r="M136" s="113" t="n">
        <f aca="false">E15*0.000006</f>
        <v>0.28821</v>
      </c>
      <c r="N136" s="42" t="n">
        <f aca="false">IF(M105="YES",E15*0.000002,0)</f>
        <v>0.09607</v>
      </c>
      <c r="O136" s="42"/>
      <c r="P136" s="42" t="n">
        <f aca="false">M136+N136</f>
        <v>0.38428</v>
      </c>
      <c r="Q136" s="10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982.599128797749</v>
      </c>
      <c r="B137" s="42" t="n">
        <f aca="false">IF(A105="YES",B89,0)</f>
        <v>114.03</v>
      </c>
      <c r="C137" s="199"/>
      <c r="D137" s="42" t="n">
        <f aca="false">B91</f>
        <v>1096.62912879775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198" t="s">
        <v>152</v>
      </c>
      <c r="N138" s="199" t="s">
        <v>320</v>
      </c>
      <c r="O138" s="199"/>
      <c r="P138" s="199" t="s">
        <v>321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199.99</v>
      </c>
      <c r="H139" s="42" t="n">
        <f aca="false">H67</f>
        <v>782.84375</v>
      </c>
      <c r="I139" s="42"/>
      <c r="J139" s="42" t="n">
        <f aca="false">H102*0.9</f>
        <v>0</v>
      </c>
      <c r="K139" s="107"/>
      <c r="L139" s="67"/>
      <c r="M139" s="113" t="n">
        <f aca="false">M102</f>
        <v>199.99</v>
      </c>
      <c r="N139" s="42" t="n">
        <f aca="false">N67</f>
        <v>782.84375</v>
      </c>
      <c r="O139" s="42"/>
      <c r="P139" s="42" t="n">
        <f aca="false">N102*0.9</f>
        <v>0</v>
      </c>
      <c r="Q139" s="10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(G18*0.000006)*100</f>
        <v>28.782</v>
      </c>
      <c r="B140" s="309" t="n">
        <f aca="false">IF(A105="YES",G18*0.000002,0)*100</f>
        <v>9.594</v>
      </c>
      <c r="C140" s="310"/>
      <c r="D140" s="309" t="n">
        <f aca="false">A140+B140</f>
        <v>38.376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198" t="s">
        <v>323</v>
      </c>
      <c r="N141" s="199" t="s">
        <v>324</v>
      </c>
      <c r="O141" s="199"/>
      <c r="P141" s="199" t="s">
        <v>325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IF(G105="YES",((B36*H105)*0.1)*(G130),0)</f>
        <v>76.02</v>
      </c>
      <c r="H142" s="42" t="n">
        <f aca="false">G102-100</f>
        <v>99.99</v>
      </c>
      <c r="I142" s="42"/>
      <c r="J142" s="42" t="n">
        <f aca="false">(H139+J139+G142+H142)-H145</f>
        <v>958.85375</v>
      </c>
      <c r="K142" s="107"/>
      <c r="L142" s="67"/>
      <c r="M142" s="113" t="n">
        <f aca="false">IF(M105="YES",((B36*N105)*0.1)*(M130),0)</f>
        <v>76.02</v>
      </c>
      <c r="N142" s="42" t="n">
        <f aca="false">M102-100</f>
        <v>99.99</v>
      </c>
      <c r="O142" s="42"/>
      <c r="P142" s="42" t="n">
        <f aca="false">(N139+P139+M142+N142)-N145</f>
        <v>958.85375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199.991666666667</v>
      </c>
      <c r="C143" s="199"/>
      <c r="D143" s="142" t="n">
        <f aca="false">B102</f>
        <v>0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198" t="s">
        <v>327</v>
      </c>
      <c r="N144" s="199" t="s">
        <v>328</v>
      </c>
      <c r="O144" s="199"/>
      <c r="P144" s="199"/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v>0</v>
      </c>
      <c r="H145" s="42" t="n">
        <f aca="false">(H139+J139+G142+H142)*(G145/H64)</f>
        <v>0</v>
      </c>
      <c r="I145" s="199"/>
      <c r="J145" s="199"/>
      <c r="K145" s="200"/>
      <c r="L145" s="67"/>
      <c r="M145" s="113" t="n">
        <v>0</v>
      </c>
      <c r="N145" s="42" t="n">
        <f aca="false">(N139+P139+M142+N142)*(M145/N64)</f>
        <v>0</v>
      </c>
      <c r="O145" s="199"/>
      <c r="P145" s="199"/>
      <c r="Q145" s="200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113"/>
      <c r="N146" s="42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4" t="s">
        <v>356</v>
      </c>
      <c r="N147" s="43" t="s">
        <v>357</v>
      </c>
      <c r="O147" s="199"/>
      <c r="P147" s="199"/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0</v>
      </c>
      <c r="C148" s="42"/>
      <c r="D148" s="42" t="n">
        <f aca="false">IF(A105="YES",(B40*B105)*B125,0)*0.1</f>
        <v>76.02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348" t="n">
        <v>18000</v>
      </c>
      <c r="N148" s="349" t="n">
        <v>0.99</v>
      </c>
      <c r="O148" s="349"/>
      <c r="P148" s="199"/>
      <c r="Q148" s="200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198"/>
      <c r="N150" s="199"/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576.02</v>
      </c>
      <c r="E151" s="107"/>
      <c r="F151" s="67"/>
      <c r="G151" s="233"/>
      <c r="H151" s="235" t="n">
        <f aca="false">B51</f>
        <v>35000</v>
      </c>
      <c r="I151" s="235"/>
      <c r="J151" s="199"/>
      <c r="K151" s="200"/>
      <c r="L151" s="67"/>
      <c r="M151" s="258" t="s">
        <v>333</v>
      </c>
      <c r="N151" s="199"/>
      <c r="O151" s="199"/>
      <c r="P151" s="259"/>
      <c r="Q151" s="26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35</v>
      </c>
      <c r="H152" s="78" t="n">
        <f aca="false">H91</f>
        <v>1324.33446086531</v>
      </c>
      <c r="I152" s="78"/>
      <c r="J152" s="199"/>
      <c r="K152" s="200"/>
      <c r="L152" s="67"/>
      <c r="M152" s="198"/>
      <c r="N152" s="232"/>
      <c r="O152" s="232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233" t="s">
        <v>95</v>
      </c>
      <c r="N153" s="234" t="s">
        <v>96</v>
      </c>
      <c r="O153" s="234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D102</f>
        <v>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233"/>
      <c r="N154" s="235" t="n">
        <f aca="false">B51</f>
        <v>35000</v>
      </c>
      <c r="O154" s="235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237" t="n">
        <f aca="false">A52</f>
        <v>35</v>
      </c>
      <c r="N155" s="78" t="n">
        <f aca="false">N91</f>
        <v>1096.67952084091</v>
      </c>
      <c r="O155" s="78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198"/>
      <c r="N157" s="199"/>
      <c r="O157" s="199"/>
      <c r="P157" s="199"/>
      <c r="Q157" s="20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198"/>
      <c r="N158" s="199"/>
      <c r="O158" s="199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198"/>
      <c r="N159" s="199"/>
      <c r="O159" s="199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35000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198"/>
      <c r="N160" s="199"/>
      <c r="O160" s="199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35</v>
      </c>
      <c r="B161" s="78" t="n">
        <f aca="false">B91</f>
        <v>1096.62912879775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198"/>
      <c r="N161" s="199"/>
      <c r="O161" s="199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262"/>
      <c r="N162" s="263"/>
      <c r="O162" s="263"/>
      <c r="P162" s="263"/>
      <c r="Q162" s="264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198"/>
      <c r="B165" s="199"/>
      <c r="C165" s="199"/>
      <c r="D165" s="199"/>
      <c r="E165" s="200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62"/>
      <c r="B166" s="263"/>
      <c r="C166" s="263"/>
      <c r="D166" s="263"/>
      <c r="E166" s="264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293" t="n">
        <f aca="false">A161</f>
        <v>35</v>
      </c>
      <c r="C174" s="294"/>
      <c r="D174" s="293" t="n">
        <f aca="false">D125</f>
        <v>35000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B90</f>
        <v>982.599128797749</v>
      </c>
      <c r="B177" s="290" t="n">
        <f aca="false">IF(A105="YES",B89,0)</f>
        <v>114.03</v>
      </c>
      <c r="C177" s="294"/>
      <c r="D177" s="290" t="n">
        <f aca="false">B91</f>
        <v>1096.62912879775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B99</f>
        <v> Spread rentals with 6 down </v>
      </c>
      <c r="B180" s="42" t="n">
        <f aca="false">B90*B57</f>
        <v>5895.59477278649</v>
      </c>
      <c r="C180" s="199"/>
      <c r="D180" s="42" t="n">
        <f aca="false">IF(A105="YES",B89*B57,0)</f>
        <v>684.18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B91*B57</f>
        <v>6579.77477278649</v>
      </c>
      <c r="B183" s="42" t="n">
        <f aca="false">E114</f>
        <v>0</v>
      </c>
      <c r="C183" s="199"/>
      <c r="D183" s="303" t="n">
        <f aca="false">B58</f>
        <v>34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B90</f>
        <v>982.599128797749</v>
      </c>
      <c r="B186" s="42" t="n">
        <f aca="false">IF(A105="YES",B89,0)</f>
        <v>114.03</v>
      </c>
      <c r="C186" s="199"/>
      <c r="D186" s="42" t="n">
        <f aca="false">B91</f>
        <v>1096.62912879775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28.782</v>
      </c>
      <c r="B189" s="309" t="n">
        <f aca="false">IF(A105="YES",G18*0.000002,0)*100</f>
        <v>9.594</v>
      </c>
      <c r="C189" s="310"/>
      <c r="D189" s="309" t="n">
        <f aca="false">A189+B189</f>
        <v>38.376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E118</f>
        <v>199.991666666667</v>
      </c>
      <c r="C192" s="199"/>
      <c r="D192" s="142" t="n">
        <f aca="false">B102</f>
        <v>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B67</f>
        <v>250</v>
      </c>
      <c r="B197" s="42" t="n">
        <f aca="false">B102</f>
        <v>0</v>
      </c>
      <c r="C197" s="42"/>
      <c r="D197" s="42" t="n">
        <f aca="false">IF(A105="YES",(B40*B105)*B125,0)*0.1</f>
        <v>76.02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A151</f>
        <v>250</v>
      </c>
      <c r="B200" s="42" t="n">
        <f aca="false">(A148+B148+D148+A151)*(A143/B64)</f>
        <v>0</v>
      </c>
      <c r="C200" s="42"/>
      <c r="D200" s="42" t="n">
        <f aca="false">D151</f>
        <v>576.02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D102</f>
        <v>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0.075</v>
      </c>
      <c r="C209" s="290" t="s">
        <v>228</v>
      </c>
      <c r="D209" s="320" t="n">
        <f aca="false">D64</f>
        <v>4964.895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1010.2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5725.095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D64</f>
        <v>4964.895</v>
      </c>
      <c r="C217" s="223" t="s">
        <v>234</v>
      </c>
      <c r="D217" s="199"/>
      <c r="E217" s="270" t="n">
        <f aca="false">B66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B67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B78-(B78*(E219))</f>
        <v>0</v>
      </c>
      <c r="C223" s="205" t="s">
        <v>231</v>
      </c>
      <c r="D223" s="199"/>
      <c r="E223" s="37" t="n">
        <f aca="false">(B217-B211+D211)</f>
        <v>5725.095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760.2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B71</f>
        <v>160</v>
      </c>
      <c r="C229" s="205" t="s">
        <v>239</v>
      </c>
      <c r="D229" s="312"/>
      <c r="E229" s="140" t="n">
        <f aca="false">B72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D73</f>
        <v>317.5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B68</f>
        <v>0.0075</v>
      </c>
      <c r="C231" s="205" t="s">
        <v>242</v>
      </c>
      <c r="D231" s="312"/>
      <c r="E231" s="270" t="n">
        <f aca="false">B69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B86</f>
        <v>330.153307276044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B79</f>
        <v>300</v>
      </c>
      <c r="C233" s="327" t="s">
        <v>340</v>
      </c>
      <c r="D233" s="328"/>
      <c r="E233" s="140" t="n">
        <f aca="false">B74</f>
        <v>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B80</f>
        <v>100</v>
      </c>
      <c r="C235" s="331" t="s">
        <v>341</v>
      </c>
      <c r="D235" s="331"/>
      <c r="E235" s="140" t="n">
        <f aca="false">B75</f>
        <v>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2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8:E28"/>
    <mergeCell ref="B30:C30"/>
    <mergeCell ref="G38:H38"/>
    <mergeCell ref="B40:C40"/>
    <mergeCell ref="C44:D44"/>
    <mergeCell ref="C45:D45"/>
    <mergeCell ref="A50:A51"/>
    <mergeCell ref="B50:C50"/>
    <mergeCell ref="B51:C51"/>
    <mergeCell ref="B52:C52"/>
    <mergeCell ref="A94:E94"/>
    <mergeCell ref="G94:K94"/>
    <mergeCell ref="M94:Q94"/>
    <mergeCell ref="A96:E96"/>
    <mergeCell ref="G96:K96"/>
    <mergeCell ref="M96:Q96"/>
    <mergeCell ref="B99:C99"/>
    <mergeCell ref="D99:E99"/>
    <mergeCell ref="H99:I99"/>
    <mergeCell ref="J99:K99"/>
    <mergeCell ref="N99:O99"/>
    <mergeCell ref="P99:Q99"/>
    <mergeCell ref="B102:C102"/>
    <mergeCell ref="D102:E102"/>
    <mergeCell ref="H102:I102"/>
    <mergeCell ref="J102:K102"/>
    <mergeCell ref="N102:O102"/>
    <mergeCell ref="P102:Q102"/>
    <mergeCell ref="B105:C105"/>
    <mergeCell ref="D105:E105"/>
    <mergeCell ref="H105:I105"/>
    <mergeCell ref="J105:K105"/>
    <mergeCell ref="N105:O105"/>
    <mergeCell ref="P105:Q105"/>
    <mergeCell ref="A108:E108"/>
    <mergeCell ref="G108:K108"/>
    <mergeCell ref="M108:Q108"/>
    <mergeCell ref="A122:E122"/>
    <mergeCell ref="G122:K122"/>
    <mergeCell ref="M122:Q122"/>
    <mergeCell ref="H124:I124"/>
    <mergeCell ref="N124:O124"/>
    <mergeCell ref="N148:O148"/>
    <mergeCell ref="G150:G151"/>
    <mergeCell ref="H150:I150"/>
    <mergeCell ref="H151:I151"/>
    <mergeCell ref="H152:I152"/>
    <mergeCell ref="M153:M154"/>
    <mergeCell ref="N153:O153"/>
    <mergeCell ref="N154:O154"/>
    <mergeCell ref="N155:O155"/>
    <mergeCell ref="A159:A160"/>
    <mergeCell ref="B159:C159"/>
    <mergeCell ref="B160:C160"/>
    <mergeCell ref="B161:C161"/>
    <mergeCell ref="A171:E171"/>
    <mergeCell ref="A207:E207"/>
  </mergeCells>
  <dataValidations count="4">
    <dataValidation allowBlank="true" errorStyle="stop" operator="between" showDropDown="false" showErrorMessage="true" showInputMessage="false" sqref="A18:A20 H99 N99 G105 M105 O107 H110 N110" type="list">
      <formula1>#ref!</formula1>
      <formula2>0</formula2>
    </dataValidation>
    <dataValidation allowBlank="true" errorStyle="stop" operator="between" showDropDown="false" showErrorMessage="true" showInputMessage="false" sqref="B99" type="list">
      <formula1>$Y$97:$Y$105</formula1>
      <formula2>0</formula2>
    </dataValidation>
    <dataValidation allowBlank="true" errorStyle="stop" operator="between" showDropDown="false" showErrorMessage="true" showInputMessage="false" sqref="B26 A105 B110" type="list">
      <formula1>$I$2:$I$3</formula1>
      <formula2>0</formula2>
    </dataValidation>
    <dataValidation allowBlank="true" errorStyle="stop" operator="between" showDropDown="false" showErrorMessage="true" showInputMessage="false" sqref="C107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B221" activeCellId="0" sqref="B221"/>
    </sheetView>
  </sheetViews>
  <sheetFormatPr defaultColWidth="10.87890625" defaultRowHeight="14.25" customHeight="true" zeroHeight="false" outlineLevelRow="0" outlineLevelCol="0"/>
  <cols>
    <col min="1" max="1" customWidth="true" hidden="false" style="1" width="56.0" collapsed="false" outlineLevel="0"/>
    <col min="2" max="2" customWidth="true" hidden="false" style="1" width="18.12" collapsed="false" outlineLevel="0"/>
    <col min="3" max="3" customWidth="true" hidden="false" style="1" width="25.12" collapsed="false" outlineLevel="0"/>
    <col min="4" max="4" customWidth="true" hidden="false" style="1" width="18.12" collapsed="false" outlineLevel="0"/>
    <col min="5" max="5" customWidth="true" hidden="false" style="1" width="24.0" collapsed="false" outlineLevel="0"/>
    <col min="7" max="7" customWidth="true" hidden="false" style="1" width="53.5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8.2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42" t="n">
        <v>44008.33</v>
      </c>
      <c r="C3" s="239" t="n">
        <v>0.0</v>
      </c>
      <c r="D3" s="242" t="n">
        <v>0.0</v>
      </c>
      <c r="E3" s="354" t="n">
        <v>0</v>
      </c>
      <c r="F3" s="67"/>
      <c r="G3" s="67" t="n">
        <v>25000</v>
      </c>
      <c r="H3" s="67"/>
      <c r="I3" s="67" t="s">
        <v>31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1" t="n">
        <v>10.0</v>
      </c>
      <c r="C4" s="1" t="n">
        <v>0.0</v>
      </c>
      <c r="D4" s="1" t="n">
        <v>0.0</v>
      </c>
      <c r="E4" s="270"/>
      <c r="F4" s="67"/>
      <c r="G4" s="67"/>
      <c r="H4" s="67"/>
      <c r="I4" s="67" t="s">
        <v>32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22.0</v>
      </c>
      <c r="C5" s="239" t="n">
        <v>0.0</v>
      </c>
      <c r="D5" s="239" t="n">
        <v>0.0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364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365" t="n">
        <f aca="false">G9*100/B3</f>
        <v>-246.584385122847</v>
      </c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406" t="n">
        <f aca="false">(B7+C7+D7+E3)</f>
        <v>43128.1634</v>
      </c>
      <c r="F9" s="67"/>
      <c r="G9" s="364" t="n">
        <f aca="false">E9-G11</f>
        <v>-108517.669933333</v>
      </c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670.83</v>
      </c>
      <c r="F10" s="67"/>
      <c r="G10" s="364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(E9+E10)*0.2</f>
        <v>8655.63268</v>
      </c>
      <c r="F11" s="67"/>
      <c r="G11" s="364" t="n">
        <f aca="false">G13/1.2</f>
        <v>151645.833333333</v>
      </c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945.0</v>
      </c>
      <c r="F13" s="67"/>
      <c r="G13" s="364" t="n">
        <f aca="false">G15-E14-E13-E12</f>
        <v>181975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65.0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407" t="n">
        <f aca="false">(E9+E10+E13+E14+E11)-E12</f>
        <v>53028.79608</v>
      </c>
      <c r="F15" s="67"/>
      <c r="G15" s="21" t="n">
        <v>183070</v>
      </c>
      <c r="H15" s="67"/>
      <c r="I15" s="67" t="s">
        <v>283</v>
      </c>
      <c r="J15" s="67" t="n">
        <v>0.1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13.0</v>
      </c>
      <c r="F16" s="67"/>
      <c r="G16" s="366" t="n">
        <f aca="false">(B3+C3+E10)*1.2</f>
        <v>52989.996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 t="n">
        <v>0</v>
      </c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200.0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364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4" t="s">
        <v>139</v>
      </c>
      <c r="B26" s="206" t="s">
        <v>398</v>
      </c>
      <c r="C26" s="199"/>
      <c r="D26" s="199"/>
      <c r="E26" s="200"/>
      <c r="F26" s="67"/>
      <c r="G26" s="202" t="s">
        <v>36</v>
      </c>
      <c r="H26" s="202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38</v>
      </c>
      <c r="H27" s="203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1" t="s">
        <v>193</v>
      </c>
      <c r="B28" s="201"/>
      <c r="C28" s="201"/>
      <c r="D28" s="201"/>
      <c r="E28" s="201"/>
      <c r="F28" s="67"/>
      <c r="G28" s="203" t="s">
        <v>40</v>
      </c>
      <c r="H28" s="203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198"/>
      <c r="B29" s="199"/>
      <c r="C29" s="199"/>
      <c r="D29" s="199"/>
      <c r="E29" s="200"/>
      <c r="F29" s="67"/>
      <c r="G29" s="202" t="s">
        <v>41</v>
      </c>
      <c r="H29" s="367" t="n">
        <v>36.0</v>
      </c>
      <c r="I29" s="67"/>
      <c r="J29" s="67"/>
      <c r="K29" s="67" t="n">
        <v>36</v>
      </c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 t="s">
        <v>194</v>
      </c>
      <c r="B30" s="162" t="s">
        <v>399</v>
      </c>
      <c r="C30" s="162"/>
      <c r="D30" s="199"/>
      <c r="E30" s="200"/>
      <c r="F30" s="67"/>
      <c r="G30" s="202" t="s">
        <v>45</v>
      </c>
      <c r="H30" s="367" t="n">
        <v>10000.0</v>
      </c>
      <c r="I30" s="67"/>
      <c r="J30" s="67"/>
      <c r="K30" s="67" t="n">
        <v>10000</v>
      </c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198"/>
      <c r="B31" s="199"/>
      <c r="C31" s="199"/>
      <c r="D31" s="199"/>
      <c r="E31" s="200"/>
      <c r="F31" s="67"/>
      <c r="G31" s="202" t="s">
        <v>48</v>
      </c>
      <c r="H31" s="46" t="n">
        <v>22550.0</v>
      </c>
      <c r="I31" s="67"/>
      <c r="J31" s="67"/>
      <c r="K31" s="67" t="n">
        <v>20000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98" t="s">
        <v>95</v>
      </c>
      <c r="B32" s="199" t="s">
        <v>96</v>
      </c>
      <c r="C32" s="199"/>
      <c r="D32" s="368" t="s">
        <v>365</v>
      </c>
      <c r="E32" s="200"/>
      <c r="F32" s="67"/>
      <c r="G32" s="202" t="s">
        <v>49</v>
      </c>
      <c r="I32" s="46" t="n">
        <v>0.0</v>
      </c>
      <c r="J32" s="67"/>
      <c r="K32" s="67" t="n">
        <v>0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31.5" hidden="false" customHeight="true" outlineLevel="0" collapsed="false">
      <c r="A33" s="213" t="n">
        <f aca="false">A52</f>
        <v>24</v>
      </c>
      <c r="B33" s="214" t="n">
        <v>10000</v>
      </c>
      <c r="C33" s="215"/>
      <c r="D33" s="369" t="n">
        <f aca="false">H48</f>
        <v>1276.04937773205</v>
      </c>
      <c r="E33" s="200"/>
      <c r="F33" s="67"/>
      <c r="G33" s="203" t="s">
        <v>366</v>
      </c>
      <c r="H33" s="52" t="n">
        <f aca="false">E21-E11+((E16*20%)+(E19*20%)+(E20*20%))</f>
        <v>44373.1634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198"/>
      <c r="B34" s="199"/>
      <c r="C34" s="199"/>
      <c r="D34" s="199"/>
      <c r="E34" s="200"/>
      <c r="F34" s="67"/>
      <c r="G34" s="67" t="s">
        <v>382</v>
      </c>
      <c r="H34" s="67" t="n">
        <f aca="false">H29</f>
        <v>24</v>
      </c>
      <c r="I34" s="67" t="n">
        <v>43957.29</v>
      </c>
      <c r="J34" s="67" t="n">
        <v>841.24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98" t="s">
        <v>367</v>
      </c>
      <c r="B35" s="199" t="s">
        <v>368</v>
      </c>
      <c r="C35" s="199"/>
      <c r="D35" s="199" t="s">
        <v>369</v>
      </c>
      <c r="E35" s="200"/>
      <c r="F35" s="67"/>
      <c r="G35" s="55" t="s">
        <v>59</v>
      </c>
      <c r="H35" s="218" t="n">
        <v>0.075</v>
      </c>
      <c r="I35" s="67" t="n">
        <v>46215.83</v>
      </c>
      <c r="J35" s="67" t="n">
        <v>909.69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71" t="n">
        <f aca="false">H47</f>
        <v>1226.04937773205</v>
      </c>
      <c r="B36" s="42" t="n">
        <f aca="false">IF(B26="YES",H42,"")</f>
        <v>50</v>
      </c>
      <c r="C36" s="205"/>
      <c r="D36" s="170" t="n">
        <f aca="false">H31</f>
        <v>25825</v>
      </c>
      <c r="E36" s="200"/>
      <c r="F36" s="67"/>
      <c r="G36" s="67"/>
      <c r="H36" s="67"/>
      <c r="I36" s="67" t="n">
        <f aca="false">I35-I34</f>
        <v>2258.54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113"/>
      <c r="B37" s="42"/>
      <c r="C37" s="205"/>
      <c r="D37" s="42"/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198"/>
      <c r="B38" s="199"/>
      <c r="C38" s="199"/>
      <c r="D38" s="199"/>
      <c r="E38" s="200"/>
      <c r="F38" s="67"/>
      <c r="G38" s="227" t="s">
        <v>65</v>
      </c>
      <c r="H38" s="22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198" t="s">
        <v>370</v>
      </c>
      <c r="B39" s="199" t="s">
        <v>371</v>
      </c>
      <c r="C39" s="199"/>
      <c r="D39" s="199" t="s">
        <v>372</v>
      </c>
      <c r="E39" s="200"/>
      <c r="F39" s="67"/>
      <c r="G39" s="67" t="s">
        <v>97</v>
      </c>
      <c r="H39" s="7" t="n">
        <f aca="false">H33</f>
        <v>44373.1634</v>
      </c>
      <c r="I39" s="7" t="n">
        <f aca="false">(I48*H46)+H44</f>
        <v>47072.7602854071</v>
      </c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109" t="n">
        <f aca="false">D36*A45/100</f>
        <v>25825</v>
      </c>
      <c r="B40" s="109" t="n">
        <f aca="false">IF(B26="YES",H42,"0")</f>
        <v>50</v>
      </c>
      <c r="C40" s="109"/>
      <c r="D40" s="170" t="n">
        <f aca="false">I32</f>
        <v>1200</v>
      </c>
      <c r="E40" s="200"/>
      <c r="F40" s="67"/>
      <c r="G40" s="67" t="s">
        <v>119</v>
      </c>
      <c r="H40" s="7" t="n">
        <f aca="false">(A40)/1.2</f>
        <v>21520.8333333333</v>
      </c>
      <c r="I40" s="7" t="n">
        <f aca="false">H39-I39</f>
        <v>-2699.5968854071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98"/>
      <c r="B41" s="199"/>
      <c r="C41" s="199"/>
      <c r="D41" s="199"/>
      <c r="E41" s="200"/>
      <c r="F41" s="67"/>
      <c r="G41" s="67" t="s">
        <v>373</v>
      </c>
      <c r="H41" s="225" t="n">
        <f aca="false">H35/12</f>
        <v>0.00791666666666667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198"/>
      <c r="B42" s="199"/>
      <c r="C42" s="199"/>
      <c r="D42" s="199"/>
      <c r="E42" s="200"/>
      <c r="F42" s="67"/>
      <c r="G42" s="67" t="s">
        <v>374</v>
      </c>
      <c r="H42" s="7" t="n">
        <f aca="false">(I32/H34)*(C45/100)</f>
        <v>50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65"/>
      <c r="B43" s="266"/>
      <c r="C43" s="266"/>
      <c r="D43" s="266"/>
      <c r="E43" s="267"/>
      <c r="F43" s="67"/>
      <c r="G43" s="67" t="s">
        <v>375</v>
      </c>
      <c r="H43" s="67"/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370" t="s">
        <v>89</v>
      </c>
      <c r="B44" s="199"/>
      <c r="C44" s="371" t="s">
        <v>90</v>
      </c>
      <c r="D44" s="371"/>
      <c r="E44" s="200"/>
      <c r="F44" s="67"/>
      <c r="G44" s="67" t="s">
        <v>383</v>
      </c>
      <c r="H44" s="7" t="n">
        <f aca="false">(H40/(1+H41)^(H34+1))</f>
        <v>17670.2794537967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372" t="n">
        <v>100.0</v>
      </c>
      <c r="B45" s="199"/>
      <c r="C45" s="408" t="n">
        <v>100.0</v>
      </c>
      <c r="D45" s="408"/>
      <c r="E45" s="200"/>
      <c r="F45" s="67"/>
      <c r="G45" s="67" t="s">
        <v>384</v>
      </c>
      <c r="H45" s="7" t="n">
        <f aca="false">(H39-H44)</f>
        <v>26702.8839462033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62"/>
      <c r="B46" s="263"/>
      <c r="C46" s="263"/>
      <c r="D46" s="263"/>
      <c r="E46" s="264"/>
      <c r="F46" s="67"/>
      <c r="G46" s="67" t="s">
        <v>385</v>
      </c>
      <c r="H46" s="7" t="n">
        <f aca="false">((1-(1/((1+H41)^H34)))/H41)</f>
        <v>21.7796154308225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98"/>
      <c r="B47" s="199"/>
      <c r="C47" s="199"/>
      <c r="D47" s="199"/>
      <c r="E47" s="200"/>
      <c r="F47" s="67"/>
      <c r="G47" s="67" t="s">
        <v>379</v>
      </c>
      <c r="H47" s="7" t="n">
        <f aca="false">H45/H46</f>
        <v>1226.04937773205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374" t="s">
        <v>380</v>
      </c>
      <c r="H48" s="7" t="n">
        <f aca="false">IF(B26="YES",H47+H42,H47)</f>
        <v>1276.04937773205</v>
      </c>
      <c r="I48" s="7" t="n">
        <f aca="false">I49-H42</f>
        <v>1350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 t="s">
        <v>381</v>
      </c>
      <c r="H49" s="261"/>
      <c r="I49" s="7" t="n">
        <v>1400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8000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24</v>
      </c>
      <c r="B52" s="78" t="n">
        <f aca="false">H48</f>
        <v>1276.04937773205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199"/>
      <c r="N55" s="199"/>
      <c r="O55" s="199"/>
      <c r="P55" s="199"/>
      <c r="Q55" s="199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265"/>
      <c r="N56" s="266"/>
      <c r="O56" s="266"/>
      <c r="P56" s="266"/>
      <c r="Q56" s="2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IF(B99=Y97,1,IF(B99=Y98,1,IF(B99=Y99,3,IF(B99=Y100,6,IF(B99=Y101,9,IF(B99=Y102,12,IF(B99=Y103,3,IF(B99=Y104,6,IF(B99=Y105,9,0)))))))))</f>
        <v>1</v>
      </c>
      <c r="C57" s="199"/>
      <c r="D57" s="199"/>
      <c r="E57" s="200"/>
      <c r="F57" s="67"/>
      <c r="G57" s="198" t="s">
        <v>97</v>
      </c>
      <c r="H57" s="199" t="n">
        <f aca="false">IF(H99=Y97,1,IF(H99=Y98,1,IF(H99=Y99,3,IF(H99=Y100,6,IF(H99=Y101,9,IF(H99=Y102,12,IF(H99=Y103,3,IF(H99=Y104,6,IF(H99=Y105,9,0)))))))))</f>
        <v>6</v>
      </c>
      <c r="I57" s="199"/>
      <c r="J57" s="199"/>
      <c r="K57" s="200"/>
      <c r="L57" s="67"/>
      <c r="M57" s="198" t="s">
        <v>97</v>
      </c>
      <c r="N57" s="199" t="n">
        <f aca="false">IF(N99=Y97,1,IF(N99=Y98,1,IF(N99=Y99,3,IF(N99=Y100,6,IF(N99=Y101,9,IF(N99=Y102,12,IF(N99=Y103,3,IF(N99=Y104,6,IF(N99=Y105,9,0)))))))))</f>
        <v>6</v>
      </c>
      <c r="O57" s="199"/>
      <c r="P57" s="199"/>
      <c r="Q57" s="200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IF(B99=Y97,H29-B57,IF(B99=Y98,H29-B57,IF(B99=Y99,H29-1,IF(B99=Y100,H29-1,IF(B99=Y101,H29-1,IF(B99=Y102,H29-1,IF(B99=Y103,H29-B57,IF(B99=Y104,H29-B57,IF(B99=Y105,H29-B57,0)))))))))</f>
        <v>23</v>
      </c>
      <c r="C58" s="199"/>
      <c r="D58" s="199"/>
      <c r="E58" s="200"/>
      <c r="F58" s="67"/>
      <c r="G58" s="198" t="s">
        <v>98</v>
      </c>
      <c r="H58" s="199" t="n">
        <f aca="false">IF(H99=Y97,H29-H57,IF(H99=Y98,H29-H57,IF(H99=Y99,H29-1,IF(H99=Y100,H29-1,IF(H99=Y101,H29-1,IF(H99=Y102,H29-1,IF(H99=Y103,H29-H57,IF(H99=Y104,H29-H57,IF(H99=Y105,H29-H57,0)))))))))</f>
        <v>23</v>
      </c>
      <c r="I58" s="199"/>
      <c r="J58" s="199"/>
      <c r="K58" s="200"/>
      <c r="L58" s="67"/>
      <c r="M58" s="198" t="s">
        <v>98</v>
      </c>
      <c r="N58" s="199" t="n">
        <f aca="false">IF(N99=Y97,H29-N57,IF(N99=Y98,H29-N57,IF(N99=Y99,H29-1,IF(N99=Y100,H29-1,IF(N99=Y101,H29-1,IF(N99=Y102,H29-1,IF(N99=Y103,H29-N57,IF(N99=Y104,H29-N57,IF(N99=Y105,H29-N57,0)))))))))</f>
        <v>23</v>
      </c>
      <c r="O58" s="199"/>
      <c r="P58" s="199"/>
      <c r="Q58" s="200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198"/>
      <c r="N59" s="199"/>
      <c r="O59" s="199"/>
      <c r="P59" s="199"/>
      <c r="Q59" s="200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/>
      <c r="B60" s="199"/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198"/>
      <c r="N60" s="199"/>
      <c r="O60" s="199"/>
      <c r="P60" s="199"/>
      <c r="Q60" s="200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f aca="false">G18</f>
        <v>52989.996</v>
      </c>
      <c r="C61" s="199"/>
      <c r="D61" s="199"/>
      <c r="E61" s="200"/>
      <c r="F61" s="67"/>
      <c r="G61" s="198" t="s">
        <v>27</v>
      </c>
      <c r="H61" s="36" t="n">
        <f aca="false">G18</f>
        <v>52989.996</v>
      </c>
      <c r="I61" s="199"/>
      <c r="J61" s="199"/>
      <c r="K61" s="200"/>
      <c r="L61" s="67"/>
      <c r="M61" s="198" t="s">
        <v>27</v>
      </c>
      <c r="N61" s="36" t="n">
        <f aca="false">G18</f>
        <v>52989.996</v>
      </c>
      <c r="O61" s="199"/>
      <c r="P61" s="199"/>
      <c r="Q61" s="200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268" t="s">
        <v>287</v>
      </c>
      <c r="N62" s="269" t="n">
        <v>0.07</v>
      </c>
      <c r="O62" s="199"/>
      <c r="P62" s="199"/>
      <c r="Q62" s="200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0.0875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0.0875</v>
      </c>
      <c r="I63" s="199"/>
      <c r="J63" s="199"/>
      <c r="K63" s="200"/>
      <c r="L63" s="67"/>
      <c r="M63" s="198" t="s">
        <v>288</v>
      </c>
      <c r="N63" s="270" t="n">
        <f aca="false">N62+(N62*0.25*(H29/12-1))</f>
        <v>0.0875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B61*B63</f>
        <v>4636.62465</v>
      </c>
      <c r="C64" s="199" t="n">
        <v>10000</v>
      </c>
      <c r="D64" s="36" t="n">
        <f aca="false">B64-A143</f>
        <v>4636.62465</v>
      </c>
      <c r="E64" s="376" t="n">
        <f aca="false">D64/(B58+B57)</f>
        <v>193.19269375</v>
      </c>
      <c r="F64" s="67"/>
      <c r="G64" s="262" t="s">
        <v>103</v>
      </c>
      <c r="H64" s="69" t="n">
        <f aca="false">H61*H63</f>
        <v>4636.62465</v>
      </c>
      <c r="I64" s="199"/>
      <c r="J64" s="36" t="n">
        <f aca="false">H64-G145</f>
        <v>4636.62465</v>
      </c>
      <c r="K64" s="200"/>
      <c r="L64" s="67"/>
      <c r="M64" s="262" t="s">
        <v>103</v>
      </c>
      <c r="N64" s="69" t="n">
        <f aca="false">N61*N63</f>
        <v>4636.62465</v>
      </c>
      <c r="O64" s="199"/>
      <c r="P64" s="36" t="n">
        <f aca="false">N64-M145</f>
        <v>4636.62465</v>
      </c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250.0</v>
      </c>
      <c r="C65" s="199"/>
      <c r="D65" s="199"/>
      <c r="E65" s="200"/>
      <c r="F65" s="67"/>
      <c r="G65" s="268" t="s">
        <v>104</v>
      </c>
      <c r="H65" s="269" t="n">
        <v>0.01</v>
      </c>
      <c r="I65" s="199"/>
      <c r="J65" s="199"/>
      <c r="K65" s="200"/>
      <c r="L65" s="67"/>
      <c r="M65" s="268" t="s">
        <v>104</v>
      </c>
      <c r="N65" s="269" t="n">
        <v>0.01</v>
      </c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199"/>
      <c r="D66" s="199"/>
      <c r="E66" s="200"/>
      <c r="F66" s="67"/>
      <c r="G66" s="198" t="s">
        <v>105</v>
      </c>
      <c r="H66" s="270" t="n">
        <f aca="false">H65+(H65*0.5*(H29/12-1))</f>
        <v>0.015</v>
      </c>
      <c r="I66" s="199"/>
      <c r="J66" s="199"/>
      <c r="K66" s="200"/>
      <c r="L66" s="67"/>
      <c r="M66" s="198" t="s">
        <v>105</v>
      </c>
      <c r="N66" s="270" t="n">
        <f aca="false">N65+(N65*0.5*(H29/12-1))</f>
        <v>0.015</v>
      </c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199"/>
      <c r="D67" s="36"/>
      <c r="E67" s="200"/>
      <c r="F67" s="67"/>
      <c r="G67" s="262" t="s">
        <v>106</v>
      </c>
      <c r="H67" s="69" t="n">
        <f aca="false">(H61*H66)/1.2</f>
        <v>662.37495</v>
      </c>
      <c r="I67" s="199"/>
      <c r="J67" s="36"/>
      <c r="K67" s="200"/>
      <c r="L67" s="67"/>
      <c r="M67" s="262" t="s">
        <v>106</v>
      </c>
      <c r="N67" s="69" t="n">
        <f aca="false">(N61*N66)/1.2</f>
        <v>662.37495</v>
      </c>
      <c r="O67" s="199"/>
      <c r="P67" s="36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199"/>
      <c r="D68" s="199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268" t="s">
        <v>107</v>
      </c>
      <c r="N68" s="269" t="n">
        <v>0.0075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0.12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272" t="s">
        <v>108</v>
      </c>
      <c r="N69" s="273" t="n">
        <v>0.12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0.008625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262" t="s">
        <v>109</v>
      </c>
      <c r="N70" s="381" t="n">
        <f aca="false">N68*(1+N69)</f>
        <v>0.0084</v>
      </c>
      <c r="O70" s="199"/>
      <c r="P70" s="199"/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160.0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268" t="s">
        <v>110</v>
      </c>
      <c r="N71" s="90" t="n">
        <v>160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272" t="s">
        <v>111</v>
      </c>
      <c r="N72" s="81" t="n">
        <v>4.5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108</v>
      </c>
      <c r="C73" s="199"/>
      <c r="D73" s="36" t="n">
        <f aca="false">B73+B71</f>
        <v>268</v>
      </c>
      <c r="E73" s="200"/>
      <c r="F73" s="67"/>
      <c r="G73" s="262" t="s">
        <v>112</v>
      </c>
      <c r="H73" s="69" t="n">
        <f aca="false">H72*H29</f>
        <v>108</v>
      </c>
      <c r="I73" s="199"/>
      <c r="J73" s="36" t="n">
        <f aca="false">H73+H71</f>
        <v>268</v>
      </c>
      <c r="K73" s="200"/>
      <c r="L73" s="67"/>
      <c r="M73" s="262" t="s">
        <v>112</v>
      </c>
      <c r="N73" s="69" t="n">
        <f aca="false">N72*H29</f>
        <v>108</v>
      </c>
      <c r="O73" s="199"/>
      <c r="P73" s="36" t="n">
        <f aca="false">N73+N71</f>
        <v>268</v>
      </c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155.0</v>
      </c>
      <c r="C74" s="199"/>
      <c r="D74" s="199"/>
      <c r="E74" s="200"/>
      <c r="F74" s="67"/>
      <c r="G74" s="268" t="s">
        <v>289</v>
      </c>
      <c r="H74" s="90" t="n">
        <v>165</v>
      </c>
      <c r="I74" s="199"/>
      <c r="J74" s="199"/>
      <c r="K74" s="200"/>
      <c r="L74" s="67"/>
      <c r="M74" s="339" t="s">
        <v>289</v>
      </c>
      <c r="N74" s="340" t="n">
        <v>0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335.0</v>
      </c>
      <c r="C75" s="199"/>
      <c r="D75" s="199"/>
      <c r="E75" s="200"/>
      <c r="F75" s="67"/>
      <c r="G75" s="272" t="s">
        <v>290</v>
      </c>
      <c r="H75" s="81" t="n">
        <v>0</v>
      </c>
      <c r="I75" s="199"/>
      <c r="J75" s="199"/>
      <c r="K75" s="200"/>
      <c r="L75" s="67"/>
      <c r="M75" s="341" t="s">
        <v>290</v>
      </c>
      <c r="N75" s="342" t="n">
        <v>0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((B74+B75)/12)*(H29-11)</f>
        <v>595.833333333333</v>
      </c>
      <c r="C76" s="199"/>
      <c r="D76" s="36" t="n">
        <f aca="false">B76</f>
        <v>595.833333333333</v>
      </c>
      <c r="E76" s="200"/>
      <c r="F76" s="67"/>
      <c r="G76" s="262" t="s">
        <v>291</v>
      </c>
      <c r="H76" s="69" t="n">
        <f aca="false">((H74+H75)/12)*(H29-11)</f>
        <v>178.75</v>
      </c>
      <c r="I76" s="199"/>
      <c r="J76" s="36" t="n">
        <f aca="false">H76</f>
        <v>178.75</v>
      </c>
      <c r="K76" s="200"/>
      <c r="L76" s="67"/>
      <c r="M76" s="343" t="s">
        <v>291</v>
      </c>
      <c r="N76" s="344" t="n">
        <f aca="false">((N74+N75)/12)*(H29-11)</f>
        <v>0</v>
      </c>
      <c r="O76" s="199"/>
      <c r="P76" s="36" t="n">
        <f aca="false">N76</f>
        <v>0</v>
      </c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292</v>
      </c>
      <c r="B77" s="31" t="n">
        <f aca="false">B102/(1-J15)</f>
        <v>470.588235294118</v>
      </c>
      <c r="C77" s="199"/>
      <c r="D77" s="36" t="n">
        <f aca="false">B77</f>
        <v>470.588235294118</v>
      </c>
      <c r="E77" s="376" t="n">
        <f aca="false">D77/(B58+B57)</f>
        <v>19.6078431372549</v>
      </c>
      <c r="F77" s="67"/>
      <c r="G77" s="268" t="s">
        <v>292</v>
      </c>
      <c r="H77" s="90" t="n">
        <v>0</v>
      </c>
      <c r="I77" s="199"/>
      <c r="J77" s="36" t="n">
        <f aca="false">H77</f>
        <v>0</v>
      </c>
      <c r="K77" s="200"/>
      <c r="L77" s="67"/>
      <c r="M77" s="268" t="s">
        <v>292</v>
      </c>
      <c r="N77" s="90" t="n">
        <v>0</v>
      </c>
      <c r="O77" s="199"/>
      <c r="P77" s="36" t="n">
        <f aca="false">N77</f>
        <v>0</v>
      </c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235.294117647059</v>
      </c>
      <c r="C78" s="199"/>
      <c r="D78" s="36" t="n">
        <f aca="false">B78</f>
        <v>235.294117647059</v>
      </c>
      <c r="E78" s="376"/>
      <c r="F78" s="67"/>
      <c r="G78" s="198" t="s">
        <v>293</v>
      </c>
      <c r="H78" s="37" t="n">
        <v>0</v>
      </c>
      <c r="I78" s="199"/>
      <c r="J78" s="36" t="n">
        <f aca="false">H78</f>
        <v>0</v>
      </c>
      <c r="K78" s="200"/>
      <c r="L78" s="67"/>
      <c r="M78" s="198" t="s">
        <v>293</v>
      </c>
      <c r="N78" s="37" t="n">
        <v>0</v>
      </c>
      <c r="O78" s="199"/>
      <c r="P78" s="36" t="n">
        <f aca="false">N78</f>
        <v>0</v>
      </c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200.0</v>
      </c>
      <c r="C79" s="199"/>
      <c r="D79" s="36" t="n">
        <f aca="false">B79</f>
        <v>300</v>
      </c>
      <c r="E79" s="376"/>
      <c r="F79" s="67"/>
      <c r="G79" s="272" t="s">
        <v>113</v>
      </c>
      <c r="H79" s="81" t="n">
        <v>200</v>
      </c>
      <c r="I79" s="199"/>
      <c r="J79" s="36" t="n">
        <f aca="false">H79</f>
        <v>200</v>
      </c>
      <c r="K79" s="200"/>
      <c r="L79" s="67"/>
      <c r="M79" s="272" t="s">
        <v>113</v>
      </c>
      <c r="N79" s="81" t="n">
        <v>200</v>
      </c>
      <c r="O79" s="199"/>
      <c r="P79" s="36" t="n">
        <f aca="false">N79</f>
        <v>200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200.0</v>
      </c>
      <c r="C80" s="199"/>
      <c r="D80" s="36" t="n">
        <f aca="false">B80</f>
        <v>100</v>
      </c>
      <c r="E80" s="376" t="n">
        <f aca="false">(D73+D76+D79+D80)/(B58+B57)</f>
        <v>52.6597222222222</v>
      </c>
      <c r="F80" s="67"/>
      <c r="G80" s="275" t="s">
        <v>114</v>
      </c>
      <c r="H80" s="91" t="n">
        <v>200</v>
      </c>
      <c r="I80" s="199"/>
      <c r="J80" s="36" t="n">
        <f aca="false">H80</f>
        <v>200</v>
      </c>
      <c r="K80" s="200"/>
      <c r="L80" s="67"/>
      <c r="M80" s="275" t="s">
        <v>114</v>
      </c>
      <c r="N80" s="91" t="n">
        <v>200</v>
      </c>
      <c r="O80" s="199"/>
      <c r="P80" s="36" t="n">
        <f aca="false">N80</f>
        <v>200</v>
      </c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6606.34033627451</v>
      </c>
      <c r="C81" s="199"/>
      <c r="D81" s="199"/>
      <c r="E81" s="376"/>
      <c r="F81" s="67"/>
      <c r="G81" s="276" t="s">
        <v>115</v>
      </c>
      <c r="H81" s="277" t="n">
        <f aca="false">SUM(J64:J80)</f>
        <v>5483.37465</v>
      </c>
      <c r="I81" s="199"/>
      <c r="J81" s="199"/>
      <c r="K81" s="200"/>
      <c r="L81" s="67"/>
      <c r="M81" s="276" t="s">
        <v>115</v>
      </c>
      <c r="N81" s="277" t="n">
        <f aca="false">SUM(P64:P80)</f>
        <v>5304.62465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275.264180678105</v>
      </c>
      <c r="C82" s="199"/>
      <c r="D82" s="199"/>
      <c r="E82" s="376"/>
      <c r="F82" s="67"/>
      <c r="G82" s="198" t="s">
        <v>116</v>
      </c>
      <c r="H82" s="37" t="n">
        <f aca="false">H81/H29</f>
        <v>228.47394375</v>
      </c>
      <c r="I82" s="199"/>
      <c r="J82" s="199"/>
      <c r="K82" s="200"/>
      <c r="L82" s="67"/>
      <c r="M82" s="198" t="s">
        <v>116</v>
      </c>
      <c r="N82" s="37" t="n">
        <f aca="false">N81/H29</f>
        <v>221.026027083333</v>
      </c>
      <c r="O82" s="199"/>
      <c r="P82" s="199"/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H47</f>
        <v>1226.04937773205</v>
      </c>
      <c r="C83" s="199"/>
      <c r="D83" s="199"/>
      <c r="E83" s="376" t="n">
        <f aca="false">B83+E80+E77+E64</f>
        <v>1491.50963684153</v>
      </c>
      <c r="F83" s="67"/>
      <c r="G83" s="278" t="s">
        <v>117</v>
      </c>
      <c r="H83" s="63" t="n">
        <f aca="false">H47</f>
        <v>1226.04937773205</v>
      </c>
      <c r="I83" s="199"/>
      <c r="J83" s="199"/>
      <c r="K83" s="200"/>
      <c r="L83" s="67"/>
      <c r="M83" s="278" t="s">
        <v>117</v>
      </c>
      <c r="N83" s="63" t="n">
        <f aca="false">H47</f>
        <v>1226.04937773205</v>
      </c>
      <c r="O83" s="199"/>
      <c r="P83" s="199"/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199"/>
      <c r="D84" s="199"/>
      <c r="E84" s="376"/>
      <c r="F84" s="67"/>
      <c r="G84" s="198"/>
      <c r="H84" s="36"/>
      <c r="I84" s="199"/>
      <c r="J84" s="199"/>
      <c r="K84" s="200"/>
      <c r="L84" s="67"/>
      <c r="M84" s="198"/>
      <c r="N84" s="36"/>
      <c r="O84" s="199"/>
      <c r="P84" s="199"/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((B83*H29)+B81)*1.2</f>
        <v>43237.8304822124</v>
      </c>
      <c r="C85" s="199"/>
      <c r="D85" s="199"/>
      <c r="E85" s="376" t="n">
        <f aca="false">B85/(B58+B57)</f>
        <v>1801.57627009218</v>
      </c>
      <c r="F85" s="67"/>
      <c r="G85" s="265" t="s">
        <v>127</v>
      </c>
      <c r="H85" s="31" t="n">
        <f aca="false">((H83*H29)+H81)*1.2</f>
        <v>41890.271658683</v>
      </c>
      <c r="I85" s="199"/>
      <c r="J85" s="199"/>
      <c r="K85" s="200"/>
      <c r="L85" s="67"/>
      <c r="M85" s="265" t="s">
        <v>127</v>
      </c>
      <c r="N85" s="31" t="n">
        <f aca="false">((N83*H29)+N81)</f>
        <v>34729.8097155692</v>
      </c>
      <c r="O85" s="199"/>
      <c r="P85" s="199"/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((((B83*H29)+B81))/(1-B70))*B70</f>
        <v>313.475633933579</v>
      </c>
      <c r="C86" s="199"/>
      <c r="D86" s="199"/>
      <c r="E86" s="376" t="n">
        <f aca="false">B86/(B58+B57)</f>
        <v>13.0614847472325</v>
      </c>
      <c r="F86" s="67"/>
      <c r="G86" s="198" t="s">
        <v>128</v>
      </c>
      <c r="H86" s="37" t="n">
        <f aca="false">((((H83*H29)+H81))/(1-H70))*H70</f>
        <v>295.715915299295</v>
      </c>
      <c r="I86" s="199"/>
      <c r="J86" s="199"/>
      <c r="K86" s="200"/>
      <c r="L86" s="67"/>
      <c r="M86" s="198" t="s">
        <v>128</v>
      </c>
      <c r="N86" s="37" t="n">
        <f aca="false">(N85/(1-N70))*N70</f>
        <v>294.201695855971</v>
      </c>
      <c r="O86" s="199"/>
      <c r="P86" s="199"/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IF(B110="YES",((B85+B86)-E114),(B85+B86))</f>
        <v>43551.306116146</v>
      </c>
      <c r="C87" s="199"/>
      <c r="D87" s="199"/>
      <c r="E87" s="376" t="n">
        <f aca="false">E86+E85</f>
        <v>1814.63775483942</v>
      </c>
      <c r="F87" s="67"/>
      <c r="G87" s="262" t="s">
        <v>129</v>
      </c>
      <c r="H87" s="69" t="n">
        <f aca="false">IF(H110="YES",((H85+H86)-K114),(H85+H86))</f>
        <v>42185.9875739823</v>
      </c>
      <c r="I87" s="199"/>
      <c r="J87" s="199"/>
      <c r="K87" s="200"/>
      <c r="L87" s="67"/>
      <c r="M87" s="262" t="s">
        <v>129</v>
      </c>
      <c r="N87" s="69" t="n">
        <f aca="false">IF(N110="YES",((N85+N86)-Q114),(N85+N86))</f>
        <v>35024.0114114252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199"/>
      <c r="D88" s="199"/>
      <c r="E88" s="200"/>
      <c r="F88" s="67"/>
      <c r="G88" s="198"/>
      <c r="H88" s="36"/>
      <c r="I88" s="199"/>
      <c r="J88" s="199"/>
      <c r="K88" s="200"/>
      <c r="L88" s="67"/>
      <c r="M88" s="198"/>
      <c r="N88" s="36"/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7" t="n">
        <f aca="false">IF(B99=Y98,(D40+(D40*B105))/(B58),(D40+(D40*B105))/(B57+B58))*1.2*(C45/100)</f>
        <v>78</v>
      </c>
      <c r="C89" s="199"/>
      <c r="D89" s="199"/>
      <c r="E89" s="200"/>
      <c r="F89" s="67"/>
      <c r="G89" s="276" t="s">
        <v>130</v>
      </c>
      <c r="H89" s="277" t="n">
        <f aca="false">IF(H99=Y98,(D40+(D40*H105))/(H58),(D40+(D40*H105))/(H57+H58))*1.2</f>
        <v>59.5862068965517</v>
      </c>
      <c r="I89" s="199"/>
      <c r="J89" s="199"/>
      <c r="K89" s="200"/>
      <c r="L89" s="67"/>
      <c r="M89" s="276" t="s">
        <v>130</v>
      </c>
      <c r="N89" s="277" t="n">
        <f aca="false">IF(N99=Y98,(D40+(D40*N105))/(N58),(D40+(D40*N105))/(N57+N58))</f>
        <v>49.6551724137931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IF(B99=Y98,(B87-D105)/(B58),B87/(B57+B58))</f>
        <v>1814.63775483942</v>
      </c>
      <c r="C90" s="199"/>
      <c r="D90" s="199"/>
      <c r="E90" s="200"/>
      <c r="F90" s="67"/>
      <c r="G90" s="280" t="s">
        <v>131</v>
      </c>
      <c r="H90" s="281" t="n">
        <f aca="false">IF(H99=Y98,(H87-J105)/(H58),H87/(H57+H58))</f>
        <v>1454.68922668905</v>
      </c>
      <c r="I90" s="199"/>
      <c r="J90" s="199"/>
      <c r="K90" s="200"/>
      <c r="L90" s="67"/>
      <c r="M90" s="280" t="s">
        <v>131</v>
      </c>
      <c r="N90" s="281" t="n">
        <f aca="false">IF(N99=Y98,(N87-P105)/(N58),N87/(N57+N58))</f>
        <v>1207.72453142845</v>
      </c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1892.63775483942</v>
      </c>
      <c r="C91" s="199"/>
      <c r="D91" s="199"/>
      <c r="E91" s="200"/>
      <c r="F91" s="67"/>
      <c r="G91" s="282" t="s">
        <v>132</v>
      </c>
      <c r="H91" s="283" t="n">
        <f aca="false">IF(G105="YES",H90+H89,H90)</f>
        <v>1514.2754335856</v>
      </c>
      <c r="I91" s="199"/>
      <c r="J91" s="199"/>
      <c r="K91" s="200"/>
      <c r="L91" s="67"/>
      <c r="M91" s="282" t="s">
        <v>132</v>
      </c>
      <c r="N91" s="283" t="n">
        <f aca="false">IF(M105="YES",N90+N89,N90)</f>
        <v>1257.37970384225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263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262"/>
      <c r="N92" s="263"/>
      <c r="O92" s="263"/>
      <c r="P92" s="263"/>
      <c r="Q92" s="264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199"/>
      <c r="N93" s="199"/>
      <c r="O93" s="199"/>
      <c r="P93" s="199"/>
      <c r="Q93" s="199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56.25" hidden="false" customHeight="true" outlineLevel="0" collapsed="false">
      <c r="A94" s="197" t="s">
        <v>294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197" t="s">
        <v>352</v>
      </c>
      <c r="N94" s="197"/>
      <c r="O94" s="197"/>
      <c r="P94" s="197"/>
      <c r="Q94" s="19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/>
      <c r="F95" s="67"/>
      <c r="G95" s="198"/>
      <c r="H95" s="199"/>
      <c r="I95" s="199"/>
      <c r="J95" s="199"/>
      <c r="K95" s="200"/>
      <c r="L95" s="67"/>
      <c r="M95" s="198"/>
      <c r="N95" s="199"/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201" t="s">
        <v>137</v>
      </c>
      <c r="N96" s="201"/>
      <c r="O96" s="201"/>
      <c r="P96" s="201"/>
      <c r="Q96" s="201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199"/>
      <c r="C97" s="199"/>
      <c r="D97" s="199"/>
      <c r="E97" s="200"/>
      <c r="F97" s="67"/>
      <c r="G97" s="198"/>
      <c r="H97" s="199"/>
      <c r="I97" s="199"/>
      <c r="J97" s="199"/>
      <c r="K97" s="200"/>
      <c r="L97" s="67"/>
      <c r="M97" s="198"/>
      <c r="N97" s="199"/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 t="s">
        <v>141</v>
      </c>
      <c r="Z97" s="67"/>
      <c r="AC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198" t="s">
        <v>138</v>
      </c>
      <c r="N98" s="199" t="s">
        <v>36</v>
      </c>
      <c r="O98" s="199"/>
      <c r="P98" s="199" t="s">
        <v>295</v>
      </c>
      <c r="Q98" s="200"/>
      <c r="R98" s="67"/>
      <c r="S98" s="67"/>
      <c r="T98" s="67"/>
      <c r="U98" s="67"/>
      <c r="V98" s="67"/>
      <c r="W98" s="67"/>
      <c r="X98" s="67"/>
      <c r="Y98" s="67" t="s">
        <v>273</v>
      </c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1000</v>
      </c>
      <c r="E99" s="109"/>
      <c r="F99" s="67"/>
      <c r="G99" s="204" t="s">
        <v>296</v>
      </c>
      <c r="H99" s="284" t="s">
        <v>275</v>
      </c>
      <c r="I99" s="284"/>
      <c r="J99" s="109" t="n">
        <v>0</v>
      </c>
      <c r="K99" s="109"/>
      <c r="L99" s="67"/>
      <c r="M99" s="204" t="s">
        <v>296</v>
      </c>
      <c r="N99" s="284" t="s">
        <v>275</v>
      </c>
      <c r="O99" s="284"/>
      <c r="P99" s="109" t="n">
        <v>0</v>
      </c>
      <c r="Q99" s="109"/>
      <c r="R99" s="67"/>
      <c r="S99" s="67"/>
      <c r="T99" s="67"/>
      <c r="U99" s="67"/>
      <c r="V99" s="67"/>
      <c r="W99" s="67"/>
      <c r="X99" s="67"/>
      <c r="Y99" s="67" t="s">
        <v>274</v>
      </c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198"/>
      <c r="N100" s="199"/>
      <c r="O100" s="199"/>
      <c r="P100" s="199"/>
      <c r="Q100" s="200"/>
      <c r="R100" s="67"/>
      <c r="S100" s="67"/>
      <c r="T100" s="67"/>
      <c r="U100" s="67"/>
      <c r="V100" s="67"/>
      <c r="W100" s="67"/>
      <c r="X100" s="67"/>
      <c r="Y100" s="67" t="s">
        <v>275</v>
      </c>
      <c r="Z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299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198" t="s">
        <v>297</v>
      </c>
      <c r="N101" s="199" t="s">
        <v>298</v>
      </c>
      <c r="O101" s="199"/>
      <c r="P101" s="199" t="s">
        <v>299</v>
      </c>
      <c r="Q101" s="200"/>
      <c r="R101" s="67"/>
      <c r="S101" s="67"/>
      <c r="T101" s="67"/>
      <c r="U101" s="67"/>
      <c r="V101" s="67"/>
      <c r="W101" s="67"/>
      <c r="X101" s="67"/>
      <c r="Y101" s="67" t="s">
        <v>276</v>
      </c>
      <c r="Z101" s="67"/>
    </row>
    <row r="102" customFormat="false" ht="18.75" hidden="false" customHeight="true" outlineLevel="0" collapsed="false">
      <c r="A102" s="285" t="n">
        <v>239.99</v>
      </c>
      <c r="B102" s="109" t="n">
        <v>0.0</v>
      </c>
      <c r="C102" s="109"/>
      <c r="D102" s="109" t="n">
        <v>0.0</v>
      </c>
      <c r="E102" s="109"/>
      <c r="F102" s="67"/>
      <c r="G102" s="285" t="n">
        <v>199.99</v>
      </c>
      <c r="H102" s="109" t="n">
        <v>0</v>
      </c>
      <c r="I102" s="109"/>
      <c r="J102" s="109" t="n">
        <v>0</v>
      </c>
      <c r="K102" s="109"/>
      <c r="L102" s="67"/>
      <c r="M102" s="285" t="n">
        <v>199.99</v>
      </c>
      <c r="N102" s="109" t="n">
        <v>0</v>
      </c>
      <c r="O102" s="109"/>
      <c r="P102" s="109" t="n">
        <v>0</v>
      </c>
      <c r="Q102" s="109"/>
      <c r="R102" s="67"/>
      <c r="S102" s="67"/>
      <c r="T102" s="67"/>
      <c r="U102" s="67"/>
      <c r="V102" s="67"/>
      <c r="W102" s="67"/>
      <c r="X102" s="67"/>
      <c r="Y102" s="67" t="s">
        <v>277</v>
      </c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 t="s">
        <v>278</v>
      </c>
      <c r="Z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204" t="s">
        <v>139</v>
      </c>
      <c r="N104" s="67" t="s">
        <v>142</v>
      </c>
      <c r="O104" s="199"/>
      <c r="P104" s="199" t="s">
        <v>153</v>
      </c>
      <c r="Q104" s="200"/>
      <c r="R104" s="67"/>
      <c r="S104" s="67"/>
      <c r="T104" s="67"/>
      <c r="U104" s="67"/>
      <c r="V104" s="67"/>
      <c r="W104" s="67"/>
      <c r="X104" s="67"/>
      <c r="Y104" s="67" t="s">
        <v>279</v>
      </c>
      <c r="Z104" s="67"/>
    </row>
    <row r="105" customFormat="false" ht="18.75" hidden="false" customHeight="true" outlineLevel="0" collapsed="false">
      <c r="A105" s="206" t="s">
        <v>398</v>
      </c>
      <c r="B105" s="286" t="n">
        <v>0.0</v>
      </c>
      <c r="C105" s="286"/>
      <c r="D105" s="109" t="n">
        <v>200.0</v>
      </c>
      <c r="E105" s="109"/>
      <c r="F105" s="67"/>
      <c r="G105" s="206" t="s">
        <v>31</v>
      </c>
      <c r="H105" s="286" t="n">
        <v>0.2</v>
      </c>
      <c r="I105" s="286"/>
      <c r="J105" s="109"/>
      <c r="K105" s="109"/>
      <c r="L105" s="67"/>
      <c r="M105" s="206" t="s">
        <v>31</v>
      </c>
      <c r="N105" s="286" t="n">
        <v>0.2</v>
      </c>
      <c r="O105" s="286"/>
      <c r="P105" s="109" t="n">
        <v>0</v>
      </c>
      <c r="Q105" s="109"/>
      <c r="R105" s="67"/>
      <c r="S105" s="67"/>
      <c r="T105" s="67"/>
      <c r="U105" s="67"/>
      <c r="V105" s="67"/>
      <c r="W105" s="67"/>
      <c r="X105" s="67"/>
      <c r="Y105" s="67" t="s">
        <v>280</v>
      </c>
      <c r="Z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198"/>
      <c r="N107" s="199" t="s">
        <v>353</v>
      </c>
      <c r="O107" s="206" t="s">
        <v>31</v>
      </c>
      <c r="P107" s="199"/>
      <c r="Q107" s="200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18.75" hidden="false" customHeight="true" outlineLevel="0" collapsed="false">
      <c r="A108" s="201" t="s">
        <v>300</v>
      </c>
      <c r="B108" s="201"/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201" t="s">
        <v>300</v>
      </c>
      <c r="N108" s="201"/>
      <c r="O108" s="201"/>
      <c r="P108" s="201"/>
      <c r="Q108" s="201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18.75" hidden="false" customHeight="true" outlineLevel="0" collapsed="false">
      <c r="A110" s="198" t="s">
        <v>301</v>
      </c>
      <c r="B110" s="206" t="s">
        <v>398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198" t="s">
        <v>301</v>
      </c>
      <c r="N110" s="206" t="s">
        <v>32</v>
      </c>
      <c r="O110" s="199"/>
      <c r="P110" s="199"/>
      <c r="Q110" s="200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8.75" hidden="false" customHeight="true" outlineLevel="0" collapsed="false">
      <c r="A111" s="198"/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198"/>
      <c r="N111" s="199"/>
      <c r="O111" s="199"/>
      <c r="P111" s="199"/>
      <c r="Q111" s="200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0</v>
      </c>
      <c r="K112" s="109" t="n">
        <v>0</v>
      </c>
      <c r="L112" s="67"/>
      <c r="M112" s="198" t="s">
        <v>186</v>
      </c>
      <c r="N112" s="199"/>
      <c r="O112" s="199"/>
      <c r="P112" s="285" t="n">
        <v>500</v>
      </c>
      <c r="Q112" s="109" t="n">
        <v>300</v>
      </c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0</v>
      </c>
      <c r="K113" s="109" t="n">
        <v>0</v>
      </c>
      <c r="L113" s="67"/>
      <c r="M113" s="198" t="s">
        <v>187</v>
      </c>
      <c r="N113" s="199"/>
      <c r="O113" s="199"/>
      <c r="P113" s="43" t="n">
        <f aca="false">Q113</f>
        <v>100</v>
      </c>
      <c r="Q113" s="109" t="n">
        <v>100</v>
      </c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0</v>
      </c>
      <c r="K114" s="157" t="n">
        <f aca="false">K112-K113</f>
        <v>0</v>
      </c>
      <c r="L114" s="67"/>
      <c r="M114" s="198" t="s">
        <v>188</v>
      </c>
      <c r="N114" s="199"/>
      <c r="O114" s="199"/>
      <c r="P114" s="43" t="n">
        <f aca="false">P112-P113</f>
        <v>400</v>
      </c>
      <c r="Q114" s="157" t="n">
        <f aca="false">Q112-Q113</f>
        <v>200</v>
      </c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0</v>
      </c>
      <c r="K115" s="200"/>
      <c r="L115" s="67"/>
      <c r="M115" s="198" t="s">
        <v>189</v>
      </c>
      <c r="N115" s="199"/>
      <c r="O115" s="199"/>
      <c r="P115" s="43" t="n">
        <f aca="false">P114-Q114</f>
        <v>200</v>
      </c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198"/>
      <c r="N116" s="199"/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265" t="s">
        <v>149</v>
      </c>
      <c r="N117" s="266"/>
      <c r="O117" s="266"/>
      <c r="P117" s="266"/>
      <c r="Q117" s="31" t="n">
        <f aca="false">P99</f>
        <v>0</v>
      </c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239.99</v>
      </c>
      <c r="F118" s="67"/>
      <c r="G118" s="198" t="s">
        <v>66</v>
      </c>
      <c r="H118" s="199"/>
      <c r="I118" s="199"/>
      <c r="J118" s="199"/>
      <c r="K118" s="37" t="n">
        <f aca="false">G102</f>
        <v>199.99</v>
      </c>
      <c r="L118" s="67"/>
      <c r="M118" s="198" t="s">
        <v>66</v>
      </c>
      <c r="N118" s="199"/>
      <c r="O118" s="199"/>
      <c r="P118" s="199"/>
      <c r="Q118" s="37" t="n">
        <f aca="false">M102</f>
        <v>199.99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E118+E117-E114</f>
        <v>1239.99</v>
      </c>
      <c r="F119" s="67"/>
      <c r="G119" s="287" t="s">
        <v>302</v>
      </c>
      <c r="H119" s="263"/>
      <c r="I119" s="263"/>
      <c r="J119" s="263"/>
      <c r="K119" s="69" t="n">
        <f aca="false">((K118/1.2)+K117)-(J115-K113)</f>
        <v>166.658333333333</v>
      </c>
      <c r="L119" s="67"/>
      <c r="M119" s="287" t="s">
        <v>302</v>
      </c>
      <c r="N119" s="263"/>
      <c r="O119" s="263"/>
      <c r="P119" s="263"/>
      <c r="Q119" s="69" t="n">
        <f aca="false">(Q118+Q117)-P115</f>
        <v>-0.00999999999999091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198"/>
      <c r="N120" s="199"/>
      <c r="O120" s="199"/>
      <c r="P120" s="199"/>
      <c r="Q120" s="200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198"/>
      <c r="N121" s="199"/>
      <c r="O121" s="199"/>
      <c r="P121" s="199"/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201" t="s">
        <v>303</v>
      </c>
      <c r="N122" s="201"/>
      <c r="O122" s="201"/>
      <c r="P122" s="201"/>
      <c r="Q122" s="201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198"/>
      <c r="N123" s="199"/>
      <c r="O123" s="199"/>
      <c r="P123" s="199"/>
      <c r="Q123" s="200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0.0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198" t="s">
        <v>194</v>
      </c>
      <c r="N124" s="162" t="n">
        <v>0</v>
      </c>
      <c r="O124" s="162"/>
      <c r="P124" s="199"/>
      <c r="Q124" s="200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24</v>
      </c>
      <c r="C125" s="294"/>
      <c r="D125" s="293" t="n">
        <f aca="false">B160</f>
        <v>8000</v>
      </c>
      <c r="E125" s="291"/>
      <c r="F125" s="67"/>
      <c r="G125" s="198"/>
      <c r="H125" s="199"/>
      <c r="I125" s="199"/>
      <c r="J125" s="199"/>
      <c r="K125" s="200"/>
      <c r="L125" s="67"/>
      <c r="M125" s="198"/>
      <c r="N125" s="199"/>
      <c r="O125" s="199"/>
      <c r="P125" s="199"/>
      <c r="Q125" s="200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296" t="s">
        <v>306</v>
      </c>
      <c r="H126" s="297" t="s">
        <v>307</v>
      </c>
      <c r="I126" s="297"/>
      <c r="J126" s="297" t="s">
        <v>308</v>
      </c>
      <c r="K126" s="200"/>
      <c r="L126" s="67"/>
      <c r="M126" s="296" t="s">
        <v>354</v>
      </c>
      <c r="N126" s="297" t="s">
        <v>262</v>
      </c>
      <c r="O126" s="297"/>
      <c r="P126" s="297" t="s">
        <v>132</v>
      </c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300" t="n">
        <f aca="false">H90</f>
        <v>1454.68922668905</v>
      </c>
      <c r="H127" s="166" t="n">
        <f aca="false">IF(G105="YES",H89*H57,0)</f>
        <v>357.51724137931</v>
      </c>
      <c r="I127" s="166"/>
      <c r="J127" s="301" t="n">
        <f aca="false">H91</f>
        <v>1514.2754335856</v>
      </c>
      <c r="K127" s="200"/>
      <c r="L127" s="67"/>
      <c r="M127" s="300" t="n">
        <f aca="false">N90</f>
        <v>1207.72453142845</v>
      </c>
      <c r="N127" s="166" t="n">
        <f aca="false">IF(M105="YES",N89*N57,0)</f>
        <v>297.931034482759</v>
      </c>
      <c r="O127" s="166"/>
      <c r="P127" s="166" t="n">
        <f aca="false">N91</f>
        <v>1257.37970384225</v>
      </c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1814.63775483942</v>
      </c>
      <c r="B128" s="290" t="n">
        <f aca="false">IF(A105="YES",B89,0)</f>
        <v>78</v>
      </c>
      <c r="C128" s="294"/>
      <c r="D128" s="290" t="n">
        <f aca="false">B91</f>
        <v>1892.63775483942</v>
      </c>
      <c r="E128" s="291"/>
      <c r="F128" s="67"/>
      <c r="G128" s="198"/>
      <c r="H128" s="199"/>
      <c r="I128" s="199"/>
      <c r="J128" s="199"/>
      <c r="K128" s="200"/>
      <c r="L128" s="67"/>
      <c r="M128" s="198"/>
      <c r="N128" s="199"/>
      <c r="O128" s="199"/>
      <c r="P128" s="199"/>
      <c r="Q128" s="200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 t="s">
        <v>95</v>
      </c>
      <c r="H129" s="199" t="s">
        <v>96</v>
      </c>
      <c r="I129" s="199"/>
      <c r="J129" s="199" t="s">
        <v>98</v>
      </c>
      <c r="K129" s="200"/>
      <c r="L129" s="67"/>
      <c r="M129" s="198" t="s">
        <v>95</v>
      </c>
      <c r="N129" s="199" t="s">
        <v>96</v>
      </c>
      <c r="O129" s="199"/>
      <c r="P129" s="199" t="s">
        <v>98</v>
      </c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213" t="n">
        <f aca="false">G152</f>
        <v>24</v>
      </c>
      <c r="H130" s="168" t="n">
        <f aca="false">B151</f>
        <v>0</v>
      </c>
      <c r="I130" s="215"/>
      <c r="J130" s="214" t="n">
        <f aca="false">B58</f>
        <v>23</v>
      </c>
      <c r="K130" s="200"/>
      <c r="L130" s="67"/>
      <c r="M130" s="213" t="n">
        <f aca="false">M155</f>
        <v>24</v>
      </c>
      <c r="N130" s="168" t="n">
        <f aca="false">B151</f>
        <v>0</v>
      </c>
      <c r="O130" s="215"/>
      <c r="P130" s="214" t="n">
        <f aca="false">B58</f>
        <v>23</v>
      </c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1814.63775483942</v>
      </c>
      <c r="C131" s="199"/>
      <c r="D131" s="42" t="n">
        <f aca="false">IF(A105="YES",B89*B57,0)</f>
        <v>78</v>
      </c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198" t="s">
        <v>355</v>
      </c>
      <c r="N132" s="199" t="s">
        <v>252</v>
      </c>
      <c r="O132" s="199"/>
      <c r="P132" s="199" t="s">
        <v>256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8728.13536013427</v>
      </c>
      <c r="H133" s="42" t="n">
        <f aca="false">IF(G105="YES",H89*H57,0)</f>
        <v>357.51724137931</v>
      </c>
      <c r="I133" s="205"/>
      <c r="J133" s="170" t="n">
        <f aca="false">H91*H57</f>
        <v>9085.65260151358</v>
      </c>
      <c r="K133" s="200"/>
      <c r="L133" s="67"/>
      <c r="M133" s="171" t="n">
        <f aca="false">N90*N57</f>
        <v>7246.34718857072</v>
      </c>
      <c r="N133" s="42" t="n">
        <f aca="false">IF(M105="YES",N89*N57,0)</f>
        <v>297.931034482759</v>
      </c>
      <c r="O133" s="205"/>
      <c r="P133" s="170" t="n">
        <f aca="false">N91*N57</f>
        <v>7544.27822305348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1892.63775483942</v>
      </c>
      <c r="B134" s="42" t="n">
        <f aca="false">E114</f>
        <v>0</v>
      </c>
      <c r="C134" s="199"/>
      <c r="D134" s="303" t="n">
        <f aca="false">B58</f>
        <v>23</v>
      </c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198" t="s">
        <v>264</v>
      </c>
      <c r="N135" s="199" t="s">
        <v>265</v>
      </c>
      <c r="O135" s="199"/>
      <c r="P135" s="199" t="s">
        <v>269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0.31817277648</v>
      </c>
      <c r="H136" s="42" t="n">
        <f aca="false">IF(G105="YES",E15*0.000002,0)</f>
        <v>0.10605759216</v>
      </c>
      <c r="I136" s="42"/>
      <c r="J136" s="42" t="n">
        <f aca="false">G136+H136</f>
        <v>0.42423036864</v>
      </c>
      <c r="K136" s="107"/>
      <c r="L136" s="67"/>
      <c r="M136" s="113" t="n">
        <f aca="false">E15*0.000006</f>
        <v>0.31817277648</v>
      </c>
      <c r="N136" s="42" t="n">
        <f aca="false">IF(M105="YES",E15*0.000002,0)</f>
        <v>0.10605759216</v>
      </c>
      <c r="O136" s="42"/>
      <c r="P136" s="42" t="n">
        <f aca="false">M136+N136</f>
        <v>0.42423036864</v>
      </c>
      <c r="Q136" s="10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1814.63775483942</v>
      </c>
      <c r="B137" s="42" t="n">
        <f aca="false">IF(A105="YES",B89,0)</f>
        <v>78</v>
      </c>
      <c r="C137" s="199"/>
      <c r="D137" s="42" t="n">
        <f aca="false">B91</f>
        <v>1892.63775483942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198" t="s">
        <v>152</v>
      </c>
      <c r="N138" s="199" t="s">
        <v>320</v>
      </c>
      <c r="O138" s="199"/>
      <c r="P138" s="199" t="s">
        <v>321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199.99</v>
      </c>
      <c r="H139" s="42" t="n">
        <f aca="false">H67</f>
        <v>662.37495</v>
      </c>
      <c r="I139" s="42"/>
      <c r="J139" s="42" t="n">
        <f aca="false">H102*0.9</f>
        <v>0</v>
      </c>
      <c r="K139" s="107"/>
      <c r="L139" s="67"/>
      <c r="M139" s="113" t="n">
        <f aca="false">M102</f>
        <v>199.99</v>
      </c>
      <c r="N139" s="42" t="n">
        <f aca="false">N67</f>
        <v>662.37495</v>
      </c>
      <c r="O139" s="42"/>
      <c r="P139" s="42" t="n">
        <f aca="false">N102*0.9</f>
        <v>0</v>
      </c>
      <c r="Q139" s="10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(G18*0.000006)*1.2*100</f>
        <v>38.15279712</v>
      </c>
      <c r="B140" s="309" t="n">
        <f aca="false">IF(A105="YES",G18*0.000002,0)*1.2*100</f>
        <v>12.71759904</v>
      </c>
      <c r="C140" s="310"/>
      <c r="D140" s="309" t="n">
        <f aca="false">A140+B140</f>
        <v>50.87039616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198" t="s">
        <v>323</v>
      </c>
      <c r="N141" s="199" t="s">
        <v>324</v>
      </c>
      <c r="O141" s="199"/>
      <c r="P141" s="199" t="s">
        <v>325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IF(G105="YES",((B36*H105)*0.1)*(G130),0)</f>
        <v>24</v>
      </c>
      <c r="H142" s="42" t="n">
        <f aca="false">G102-100</f>
        <v>99.99</v>
      </c>
      <c r="I142" s="42"/>
      <c r="J142" s="42" t="n">
        <f aca="false">(H139+J139+G142+H142)-H145</f>
        <v>786.36495</v>
      </c>
      <c r="K142" s="107"/>
      <c r="L142" s="67"/>
      <c r="M142" s="113" t="n">
        <f aca="false">IF(M105="YES",((B36*N105)*0.1)*(M130),0)</f>
        <v>24</v>
      </c>
      <c r="N142" s="42" t="n">
        <f aca="false">M102-100</f>
        <v>99.99</v>
      </c>
      <c r="O142" s="42"/>
      <c r="P142" s="42" t="n">
        <f aca="false">(N139+P139+M142+N142)-N145</f>
        <v>786.36495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239.99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198" t="s">
        <v>327</v>
      </c>
      <c r="N144" s="199" t="s">
        <v>328</v>
      </c>
      <c r="O144" s="199"/>
      <c r="P144" s="199"/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v>0</v>
      </c>
      <c r="H145" s="42" t="n">
        <f aca="false">(H139+J139+G142+H142)*(G145/H64)</f>
        <v>0</v>
      </c>
      <c r="I145" s="199"/>
      <c r="J145" s="199"/>
      <c r="K145" s="200"/>
      <c r="L145" s="67"/>
      <c r="M145" s="113" t="n">
        <v>0</v>
      </c>
      <c r="N145" s="42" t="n">
        <f aca="false">(N139+P139+M142+N142)*(M145/N64)</f>
        <v>0</v>
      </c>
      <c r="O145" s="199"/>
      <c r="P145" s="199"/>
      <c r="Q145" s="200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113"/>
      <c r="N146" s="42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4" t="s">
        <v>356</v>
      </c>
      <c r="N147" s="43" t="s">
        <v>357</v>
      </c>
      <c r="O147" s="199"/>
      <c r="P147" s="199"/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IF(A105="YES",(B40*B105)*B125,0)*0.1</f>
        <v>36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348" t="n">
        <v>18000</v>
      </c>
      <c r="N148" s="349" t="n">
        <v>0.99</v>
      </c>
      <c r="O148" s="349"/>
      <c r="P148" s="199"/>
      <c r="Q148" s="200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198"/>
      <c r="N150" s="199"/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250.0</v>
      </c>
      <c r="B151" s="42" t="n">
        <f aca="false">(A148+B148+D148+A151)*(A143/B64)</f>
        <v>0</v>
      </c>
      <c r="C151" s="42"/>
      <c r="D151" s="42" t="n">
        <f aca="false">(A148+B148+D148+A151)-B151-A154</f>
        <v>736</v>
      </c>
      <c r="E151" s="107"/>
      <c r="F151" s="67"/>
      <c r="G151" s="233"/>
      <c r="H151" s="235" t="n">
        <f aca="false">B51</f>
        <v>8000</v>
      </c>
      <c r="I151" s="235"/>
      <c r="J151" s="199"/>
      <c r="K151" s="200"/>
      <c r="L151" s="67"/>
      <c r="M151" s="258" t="s">
        <v>333</v>
      </c>
      <c r="N151" s="199"/>
      <c r="O151" s="199"/>
      <c r="P151" s="259"/>
      <c r="Q151" s="26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24</v>
      </c>
      <c r="H152" s="78" t="n">
        <f aca="false">H91</f>
        <v>1514.2754335856</v>
      </c>
      <c r="I152" s="78"/>
      <c r="J152" s="199"/>
      <c r="K152" s="200"/>
      <c r="L152" s="67"/>
      <c r="M152" s="198"/>
      <c r="N152" s="232"/>
      <c r="O152" s="232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233" t="s">
        <v>95</v>
      </c>
      <c r="N153" s="234" t="s">
        <v>96</v>
      </c>
      <c r="O153" s="234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233"/>
      <c r="N154" s="235" t="n">
        <f aca="false">B51</f>
        <v>8000</v>
      </c>
      <c r="O154" s="235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237" t="n">
        <f aca="false">A52</f>
        <v>24</v>
      </c>
      <c r="N155" s="78" t="n">
        <f aca="false">N91</f>
        <v>1257.37970384225</v>
      </c>
      <c r="O155" s="78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198"/>
      <c r="N157" s="199"/>
      <c r="O157" s="199"/>
      <c r="P157" s="199"/>
      <c r="Q157" s="20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198"/>
      <c r="N158" s="199"/>
      <c r="O158" s="199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198"/>
      <c r="N159" s="199"/>
      <c r="O159" s="199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8000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198"/>
      <c r="N160" s="199"/>
      <c r="O160" s="199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24</v>
      </c>
      <c r="B161" s="78" t="n">
        <f aca="false">B91</f>
        <v>1892.63775483942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198"/>
      <c r="N161" s="199"/>
      <c r="O161" s="199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262"/>
      <c r="N162" s="263"/>
      <c r="O162" s="263"/>
      <c r="P162" s="263"/>
      <c r="Q162" s="264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198"/>
      <c r="B165" s="199"/>
      <c r="C165" s="199"/>
      <c r="D165" s="199"/>
      <c r="E165" s="200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62"/>
      <c r="B166" s="263"/>
      <c r="C166" s="263"/>
      <c r="D166" s="263"/>
      <c r="E166" s="264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293" t="n">
        <f aca="false">A161</f>
        <v>24</v>
      </c>
      <c r="C174" s="294"/>
      <c r="D174" s="293" t="n">
        <f aca="false">D125</f>
        <v>8000</v>
      </c>
      <c r="E174" s="291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B90</f>
        <v>1814.63775483942</v>
      </c>
      <c r="B177" s="290" t="n">
        <f aca="false">IF(A105="YES",B89,0)</f>
        <v>78</v>
      </c>
      <c r="C177" s="294"/>
      <c r="D177" s="290" t="n">
        <f aca="false">B91</f>
        <v>1892.63775483942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B99</f>
        <v> Monthly in advance </v>
      </c>
      <c r="B180" s="42" t="n">
        <f aca="false">B90*B57</f>
        <v>1814.63775483942</v>
      </c>
      <c r="C180" s="199"/>
      <c r="D180" s="42" t="n">
        <f aca="false">IF(A105="YES",B89*B57,0)</f>
        <v>78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B91*B57</f>
        <v>1892.63775483942</v>
      </c>
      <c r="B183" s="42" t="n">
        <f aca="false">E114</f>
        <v>0</v>
      </c>
      <c r="C183" s="199"/>
      <c r="D183" s="303" t="n">
        <f aca="false">B58</f>
        <v>23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B90</f>
        <v>1814.63775483942</v>
      </c>
      <c r="B186" s="42" t="n">
        <f aca="false">IF(A105="YES",B89,0)</f>
        <v>78</v>
      </c>
      <c r="C186" s="199"/>
      <c r="D186" s="42" t="n">
        <f aca="false">B91</f>
        <v>1892.63775483942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(G18*0.000006)*1.2*100</f>
        <v>38.15279712</v>
      </c>
      <c r="B189" s="309" t="n">
        <f aca="false">IF(A105="YES",G18*0.000002,0)*1.2*100</f>
        <v>12.71759904</v>
      </c>
      <c r="C189" s="310"/>
      <c r="D189" s="309" t="n">
        <f aca="false">A189+B189</f>
        <v>50.87039616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E118</f>
        <v>239.99</v>
      </c>
      <c r="C192" s="199"/>
      <c r="D192" s="142" t="n">
        <f aca="false">B102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B67</f>
        <v>250</v>
      </c>
      <c r="B197" s="42" t="n">
        <f aca="false">B102</f>
        <v>400</v>
      </c>
      <c r="C197" s="42"/>
      <c r="D197" s="42" t="n">
        <f aca="false">IF(A105="YES",(B40*B105)*B125,0)*0.1</f>
        <v>36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A151</f>
        <v>250</v>
      </c>
      <c r="B200" s="42" t="n">
        <f aca="false">(A148+B148+D148+A151)*(A143/B64)</f>
        <v>0</v>
      </c>
      <c r="C200" s="42"/>
      <c r="D200" s="42" t="n">
        <f aca="false">D151</f>
        <v>736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D102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0.095</v>
      </c>
      <c r="C209" s="290" t="s">
        <v>228</v>
      </c>
      <c r="D209" s="320" t="n">
        <f aca="false">D64</f>
        <v>4636.62465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870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5256.62465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D64</f>
        <v>4636.62465</v>
      </c>
      <c r="C217" s="223" t="s">
        <v>234</v>
      </c>
      <c r="D217" s="199"/>
      <c r="E217" s="270" t="n">
        <f aca="false">B66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B67</f>
        <v>250</v>
      </c>
      <c r="C219" s="205" t="s">
        <v>336</v>
      </c>
      <c r="D219" s="303"/>
      <c r="E219" s="88" t="n">
        <f aca="false">J15</f>
        <v>0.15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B197*E219</f>
        <v>60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B78-(B78*(E219))</f>
        <v>200</v>
      </c>
      <c r="C223" s="205" t="s">
        <v>231</v>
      </c>
      <c r="D223" s="199"/>
      <c r="E223" s="37" t="n">
        <f aca="false">(B217-B211+D211)</f>
        <v>5256.62465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360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B71</f>
        <v>160</v>
      </c>
      <c r="C229" s="205" t="s">
        <v>239</v>
      </c>
      <c r="D229" s="312"/>
      <c r="E229" s="140" t="n">
        <f aca="false">B72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D73</f>
        <v>268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B68</f>
        <v>0.0075</v>
      </c>
      <c r="C231" s="205" t="s">
        <v>242</v>
      </c>
      <c r="D231" s="312"/>
      <c r="E231" s="270" t="n">
        <f aca="false">B69</f>
        <v>0.15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B86</f>
        <v>313.475633933579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B79</f>
        <v>300</v>
      </c>
      <c r="C233" s="327" t="s">
        <v>340</v>
      </c>
      <c r="D233" s="328"/>
      <c r="E233" s="140" t="n">
        <f aca="false">B74</f>
        <v>180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B80</f>
        <v>100</v>
      </c>
      <c r="C235" s="331" t="s">
        <v>341</v>
      </c>
      <c r="D235" s="331"/>
      <c r="E235" s="140" t="n">
        <f aca="false">B75</f>
        <v>370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2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8:E28"/>
    <mergeCell ref="B30:C30"/>
    <mergeCell ref="G38:H38"/>
    <mergeCell ref="B40:C40"/>
    <mergeCell ref="C44:D44"/>
    <mergeCell ref="C45:D45"/>
    <mergeCell ref="A50:A51"/>
    <mergeCell ref="B50:C50"/>
    <mergeCell ref="B51:C51"/>
    <mergeCell ref="B52:C52"/>
    <mergeCell ref="A94:E94"/>
    <mergeCell ref="G94:K94"/>
    <mergeCell ref="M94:Q94"/>
    <mergeCell ref="A96:E96"/>
    <mergeCell ref="G96:K96"/>
    <mergeCell ref="M96:Q96"/>
    <mergeCell ref="B99:C99"/>
    <mergeCell ref="D99:E99"/>
    <mergeCell ref="H99:I99"/>
    <mergeCell ref="J99:K99"/>
    <mergeCell ref="N99:O99"/>
    <mergeCell ref="P99:Q99"/>
    <mergeCell ref="B102:C102"/>
    <mergeCell ref="D102:E102"/>
    <mergeCell ref="H102:I102"/>
    <mergeCell ref="J102:K102"/>
    <mergeCell ref="N102:O102"/>
    <mergeCell ref="P102:Q102"/>
    <mergeCell ref="B105:C105"/>
    <mergeCell ref="D105:E105"/>
    <mergeCell ref="H105:I105"/>
    <mergeCell ref="J105:K105"/>
    <mergeCell ref="N105:O105"/>
    <mergeCell ref="P105:Q105"/>
    <mergeCell ref="A108:E108"/>
    <mergeCell ref="G108:K108"/>
    <mergeCell ref="M108:Q108"/>
    <mergeCell ref="A122:E122"/>
    <mergeCell ref="G122:K122"/>
    <mergeCell ref="M122:Q122"/>
    <mergeCell ref="H124:I124"/>
    <mergeCell ref="N124:O124"/>
    <mergeCell ref="N148:O148"/>
    <mergeCell ref="G150:G151"/>
    <mergeCell ref="H150:I150"/>
    <mergeCell ref="H151:I151"/>
    <mergeCell ref="H152:I152"/>
    <mergeCell ref="M153:M154"/>
    <mergeCell ref="N153:O153"/>
    <mergeCell ref="N154:O154"/>
    <mergeCell ref="N155:O155"/>
    <mergeCell ref="A159:A160"/>
    <mergeCell ref="B159:C159"/>
    <mergeCell ref="B160:C160"/>
    <mergeCell ref="B161:C161"/>
    <mergeCell ref="A171:E171"/>
    <mergeCell ref="A207:E207"/>
  </mergeCells>
  <dataValidations count="3">
    <dataValidation allowBlank="true" errorStyle="stop" operator="between" showDropDown="false" showErrorMessage="true" showInputMessage="false" sqref="A18:A20 H99 N99 G105 M105 O107 H110 N110" type="list">
      <formula1>#ref!</formula1>
      <formula2>0</formula2>
    </dataValidation>
    <dataValidation allowBlank="true" errorStyle="stop" operator="between" showDropDown="false" showErrorMessage="true" showInputMessage="false" sqref="B99" type="list">
      <formula1>$Y$97:$Y$105</formula1>
      <formula2>0</formula2>
    </dataValidation>
    <dataValidation allowBlank="true" errorStyle="stop" operator="between" showDropDown="false" showErrorMessage="true" showInputMessage="false" sqref="B26 A105 B110" type="list">
      <formula1>$I$3:$I$4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2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B221" activeCellId="0" sqref="B221"/>
    </sheetView>
  </sheetViews>
  <sheetFormatPr defaultColWidth="10.87890625" defaultRowHeight="14.25" customHeight="true" zeroHeight="false" outlineLevelRow="0" outlineLevelCol="0"/>
  <cols>
    <col min="1" max="1" customWidth="true" hidden="false" style="1" width="56.0" collapsed="false" outlineLevel="0"/>
    <col min="2" max="2" customWidth="true" hidden="false" style="1" width="18.12" collapsed="false" outlineLevel="0"/>
    <col min="3" max="3" customWidth="true" hidden="false" style="1" width="25.12" collapsed="false" outlineLevel="0"/>
    <col min="4" max="4" customWidth="true" hidden="false" style="1" width="18.12" collapsed="false" outlineLevel="0"/>
    <col min="5" max="5" customWidth="true" hidden="false" style="1" width="24.0" collapsed="false" outlineLevel="0"/>
    <col min="7" max="7" customWidth="true" hidden="false" style="1" width="53.5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38.2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42" t="n">
        <v>44008.33</v>
      </c>
      <c r="C3" s="239" t="n">
        <v>0.0</v>
      </c>
      <c r="D3" s="242" t="n">
        <v>0.0</v>
      </c>
      <c r="E3" s="354" t="n">
        <v>0</v>
      </c>
      <c r="F3" s="67" t="s">
        <v>10</v>
      </c>
      <c r="G3" s="67" t="n">
        <v>25000</v>
      </c>
      <c r="H3" s="67"/>
      <c r="I3" s="67" t="s">
        <v>31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1" t="n">
        <v>10.0</v>
      </c>
      <c r="C4" s="1" t="n">
        <v>0.0</v>
      </c>
      <c r="D4" s="1" t="n">
        <v>0.0</v>
      </c>
      <c r="E4" s="270"/>
      <c r="F4" s="67" t="s">
        <v>10</v>
      </c>
      <c r="G4" s="67"/>
      <c r="H4" s="67"/>
      <c r="I4" s="67" t="s">
        <v>32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22.0</v>
      </c>
      <c r="C5" s="239" t="n">
        <v>0.0</v>
      </c>
      <c r="D5" s="239" t="n">
        <v>0.0</v>
      </c>
      <c r="E5" s="37"/>
      <c r="F5" s="67" t="s">
        <v>10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4422.833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39585.497</v>
      </c>
      <c r="C7" s="36" t="n">
        <f aca="false">C3-C6</f>
        <v>0</v>
      </c>
      <c r="D7" s="36" t="n">
        <f aca="false">D3-D6</f>
        <v>0</v>
      </c>
      <c r="E7" s="37"/>
      <c r="F7" s="67"/>
      <c r="G7" s="364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7.35" hidden="false" customHeight="false" outlineLevel="0" collapsed="false">
      <c r="A8" s="198"/>
      <c r="B8" s="199"/>
      <c r="C8" s="199"/>
      <c r="D8" s="199"/>
      <c r="E8" s="200"/>
      <c r="F8" s="67"/>
      <c r="G8" s="365" t="n">
        <f aca="false">G9*100/B3</f>
        <v>-254.795330035624</v>
      </c>
      <c r="H8" s="67"/>
      <c r="I8" s="18" t="s">
        <v>17</v>
      </c>
      <c r="J8" s="14" t="n">
        <f aca="false">E13+E14</f>
        <v>1010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 t="n">
        <v>18875</v>
      </c>
      <c r="C9" s="391"/>
      <c r="D9" s="391"/>
      <c r="E9" s="406" t="n">
        <f aca="false">(B7+C7+D7+E3)</f>
        <v>39585.497</v>
      </c>
      <c r="F9" s="67"/>
      <c r="G9" s="364" t="n">
        <f aca="false">E9-G11</f>
        <v>-112131.169666667</v>
      </c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670.83</v>
      </c>
      <c r="F10" s="67"/>
      <c r="G10" s="364"/>
      <c r="H10" s="67"/>
      <c r="I10" s="20" t="s">
        <v>15</v>
      </c>
      <c r="J10" s="14" t="n">
        <f aca="false">E15-E11-J8</f>
        <v>40256.327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 t="n">
        <v>0</v>
      </c>
      <c r="C11" s="393"/>
      <c r="D11" s="393"/>
      <c r="E11" s="37" t="n">
        <f aca="false">(E9+E10)*0.2</f>
        <v>8051.2654</v>
      </c>
      <c r="F11" s="67"/>
      <c r="G11" s="364" t="n">
        <f aca="false">G13/1.2</f>
        <v>151716.666666667</v>
      </c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 t="n">
        <v>0</v>
      </c>
      <c r="C13" s="393"/>
      <c r="D13" s="393"/>
      <c r="E13" s="354" t="n">
        <v>945.0</v>
      </c>
      <c r="F13" s="67"/>
      <c r="G13" s="364" t="n">
        <f aca="false">G15-E14-E13-E12</f>
        <v>182060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65.0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407" t="n">
        <f aca="false">(E9+E10+E13+E14+E11)-E12</f>
        <v>49317.5924</v>
      </c>
      <c r="F15" s="67"/>
      <c r="G15" s="21" t="n">
        <v>183070</v>
      </c>
      <c r="H15" s="67"/>
      <c r="I15" s="67" t="s">
        <v>283</v>
      </c>
      <c r="J15" s="67" t="n">
        <v>0.1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13.0</v>
      </c>
      <c r="F16" s="67"/>
      <c r="G16" s="366" t="n">
        <f aca="false">(B3+C3+E10)*1.2</f>
        <v>53614.992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 t="n">
        <v>0</v>
      </c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53614.992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100.0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49181.9924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364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4" t="s">
        <v>139</v>
      </c>
      <c r="B26" s="206" t="s">
        <v>398</v>
      </c>
      <c r="C26" s="199"/>
      <c r="D26" s="199"/>
      <c r="E26" s="200"/>
      <c r="F26" s="67"/>
      <c r="G26" s="202" t="s">
        <v>36</v>
      </c>
      <c r="H26" s="202" t="s">
        <v>37</v>
      </c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38</v>
      </c>
      <c r="H27" s="203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1" t="s">
        <v>193</v>
      </c>
      <c r="B28" s="201"/>
      <c r="C28" s="201"/>
      <c r="D28" s="201"/>
      <c r="E28" s="201"/>
      <c r="F28" s="67"/>
      <c r="G28" s="203" t="s">
        <v>40</v>
      </c>
      <c r="H28" s="203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198"/>
      <c r="B29" s="199"/>
      <c r="C29" s="199"/>
      <c r="D29" s="199"/>
      <c r="E29" s="200"/>
      <c r="F29" s="67"/>
      <c r="G29" s="202" t="s">
        <v>41</v>
      </c>
      <c r="H29" s="367" t="n">
        <v>36.0</v>
      </c>
      <c r="I29" s="67"/>
      <c r="J29" s="67"/>
      <c r="K29" s="67" t="n">
        <v>36</v>
      </c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 t="s">
        <v>194</v>
      </c>
      <c r="B30" s="162" t="s">
        <v>359</v>
      </c>
      <c r="C30" s="162"/>
      <c r="D30" s="199"/>
      <c r="E30" s="200"/>
      <c r="F30" s="67"/>
      <c r="G30" s="202" t="s">
        <v>45</v>
      </c>
      <c r="H30" s="367" t="n">
        <v>10000.0</v>
      </c>
      <c r="I30" s="67"/>
      <c r="J30" s="67"/>
      <c r="K30" s="67" t="n">
        <v>10000</v>
      </c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198"/>
      <c r="B31" s="199"/>
      <c r="C31" s="199"/>
      <c r="D31" s="199"/>
      <c r="E31" s="200"/>
      <c r="F31" s="67"/>
      <c r="G31" s="202" t="s">
        <v>48</v>
      </c>
      <c r="H31" s="46" t="n">
        <v>20000.0</v>
      </c>
      <c r="I31" s="67"/>
      <c r="J31" s="67"/>
      <c r="K31" s="67" t="n">
        <v>10000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198" t="s">
        <v>95</v>
      </c>
      <c r="B32" s="199" t="s">
        <v>96</v>
      </c>
      <c r="C32" s="199"/>
      <c r="D32" s="368" t="s">
        <v>365</v>
      </c>
      <c r="E32" s="200"/>
      <c r="F32" s="67"/>
      <c r="G32" s="202" t="s">
        <v>49</v>
      </c>
      <c r="I32" s="46" t="n">
        <v>0.0</v>
      </c>
      <c r="J32" s="67"/>
      <c r="K32" s="67" t="n">
        <v>14400</v>
      </c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31.5" hidden="false" customHeight="true" outlineLevel="0" collapsed="false">
      <c r="A33" s="213" t="n">
        <f aca="false">A52</f>
        <v>35</v>
      </c>
      <c r="B33" s="214" t="n">
        <v>10000</v>
      </c>
      <c r="C33" s="215"/>
      <c r="D33" s="369" t="n">
        <f aca="false">H48</f>
        <v>1074.45237724181</v>
      </c>
      <c r="E33" s="200"/>
      <c r="F33" s="67"/>
      <c r="G33" s="203" t="s">
        <v>366</v>
      </c>
      <c r="H33" s="52" t="n">
        <f aca="false">E21-E11+((E16*20%)+(E19*20%)+(E20*20%))</f>
        <v>41153.327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198"/>
      <c r="B34" s="199"/>
      <c r="C34" s="199"/>
      <c r="D34" s="199"/>
      <c r="E34" s="200"/>
      <c r="F34" s="67"/>
      <c r="G34" s="67" t="s">
        <v>382</v>
      </c>
      <c r="H34" s="67" t="n">
        <f aca="false">H29</f>
        <v>35</v>
      </c>
      <c r="I34" s="67" t="n">
        <v>43957.29</v>
      </c>
      <c r="J34" s="67" t="n">
        <v>841.24</v>
      </c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198" t="s">
        <v>367</v>
      </c>
      <c r="B35" s="199" t="s">
        <v>368</v>
      </c>
      <c r="C35" s="199"/>
      <c r="D35" s="199" t="s">
        <v>369</v>
      </c>
      <c r="E35" s="200"/>
      <c r="F35" s="67"/>
      <c r="G35" s="55" t="s">
        <v>59</v>
      </c>
      <c r="H35" s="218" t="n">
        <v>0.075</v>
      </c>
      <c r="I35" s="67" t="n">
        <v>46215.83</v>
      </c>
      <c r="J35" s="67" t="n">
        <v>909.69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71" t="n">
        <f aca="false">H47</f>
        <v>999.442377241814</v>
      </c>
      <c r="B36" s="42" t="n">
        <f aca="false">IF(B26="YES",H42,"")</f>
        <v>75.01</v>
      </c>
      <c r="C36" s="205"/>
      <c r="D36" s="170" t="n">
        <f aca="false">H31</f>
        <v>14750</v>
      </c>
      <c r="E36" s="200"/>
      <c r="F36" s="67"/>
      <c r="G36" s="67"/>
      <c r="H36" s="67"/>
      <c r="I36" s="67" t="n">
        <f aca="false">I35-I34</f>
        <v>2258.54</v>
      </c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113"/>
      <c r="B37" s="42"/>
      <c r="C37" s="205"/>
      <c r="D37" s="42"/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198"/>
      <c r="B38" s="199"/>
      <c r="C38" s="199"/>
      <c r="D38" s="199"/>
      <c r="E38" s="200"/>
      <c r="F38" s="67"/>
      <c r="G38" s="227" t="s">
        <v>65</v>
      </c>
      <c r="H38" s="22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198" t="s">
        <v>370</v>
      </c>
      <c r="B39" s="199" t="s">
        <v>371</v>
      </c>
      <c r="C39" s="199"/>
      <c r="D39" s="199" t="s">
        <v>372</v>
      </c>
      <c r="E39" s="200"/>
      <c r="F39" s="67"/>
      <c r="G39" s="67" t="s">
        <v>97</v>
      </c>
      <c r="H39" s="7" t="n">
        <f aca="false">H33</f>
        <v>41153.327</v>
      </c>
      <c r="I39" s="7" t="n">
        <f aca="false">(I48*H46)+H44</f>
        <v>51358.8665607928</v>
      </c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109" t="n">
        <f aca="false">D36*A45/100</f>
        <v>14750</v>
      </c>
      <c r="B40" s="109" t="n">
        <f aca="false">IF(B26="YES",H42,"0")</f>
        <v>75.01</v>
      </c>
      <c r="C40" s="109"/>
      <c r="D40" s="170" t="n">
        <f aca="false">I32</f>
        <v>5250.7</v>
      </c>
      <c r="E40" s="200"/>
      <c r="F40" s="67"/>
      <c r="G40" s="67" t="s">
        <v>119</v>
      </c>
      <c r="H40" s="7" t="n">
        <f aca="false">A40/1.2</f>
        <v>12291.6666666667</v>
      </c>
      <c r="I40" s="7" t="n">
        <f aca="false">H39-I39</f>
        <v>-10205.5395607928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98"/>
      <c r="B41" s="199"/>
      <c r="C41" s="199"/>
      <c r="D41" s="199"/>
      <c r="E41" s="200"/>
      <c r="F41" s="67"/>
      <c r="G41" s="67" t="s">
        <v>373</v>
      </c>
      <c r="H41" s="225" t="n">
        <f aca="false">H35/12</f>
        <v>0.00625</v>
      </c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198"/>
      <c r="B42" s="199"/>
      <c r="C42" s="199"/>
      <c r="D42" s="199"/>
      <c r="E42" s="200"/>
      <c r="F42" s="67"/>
      <c r="G42" s="67" t="s">
        <v>374</v>
      </c>
      <c r="H42" s="7" t="n">
        <f aca="false">(I32/H34)*(C45/100)</f>
        <v>75.01</v>
      </c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65"/>
      <c r="B43" s="266"/>
      <c r="C43" s="266"/>
      <c r="D43" s="266"/>
      <c r="E43" s="267"/>
      <c r="F43" s="67"/>
      <c r="G43" s="67" t="s">
        <v>375</v>
      </c>
      <c r="H43" s="67"/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370" t="s">
        <v>89</v>
      </c>
      <c r="B44" s="199"/>
      <c r="C44" s="371" t="s">
        <v>90</v>
      </c>
      <c r="D44" s="371"/>
      <c r="E44" s="200"/>
      <c r="F44" s="67"/>
      <c r="G44" s="67" t="s">
        <v>383</v>
      </c>
      <c r="H44" s="7" t="n">
        <f aca="false">(H40/(1+H41)^(H34+1))</f>
        <v>9821.97021337572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372" t="n">
        <v>100.0</v>
      </c>
      <c r="B45" s="199"/>
      <c r="C45" s="373" t="n">
        <v>50</v>
      </c>
      <c r="D45" s="373"/>
      <c r="E45" s="200"/>
      <c r="F45" s="67"/>
      <c r="G45" s="67" t="s">
        <v>384</v>
      </c>
      <c r="H45" s="7" t="n">
        <f aca="false">(H39-H44)</f>
        <v>31331.3567866243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62"/>
      <c r="B46" s="263"/>
      <c r="C46" s="263"/>
      <c r="D46" s="263"/>
      <c r="E46" s="264"/>
      <c r="F46" s="67"/>
      <c r="G46" s="67" t="s">
        <v>385</v>
      </c>
      <c r="H46" s="7" t="n">
        <f aca="false">((1-(1/((1+H41)^H34)))/H41)</f>
        <v>31.3488376119194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198"/>
      <c r="B47" s="199"/>
      <c r="C47" s="199"/>
      <c r="D47" s="199"/>
      <c r="E47" s="200"/>
      <c r="F47" s="67"/>
      <c r="G47" s="67" t="s">
        <v>379</v>
      </c>
      <c r="H47" s="7" t="n">
        <f aca="false">H45/H46</f>
        <v>999.442377241814</v>
      </c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374" t="s">
        <v>380</v>
      </c>
      <c r="H48" s="7" t="n">
        <f aca="false">IF(B26="YES",H47+H42,H47)</f>
        <v>1074.45237724181</v>
      </c>
      <c r="I48" s="7" t="n">
        <f aca="false">I49-H42</f>
        <v>1324.99</v>
      </c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 t="s">
        <v>381</v>
      </c>
      <c r="H49" s="261"/>
      <c r="I49" s="7" t="n">
        <v>1400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35000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35</v>
      </c>
      <c r="B52" s="78" t="n">
        <f aca="false">H48</f>
        <v>1074.45237724181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199"/>
      <c r="N55" s="199"/>
      <c r="O55" s="199"/>
      <c r="P55" s="199"/>
      <c r="Q55" s="199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265"/>
      <c r="N56" s="266"/>
      <c r="O56" s="266"/>
      <c r="P56" s="266"/>
      <c r="Q56" s="2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IF(B99=Y97,1,IF(B99=Y98,1,IF(B99=Y99,3,IF(B99=Y100,6,IF(B99=Y101,9,IF(B99=Y102,12,IF(B99=Y103,3,IF(B99=Y104,6,IF(B99=Y105,9,0)))))))))</f>
        <v>1</v>
      </c>
      <c r="C57" s="199"/>
      <c r="D57" s="199"/>
      <c r="E57" s="200"/>
      <c r="F57" s="67"/>
      <c r="G57" s="198" t="s">
        <v>97</v>
      </c>
      <c r="H57" s="199" t="n">
        <f aca="false">IF(H99=Y97,1,IF(H99=Y98,1,IF(H99=Y99,3,IF(H99=Y100,6,IF(H99=Y101,9,IF(H99=Y102,12,IF(H99=Y103,3,IF(H99=Y104,6,IF(H99=Y105,9,0)))))))))</f>
        <v>6</v>
      </c>
      <c r="I57" s="199"/>
      <c r="J57" s="199"/>
      <c r="K57" s="200"/>
      <c r="L57" s="67"/>
      <c r="M57" s="198" t="s">
        <v>97</v>
      </c>
      <c r="N57" s="199" t="n">
        <f aca="false">IF(N99=Y97,1,IF(N99=Y98,1,IF(N99=Y99,3,IF(N99=Y100,6,IF(N99=Y101,9,IF(N99=Y102,12,IF(N99=Y103,3,IF(N99=Y104,6,IF(N99=Y105,9,0)))))))))</f>
        <v>6</v>
      </c>
      <c r="O57" s="199"/>
      <c r="P57" s="199"/>
      <c r="Q57" s="200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IF(B99=Y97,H29-B57,IF(B99=Y98,H29-B57,IF(B99=Y99,H29-1,IF(B99=Y100,H29-1,IF(B99=Y101,H29-1,IF(B99=Y102,H29-1,IF(B99=Y103,H29-B57,IF(B99=Y104,H29-B57,IF(B99=Y105,H29-B57,0)))))))))</f>
        <v>34</v>
      </c>
      <c r="C58" s="199"/>
      <c r="D58" s="199"/>
      <c r="E58" s="200"/>
      <c r="F58" s="67"/>
      <c r="G58" s="198" t="s">
        <v>98</v>
      </c>
      <c r="H58" s="199" t="n">
        <f aca="false">IF(H99=Y97,H29-H57,IF(H99=Y98,H29-H57,IF(H99=Y99,H29-1,IF(H99=Y100,H29-1,IF(H99=Y101,H29-1,IF(H99=Y102,H29-1,IF(H99=Y103,H29-H57,IF(H99=Y104,H29-H57,IF(H99=Y105,H29-H57,0)))))))))</f>
        <v>34</v>
      </c>
      <c r="I58" s="199"/>
      <c r="J58" s="199"/>
      <c r="K58" s="200"/>
      <c r="L58" s="67"/>
      <c r="M58" s="198" t="s">
        <v>98</v>
      </c>
      <c r="N58" s="199" t="n">
        <f aca="false">IF(N99=Y97,H29-N57,IF(N99=Y98,H29-N57,IF(N99=Y99,H29-1,IF(N99=Y100,H29-1,IF(N99=Y101,H29-1,IF(N99=Y102,H29-1,IF(N99=Y103,H29-N57,IF(N99=Y104,H29-N57,IF(N99=Y105,H29-N57,0)))))))))</f>
        <v>34</v>
      </c>
      <c r="O58" s="199"/>
      <c r="P58" s="199"/>
      <c r="Q58" s="200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198"/>
      <c r="N59" s="199"/>
      <c r="O59" s="199"/>
      <c r="P59" s="199"/>
      <c r="Q59" s="200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/>
      <c r="B60" s="199"/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198"/>
      <c r="N60" s="199"/>
      <c r="O60" s="199"/>
      <c r="P60" s="199"/>
      <c r="Q60" s="200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f aca="false">G18</f>
        <v>53614.992</v>
      </c>
      <c r="C61" s="199"/>
      <c r="D61" s="199"/>
      <c r="E61" s="200"/>
      <c r="F61" s="67"/>
      <c r="G61" s="198" t="s">
        <v>27</v>
      </c>
      <c r="H61" s="36" t="n">
        <f aca="false">G18</f>
        <v>53614.992</v>
      </c>
      <c r="I61" s="199"/>
      <c r="J61" s="199"/>
      <c r="K61" s="200"/>
      <c r="L61" s="67"/>
      <c r="M61" s="198" t="s">
        <v>27</v>
      </c>
      <c r="N61" s="36" t="n">
        <f aca="false">G18</f>
        <v>53614.992</v>
      </c>
      <c r="O61" s="199"/>
      <c r="P61" s="199"/>
      <c r="Q61" s="200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268" t="s">
        <v>287</v>
      </c>
      <c r="N62" s="269" t="n">
        <v>0.07</v>
      </c>
      <c r="O62" s="199"/>
      <c r="P62" s="199"/>
      <c r="Q62" s="200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0.1035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0.103541666666667</v>
      </c>
      <c r="I63" s="199"/>
      <c r="J63" s="199"/>
      <c r="K63" s="200"/>
      <c r="L63" s="67"/>
      <c r="M63" s="198" t="s">
        <v>288</v>
      </c>
      <c r="N63" s="270" t="n">
        <f aca="false">N62+(N62*0.25*(H29/12-1))</f>
        <v>0.103541666666667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C64</f>
        <v>5549.151672</v>
      </c>
      <c r="C64" s="375" t="n">
        <v>10000.0</v>
      </c>
      <c r="D64" s="36" t="n">
        <f aca="false">B64</f>
        <v>5549.151672</v>
      </c>
      <c r="E64" s="376" t="n">
        <f aca="false">D64/(B58+B57)</f>
        <v>158.547190628571</v>
      </c>
      <c r="F64" s="67"/>
      <c r="G64" s="262" t="s">
        <v>103</v>
      </c>
      <c r="H64" s="69" t="n">
        <f aca="false">H61*H63</f>
        <v>5551.38563</v>
      </c>
      <c r="I64" s="199"/>
      <c r="J64" s="36" t="n">
        <f aca="false">H64-G145</f>
        <v>5551.38563</v>
      </c>
      <c r="K64" s="200"/>
      <c r="L64" s="67"/>
      <c r="M64" s="262" t="s">
        <v>103</v>
      </c>
      <c r="N64" s="69" t="n">
        <f aca="false">N61*N63</f>
        <v>5551.38563</v>
      </c>
      <c r="O64" s="199"/>
      <c r="P64" s="36" t="n">
        <f aca="false">N64-M145</f>
        <v>5551.38563</v>
      </c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396</v>
      </c>
      <c r="B65" s="271" t="n">
        <v>250.0</v>
      </c>
      <c r="C65" s="199"/>
      <c r="D65" s="36"/>
      <c r="E65" s="200"/>
      <c r="F65" s="67"/>
      <c r="G65" s="268" t="s">
        <v>104</v>
      </c>
      <c r="H65" s="269" t="n">
        <v>0.01</v>
      </c>
      <c r="I65" s="199"/>
      <c r="J65" s="199"/>
      <c r="K65" s="200"/>
      <c r="L65" s="67"/>
      <c r="M65" s="268" t="s">
        <v>104</v>
      </c>
      <c r="N65" s="269" t="n">
        <v>0.01</v>
      </c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377" t="s">
        <v>234</v>
      </c>
      <c r="D66" s="199"/>
      <c r="E66" s="200"/>
      <c r="F66" s="67"/>
      <c r="G66" s="198" t="s">
        <v>105</v>
      </c>
      <c r="H66" s="270" t="n">
        <f aca="false">H65+(H65*0.5*(H29/12-1))</f>
        <v>0.0195833333333333</v>
      </c>
      <c r="I66" s="199"/>
      <c r="J66" s="199"/>
      <c r="K66" s="200"/>
      <c r="L66" s="67"/>
      <c r="M66" s="198" t="s">
        <v>105</v>
      </c>
      <c r="N66" s="270" t="n">
        <f aca="false">N65+(N65*0.5*(H29/12-1))</f>
        <v>0.0195833333333333</v>
      </c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378" t="s">
        <v>234</v>
      </c>
      <c r="D67" s="379"/>
      <c r="E67" s="200"/>
      <c r="F67" s="67"/>
      <c r="G67" s="262" t="s">
        <v>106</v>
      </c>
      <c r="H67" s="69" t="n">
        <f aca="false">(H61*H66)/1.2</f>
        <v>874.966883333333</v>
      </c>
      <c r="I67" s="199"/>
      <c r="J67" s="36"/>
      <c r="K67" s="200"/>
      <c r="L67" s="67"/>
      <c r="M67" s="262" t="s">
        <v>106</v>
      </c>
      <c r="N67" s="69" t="n">
        <f aca="false">(N61*N66)/1.2</f>
        <v>874.966883333333</v>
      </c>
      <c r="O67" s="199"/>
      <c r="P67" s="36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380"/>
      <c r="D68" s="36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268" t="s">
        <v>107</v>
      </c>
      <c r="N68" s="269" t="n">
        <v>0.0075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0.12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272" t="s">
        <v>108</v>
      </c>
      <c r="N69" s="273" t="n">
        <v>0.12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0.0084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262" t="s">
        <v>109</v>
      </c>
      <c r="N70" s="381" t="n">
        <f aca="false">N68*(1+N69)</f>
        <v>0.0084</v>
      </c>
      <c r="O70" s="199"/>
      <c r="P70" s="199"/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160.0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268" t="s">
        <v>110</v>
      </c>
      <c r="N71" s="90" t="n">
        <v>160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272" t="s">
        <v>111</v>
      </c>
      <c r="N72" s="81" t="n">
        <v>4.5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157.5</v>
      </c>
      <c r="C73" s="199"/>
      <c r="D73" s="382" t="n">
        <f aca="false">B73+B71</f>
        <v>317.5</v>
      </c>
      <c r="E73" s="200" t="s">
        <v>240</v>
      </c>
      <c r="F73" s="67"/>
      <c r="G73" s="262" t="s">
        <v>112</v>
      </c>
      <c r="H73" s="69" t="n">
        <f aca="false">H72*H29</f>
        <v>157.5</v>
      </c>
      <c r="I73" s="199"/>
      <c r="J73" s="36" t="n">
        <f aca="false">H73+H71</f>
        <v>317.5</v>
      </c>
      <c r="K73" s="200"/>
      <c r="L73" s="67"/>
      <c r="M73" s="262" t="s">
        <v>112</v>
      </c>
      <c r="N73" s="69" t="n">
        <f aca="false">N72*H29</f>
        <v>157.5</v>
      </c>
      <c r="O73" s="199"/>
      <c r="P73" s="36" t="n">
        <f aca="false">N73+N71</f>
        <v>317.5</v>
      </c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155.0</v>
      </c>
      <c r="C74" s="199"/>
      <c r="D74" s="199"/>
      <c r="E74" s="200"/>
      <c r="F74" s="67"/>
      <c r="G74" s="268" t="s">
        <v>289</v>
      </c>
      <c r="H74" s="90" t="n">
        <v>165</v>
      </c>
      <c r="I74" s="199"/>
      <c r="J74" s="199"/>
      <c r="K74" s="200"/>
      <c r="L74" s="67"/>
      <c r="M74" s="339" t="s">
        <v>289</v>
      </c>
      <c r="N74" s="340" t="n">
        <v>0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335.0</v>
      </c>
      <c r="C75" s="199"/>
      <c r="D75" s="199"/>
      <c r="E75" s="200"/>
      <c r="F75" s="67"/>
      <c r="G75" s="272" t="s">
        <v>290</v>
      </c>
      <c r="H75" s="81" t="n">
        <v>0</v>
      </c>
      <c r="I75" s="199"/>
      <c r="J75" s="199"/>
      <c r="K75" s="200"/>
      <c r="L75" s="67"/>
      <c r="M75" s="341" t="s">
        <v>290</v>
      </c>
      <c r="N75" s="342" t="n">
        <v>0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((B74+B75)/12)*(H29-11)</f>
        <v>980</v>
      </c>
      <c r="C76" s="199"/>
      <c r="D76" s="36" t="n">
        <f aca="false">B76</f>
        <v>980</v>
      </c>
      <c r="E76" s="200"/>
      <c r="F76" s="67"/>
      <c r="G76" s="262" t="s">
        <v>291</v>
      </c>
      <c r="H76" s="69" t="n">
        <f aca="false">((H74+H75)/12)*(H29-11)</f>
        <v>330</v>
      </c>
      <c r="I76" s="199"/>
      <c r="J76" s="36" t="n">
        <f aca="false">H76</f>
        <v>330</v>
      </c>
      <c r="K76" s="200"/>
      <c r="L76" s="67"/>
      <c r="M76" s="343" t="s">
        <v>291</v>
      </c>
      <c r="N76" s="344" t="n">
        <f aca="false">((N74+N75)/12)*(H29-11)</f>
        <v>0</v>
      </c>
      <c r="O76" s="199"/>
      <c r="P76" s="36" t="n">
        <f aca="false">N76</f>
        <v>0</v>
      </c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5" t="s">
        <v>292</v>
      </c>
      <c r="B77" s="31" t="n">
        <f aca="false">B102/(1-(J15))</f>
        <v>444.444444444444</v>
      </c>
      <c r="C77" s="310"/>
      <c r="D77" s="36" t="n">
        <f aca="false">B77</f>
        <v>444.444444444444</v>
      </c>
      <c r="E77" s="376" t="n">
        <f aca="false">D77/(B58+B57)</f>
        <v>12.6984126984127</v>
      </c>
      <c r="F77" s="67"/>
      <c r="G77" s="268" t="s">
        <v>292</v>
      </c>
      <c r="H77" s="90" t="n">
        <v>0</v>
      </c>
      <c r="I77" s="199"/>
      <c r="J77" s="36" t="n">
        <f aca="false">H77</f>
        <v>0</v>
      </c>
      <c r="K77" s="200"/>
      <c r="L77" s="67"/>
      <c r="M77" s="268" t="s">
        <v>292</v>
      </c>
      <c r="N77" s="90" t="n">
        <v>0</v>
      </c>
      <c r="O77" s="199"/>
      <c r="P77" s="36" t="n">
        <f aca="false">N77</f>
        <v>0</v>
      </c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D102/(1-(J15))</f>
        <v>222.222222222222</v>
      </c>
      <c r="C78" s="310"/>
      <c r="D78" s="36" t="n">
        <f aca="false">B78</f>
        <v>222.222222222222</v>
      </c>
      <c r="E78" s="376"/>
      <c r="F78" s="67"/>
      <c r="G78" s="198" t="s">
        <v>293</v>
      </c>
      <c r="H78" s="37" t="n">
        <v>0</v>
      </c>
      <c r="I78" s="199"/>
      <c r="J78" s="36" t="n">
        <f aca="false">H78</f>
        <v>0</v>
      </c>
      <c r="K78" s="200"/>
      <c r="L78" s="67"/>
      <c r="M78" s="198" t="s">
        <v>293</v>
      </c>
      <c r="N78" s="37" t="n">
        <v>0</v>
      </c>
      <c r="O78" s="199"/>
      <c r="P78" s="36" t="n">
        <f aca="false">N78</f>
        <v>0</v>
      </c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200.0</v>
      </c>
      <c r="C79" s="310"/>
      <c r="D79" s="36" t="n">
        <f aca="false">B79</f>
        <v>200</v>
      </c>
      <c r="E79" s="376"/>
      <c r="F79" s="67"/>
      <c r="G79" s="272" t="s">
        <v>113</v>
      </c>
      <c r="H79" s="81" t="n">
        <v>200</v>
      </c>
      <c r="I79" s="199"/>
      <c r="J79" s="36" t="n">
        <f aca="false">H79</f>
        <v>200</v>
      </c>
      <c r="K79" s="200"/>
      <c r="L79" s="67"/>
      <c r="M79" s="272" t="s">
        <v>113</v>
      </c>
      <c r="N79" s="81" t="n">
        <v>200</v>
      </c>
      <c r="O79" s="199"/>
      <c r="P79" s="36" t="n">
        <f aca="false">N79</f>
        <v>200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200.0</v>
      </c>
      <c r="C80" s="310"/>
      <c r="D80" s="36" t="n">
        <f aca="false">B80</f>
        <v>200</v>
      </c>
      <c r="E80" s="376" t="n">
        <f aca="false">(D73+D76+D79+D80)/(B58+B57)</f>
        <v>48.5</v>
      </c>
      <c r="F80" s="67"/>
      <c r="G80" s="275" t="s">
        <v>114</v>
      </c>
      <c r="H80" s="91" t="n">
        <v>200</v>
      </c>
      <c r="I80" s="199"/>
      <c r="J80" s="36" t="n">
        <f aca="false">H80</f>
        <v>200</v>
      </c>
      <c r="K80" s="200"/>
      <c r="L80" s="67"/>
      <c r="M80" s="275" t="s">
        <v>114</v>
      </c>
      <c r="N80" s="91" t="n">
        <v>200</v>
      </c>
      <c r="O80" s="199"/>
      <c r="P80" s="36" t="n">
        <f aca="false">N80</f>
        <v>200</v>
      </c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7913.31833866667</v>
      </c>
      <c r="C81" s="310"/>
      <c r="D81" s="383"/>
      <c r="E81" s="376"/>
      <c r="F81" s="67"/>
      <c r="G81" s="276" t="s">
        <v>115</v>
      </c>
      <c r="H81" s="277" t="n">
        <f aca="false">SUM(J64:J80)</f>
        <v>6598.88563</v>
      </c>
      <c r="I81" s="199"/>
      <c r="J81" s="199"/>
      <c r="K81" s="200"/>
      <c r="L81" s="67"/>
      <c r="M81" s="276" t="s">
        <v>115</v>
      </c>
      <c r="N81" s="277" t="n">
        <f aca="false">SUM(P64:P80)</f>
        <v>6268.88563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226.094809676191</v>
      </c>
      <c r="C82" s="310"/>
      <c r="D82" s="199"/>
      <c r="E82" s="376"/>
      <c r="F82" s="67"/>
      <c r="G82" s="198" t="s">
        <v>116</v>
      </c>
      <c r="H82" s="37" t="n">
        <f aca="false">H81/H29</f>
        <v>188.539589428571</v>
      </c>
      <c r="I82" s="199"/>
      <c r="J82" s="199"/>
      <c r="K82" s="200"/>
      <c r="L82" s="67"/>
      <c r="M82" s="198" t="s">
        <v>116</v>
      </c>
      <c r="N82" s="37" t="n">
        <f aca="false">N81/H29</f>
        <v>179.111018</v>
      </c>
      <c r="O82" s="199"/>
      <c r="P82" s="199"/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H47</f>
        <v>999.442377241814</v>
      </c>
      <c r="C83" s="310"/>
      <c r="D83" s="199"/>
      <c r="E83" s="376" t="n">
        <f aca="false">B83+E80+E77+E64</f>
        <v>1219.1879805688</v>
      </c>
      <c r="F83" s="67"/>
      <c r="G83" s="278" t="s">
        <v>117</v>
      </c>
      <c r="H83" s="63" t="n">
        <f aca="false">H47</f>
        <v>999.442377241814</v>
      </c>
      <c r="I83" s="199"/>
      <c r="J83" s="199"/>
      <c r="K83" s="200"/>
      <c r="L83" s="67"/>
      <c r="M83" s="278" t="s">
        <v>117</v>
      </c>
      <c r="N83" s="63" t="n">
        <f aca="false">H47</f>
        <v>999.442377241814</v>
      </c>
      <c r="O83" s="199"/>
      <c r="P83" s="199"/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310"/>
      <c r="D84" s="310"/>
      <c r="E84" s="376"/>
      <c r="F84" s="67"/>
      <c r="G84" s="198"/>
      <c r="H84" s="36"/>
      <c r="I84" s="199"/>
      <c r="J84" s="199"/>
      <c r="K84" s="200"/>
      <c r="L84" s="67"/>
      <c r="M84" s="198"/>
      <c r="N84" s="36"/>
      <c r="O84" s="199"/>
      <c r="P84" s="199"/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((B83*H29)+B81)</f>
        <v>42893.8015421302</v>
      </c>
      <c r="C85" s="310"/>
      <c r="D85" s="310"/>
      <c r="E85" s="376" t="n">
        <f aca="false">B85/(B58+B57)</f>
        <v>1225.537186918</v>
      </c>
      <c r="F85" s="67"/>
      <c r="G85" s="265" t="s">
        <v>127</v>
      </c>
      <c r="H85" s="31" t="n">
        <f aca="false">((H83*H29)+H81)*1.2</f>
        <v>49895.2426001562</v>
      </c>
      <c r="I85" s="199"/>
      <c r="J85" s="199"/>
      <c r="K85" s="200"/>
      <c r="L85" s="67"/>
      <c r="M85" s="265" t="s">
        <v>127</v>
      </c>
      <c r="N85" s="31" t="n">
        <f aca="false">((N83*H29)+N81)</f>
        <v>41249.3688334635</v>
      </c>
      <c r="O85" s="199"/>
      <c r="P85" s="199"/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(((B83*H29)+B81)/(1-B70))*B70</f>
        <v>363.360158283475</v>
      </c>
      <c r="C86" s="310" t="s">
        <v>243</v>
      </c>
      <c r="D86" s="199"/>
      <c r="E86" s="376" t="n">
        <f aca="false">B86/(B58+B57)</f>
        <v>10.3817188080993</v>
      </c>
      <c r="F86" s="67"/>
      <c r="G86" s="198" t="s">
        <v>128</v>
      </c>
      <c r="H86" s="37" t="n">
        <f aca="false">((((H83*H29)+H81))/(1-H70))*H70</f>
        <v>352.225391489606</v>
      </c>
      <c r="I86" s="199"/>
      <c r="J86" s="199"/>
      <c r="K86" s="200"/>
      <c r="L86" s="67"/>
      <c r="M86" s="198" t="s">
        <v>128</v>
      </c>
      <c r="N86" s="37" t="n">
        <f aca="false">(N85/(1-N70))*N70</f>
        <v>349.429909440393</v>
      </c>
      <c r="O86" s="199"/>
      <c r="P86" s="199"/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43257.1617004136</v>
      </c>
      <c r="C87" s="310"/>
      <c r="D87" s="384"/>
      <c r="E87" s="376" t="n">
        <f aca="false">E86+E85</f>
        <v>1235.9189057261</v>
      </c>
      <c r="F87" s="67"/>
      <c r="G87" s="262" t="s">
        <v>129</v>
      </c>
      <c r="H87" s="69" t="n">
        <f aca="false">IF(H110="YES",((H85+H86)-K114),(H85+H86))</f>
        <v>50247.4679916458</v>
      </c>
      <c r="I87" s="199"/>
      <c r="J87" s="199"/>
      <c r="K87" s="200"/>
      <c r="L87" s="67"/>
      <c r="M87" s="262" t="s">
        <v>129</v>
      </c>
      <c r="N87" s="69" t="n">
        <f aca="false">IF(N110="YES",((N85+N86)-Q114),(N85+N86))</f>
        <v>41598.7987429039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310"/>
      <c r="D88" s="199"/>
      <c r="E88" s="376"/>
      <c r="F88" s="67"/>
      <c r="G88" s="198"/>
      <c r="H88" s="36"/>
      <c r="I88" s="199"/>
      <c r="J88" s="199"/>
      <c r="K88" s="200"/>
      <c r="L88" s="67"/>
      <c r="M88" s="198"/>
      <c r="N88" s="36"/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7" t="n">
        <f aca="false">IF(B99=Y98,(I32+(I32*B105))/(B58),(I32+(I32*B105))/(B57+B58))*(C45/100)</f>
        <v>90.012</v>
      </c>
      <c r="C89" s="310"/>
      <c r="D89" s="199"/>
      <c r="E89" s="200"/>
      <c r="F89" s="67"/>
      <c r="G89" s="276" t="s">
        <v>130</v>
      </c>
      <c r="H89" s="277" t="n">
        <f aca="false">IF(H99=Y98,(D40+(D40*H105))/(H58),(D40+(D40*H105))/(H57+H58))*1.2</f>
        <v>189.0252</v>
      </c>
      <c r="I89" s="199"/>
      <c r="J89" s="199"/>
      <c r="K89" s="200"/>
      <c r="L89" s="67"/>
      <c r="M89" s="276" t="s">
        <v>130</v>
      </c>
      <c r="N89" s="277" t="n">
        <f aca="false">IF(N99=Y98,(D40+(D40*N105))/(N58),(D40+(D40*N105))/(N57+N58))</f>
        <v>157.521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IF(B99=Y98,(B87-D105)/(B58),B87/(B57+B58))</f>
        <v>1235.9189057261</v>
      </c>
      <c r="C90" s="310"/>
      <c r="D90" s="199"/>
      <c r="E90" s="385"/>
      <c r="F90" s="67"/>
      <c r="G90" s="280" t="s">
        <v>131</v>
      </c>
      <c r="H90" s="281" t="n">
        <f aca="false">IF(H99=Y98,(H87-J105)/(H58),H87/(H57+H58))</f>
        <v>1256.18669979115</v>
      </c>
      <c r="I90" s="199"/>
      <c r="J90" s="199"/>
      <c r="K90" s="200"/>
      <c r="L90" s="67"/>
      <c r="M90" s="280" t="s">
        <v>131</v>
      </c>
      <c r="N90" s="281" t="n">
        <f aca="false">IF(N99=Y98,(N87-P105)/(N58),N87/(N57+N58))</f>
        <v>1039.9699685726</v>
      </c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1325.9309057261</v>
      </c>
      <c r="C91" s="310"/>
      <c r="D91" s="386"/>
      <c r="E91" s="333"/>
      <c r="F91" s="67"/>
      <c r="G91" s="282" t="s">
        <v>132</v>
      </c>
      <c r="H91" s="283" t="n">
        <f aca="false">IF(G105="YES",H90+H89,H90)</f>
        <v>1445.21189979115</v>
      </c>
      <c r="I91" s="199"/>
      <c r="J91" s="199"/>
      <c r="K91" s="200"/>
      <c r="L91" s="67"/>
      <c r="M91" s="282" t="s">
        <v>132</v>
      </c>
      <c r="N91" s="283" t="n">
        <f aca="false">IF(M105="YES",N90+N89,N90)</f>
        <v>1197.4909685726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61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262"/>
      <c r="N92" s="263"/>
      <c r="O92" s="263"/>
      <c r="P92" s="263"/>
      <c r="Q92" s="264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199"/>
      <c r="N93" s="199"/>
      <c r="O93" s="199"/>
      <c r="P93" s="199"/>
      <c r="Q93" s="199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56.2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197" t="s">
        <v>352</v>
      </c>
      <c r="N94" s="197"/>
      <c r="O94" s="197"/>
      <c r="P94" s="197"/>
      <c r="Q94" s="19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 t="s">
        <v>387</v>
      </c>
      <c r="F95" s="67"/>
      <c r="G95" s="198"/>
      <c r="H95" s="199"/>
      <c r="I95" s="199"/>
      <c r="J95" s="199"/>
      <c r="K95" s="200"/>
      <c r="L95" s="67"/>
      <c r="M95" s="198"/>
      <c r="N95" s="199"/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201" t="s">
        <v>137</v>
      </c>
      <c r="N96" s="201"/>
      <c r="O96" s="201"/>
      <c r="P96" s="201"/>
      <c r="Q96" s="201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387"/>
      <c r="C97" s="387"/>
      <c r="D97" s="199"/>
      <c r="E97" s="200"/>
      <c r="F97" s="67"/>
      <c r="G97" s="198"/>
      <c r="H97" s="199"/>
      <c r="I97" s="199"/>
      <c r="J97" s="199"/>
      <c r="K97" s="200"/>
      <c r="L97" s="67"/>
      <c r="M97" s="198"/>
      <c r="N97" s="199"/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 t="s">
        <v>141</v>
      </c>
      <c r="Z97" s="67"/>
      <c r="AC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198" t="s">
        <v>138</v>
      </c>
      <c r="N98" s="199" t="s">
        <v>36</v>
      </c>
      <c r="O98" s="199"/>
      <c r="P98" s="199" t="s">
        <v>295</v>
      </c>
      <c r="Q98" s="200"/>
      <c r="R98" s="67"/>
      <c r="S98" s="67"/>
      <c r="T98" s="67"/>
      <c r="U98" s="67"/>
      <c r="V98" s="67"/>
      <c r="W98" s="67"/>
      <c r="X98" s="67"/>
      <c r="Y98" s="67" t="s">
        <v>273</v>
      </c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1000.0</v>
      </c>
      <c r="E99" s="109"/>
      <c r="F99" s="67"/>
      <c r="G99" s="204" t="s">
        <v>296</v>
      </c>
      <c r="H99" s="284" t="s">
        <v>275</v>
      </c>
      <c r="I99" s="284"/>
      <c r="J99" s="109" t="n">
        <v>0</v>
      </c>
      <c r="K99" s="109"/>
      <c r="L99" s="67"/>
      <c r="M99" s="204" t="s">
        <v>296</v>
      </c>
      <c r="N99" s="284" t="s">
        <v>275</v>
      </c>
      <c r="O99" s="284"/>
      <c r="P99" s="109" t="n">
        <v>0</v>
      </c>
      <c r="Q99" s="109"/>
      <c r="R99" s="67"/>
      <c r="S99" s="67"/>
      <c r="T99" s="67"/>
      <c r="U99" s="67"/>
      <c r="V99" s="67"/>
      <c r="W99" s="67"/>
      <c r="X99" s="67"/>
      <c r="Y99" s="67" t="s">
        <v>274</v>
      </c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198"/>
      <c r="N100" s="199"/>
      <c r="O100" s="199"/>
      <c r="P100" s="199"/>
      <c r="Q100" s="200"/>
      <c r="R100" s="67"/>
      <c r="S100" s="67"/>
      <c r="T100" s="67"/>
      <c r="U100" s="67"/>
      <c r="V100" s="67"/>
      <c r="W100" s="67"/>
      <c r="X100" s="67"/>
      <c r="Y100" s="67" t="s">
        <v>275</v>
      </c>
      <c r="Z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388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198" t="s">
        <v>297</v>
      </c>
      <c r="N101" s="199" t="s">
        <v>298</v>
      </c>
      <c r="O101" s="199"/>
      <c r="P101" s="199" t="s">
        <v>299</v>
      </c>
      <c r="Q101" s="200"/>
      <c r="R101" s="67"/>
      <c r="S101" s="67"/>
      <c r="T101" s="67"/>
      <c r="U101" s="67"/>
      <c r="V101" s="67"/>
      <c r="W101" s="67"/>
      <c r="X101" s="67"/>
      <c r="Y101" s="67" t="s">
        <v>276</v>
      </c>
      <c r="Z101" s="67"/>
    </row>
    <row r="102" customFormat="false" ht="18.75" hidden="false" customHeight="true" outlineLevel="0" collapsed="false">
      <c r="A102" s="285" t="n">
        <v>199.99166666666667</v>
      </c>
      <c r="B102" s="109" t="n">
        <v>400.0</v>
      </c>
      <c r="C102" s="109"/>
      <c r="D102" s="109" t="n">
        <v>200.0</v>
      </c>
      <c r="E102" s="109"/>
      <c r="F102" s="67"/>
      <c r="G102" s="285" t="n">
        <v>199.99</v>
      </c>
      <c r="H102" s="109" t="n">
        <v>0</v>
      </c>
      <c r="I102" s="109"/>
      <c r="J102" s="109" t="n">
        <v>0</v>
      </c>
      <c r="K102" s="109"/>
      <c r="L102" s="67"/>
      <c r="M102" s="285" t="n">
        <v>199.99</v>
      </c>
      <c r="N102" s="109" t="n">
        <v>0</v>
      </c>
      <c r="O102" s="109"/>
      <c r="P102" s="109" t="n">
        <v>0</v>
      </c>
      <c r="Q102" s="109"/>
      <c r="R102" s="67"/>
      <c r="S102" s="67"/>
      <c r="T102" s="67"/>
      <c r="U102" s="67"/>
      <c r="V102" s="67"/>
      <c r="W102" s="67"/>
      <c r="X102" s="67"/>
      <c r="Y102" s="67" t="s">
        <v>277</v>
      </c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 t="s">
        <v>278</v>
      </c>
      <c r="Z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204" t="s">
        <v>139</v>
      </c>
      <c r="N104" s="67" t="s">
        <v>142</v>
      </c>
      <c r="O104" s="199"/>
      <c r="P104" s="199" t="s">
        <v>153</v>
      </c>
      <c r="Q104" s="200"/>
      <c r="R104" s="67"/>
      <c r="S104" s="67"/>
      <c r="T104" s="67"/>
      <c r="U104" s="67"/>
      <c r="V104" s="67"/>
      <c r="W104" s="67"/>
      <c r="X104" s="67"/>
      <c r="Y104" s="67" t="s">
        <v>279</v>
      </c>
      <c r="Z104" s="67"/>
    </row>
    <row r="105" customFormat="false" ht="18.75" hidden="false" customHeight="true" outlineLevel="0" collapsed="false">
      <c r="A105" s="206" t="s">
        <v>398</v>
      </c>
      <c r="B105" s="286" t="n">
        <v>0.0</v>
      </c>
      <c r="C105" s="286"/>
      <c r="D105" s="109" t="n">
        <v>200.0</v>
      </c>
      <c r="E105" s="109"/>
      <c r="F105" s="67"/>
      <c r="G105" s="206" t="s">
        <v>31</v>
      </c>
      <c r="H105" s="286" t="n">
        <v>0.2</v>
      </c>
      <c r="I105" s="286"/>
      <c r="J105" s="109"/>
      <c r="K105" s="109"/>
      <c r="L105" s="67"/>
      <c r="M105" s="206" t="s">
        <v>31</v>
      </c>
      <c r="N105" s="286" t="n">
        <v>0.2</v>
      </c>
      <c r="O105" s="286"/>
      <c r="P105" s="109" t="n">
        <v>0</v>
      </c>
      <c r="Q105" s="109"/>
      <c r="R105" s="67"/>
      <c r="S105" s="67"/>
      <c r="T105" s="67"/>
      <c r="U105" s="67"/>
      <c r="V105" s="67"/>
      <c r="W105" s="67"/>
      <c r="X105" s="67"/>
      <c r="Y105" s="67" t="s">
        <v>280</v>
      </c>
      <c r="Z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198"/>
      <c r="N107" s="199" t="s">
        <v>353</v>
      </c>
      <c r="O107" s="206" t="s">
        <v>31</v>
      </c>
      <c r="P107" s="199"/>
      <c r="Q107" s="200"/>
      <c r="R107" s="67"/>
      <c r="S107" s="67"/>
      <c r="T107" s="67"/>
      <c r="U107" s="67"/>
      <c r="V107" s="67"/>
      <c r="W107" s="67"/>
      <c r="X107" s="67"/>
      <c r="Y107" s="67"/>
      <c r="Z107" s="67"/>
    </row>
    <row r="108" customFormat="false" ht="18.75" hidden="false" customHeight="true" outlineLevel="0" collapsed="false">
      <c r="A108" s="201" t="n">
        <v>199.99</v>
      </c>
      <c r="B108" s="201" t="n">
        <v>0</v>
      </c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201" t="s">
        <v>300</v>
      </c>
      <c r="N108" s="201"/>
      <c r="O108" s="201"/>
      <c r="P108" s="201"/>
      <c r="Q108" s="201"/>
      <c r="R108" s="67"/>
      <c r="S108" s="67"/>
      <c r="T108" s="67"/>
      <c r="U108" s="67"/>
      <c r="V108" s="67"/>
      <c r="W108" s="67"/>
      <c r="X108" s="67"/>
      <c r="Y108" s="67"/>
      <c r="Z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/>
    </row>
    <row r="110" customFormat="false" ht="18.75" hidden="false" customHeight="true" outlineLevel="0" collapsed="false">
      <c r="A110" s="198" t="s">
        <v>301</v>
      </c>
      <c r="B110" s="206" t="s">
        <v>398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198" t="s">
        <v>301</v>
      </c>
      <c r="N110" s="206" t="s">
        <v>32</v>
      </c>
      <c r="O110" s="199"/>
      <c r="P110" s="199"/>
      <c r="Q110" s="200"/>
      <c r="R110" s="67"/>
      <c r="S110" s="67"/>
      <c r="T110" s="67"/>
      <c r="U110" s="67"/>
      <c r="V110" s="67"/>
      <c r="W110" s="67"/>
      <c r="X110" s="67"/>
      <c r="Y110" s="67"/>
      <c r="Z110" s="67"/>
    </row>
    <row r="111" customFormat="false" ht="18.75" hidden="false" customHeight="true" outlineLevel="0" collapsed="false">
      <c r="A111" s="198"/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198"/>
      <c r="N111" s="199"/>
      <c r="O111" s="199"/>
      <c r="P111" s="199"/>
      <c r="Q111" s="200"/>
      <c r="R111" s="67"/>
      <c r="S111" s="67"/>
      <c r="T111" s="67"/>
      <c r="U111" s="67"/>
      <c r="V111" s="67"/>
      <c r="W111" s="67"/>
      <c r="X111" s="67"/>
      <c r="Y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0.0</v>
      </c>
      <c r="E112" s="109" t="n">
        <v>0.0</v>
      </c>
      <c r="F112" s="67"/>
      <c r="G112" s="198" t="s">
        <v>186</v>
      </c>
      <c r="H112" s="199"/>
      <c r="I112" s="199"/>
      <c r="J112" s="285" t="n">
        <v>0</v>
      </c>
      <c r="K112" s="109" t="n">
        <v>0</v>
      </c>
      <c r="L112" s="67"/>
      <c r="M112" s="198" t="s">
        <v>186</v>
      </c>
      <c r="N112" s="199"/>
      <c r="O112" s="199"/>
      <c r="P112" s="285" t="n">
        <v>500</v>
      </c>
      <c r="Q112" s="109" t="n">
        <v>300</v>
      </c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0.0</v>
      </c>
      <c r="F113" s="67"/>
      <c r="G113" s="198" t="s">
        <v>187</v>
      </c>
      <c r="H113" s="199"/>
      <c r="I113" s="199"/>
      <c r="J113" s="43" t="n">
        <f aca="false">K113</f>
        <v>0</v>
      </c>
      <c r="K113" s="109" t="n">
        <v>0</v>
      </c>
      <c r="L113" s="67"/>
      <c r="M113" s="198" t="s">
        <v>187</v>
      </c>
      <c r="N113" s="199"/>
      <c r="O113" s="199"/>
      <c r="P113" s="43" t="n">
        <f aca="false">Q113</f>
        <v>100</v>
      </c>
      <c r="Q113" s="109" t="n">
        <v>100</v>
      </c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0</v>
      </c>
      <c r="K114" s="157" t="n">
        <f aca="false">K112-K113</f>
        <v>0</v>
      </c>
      <c r="L114" s="67"/>
      <c r="M114" s="198" t="s">
        <v>188</v>
      </c>
      <c r="N114" s="199"/>
      <c r="O114" s="199"/>
      <c r="P114" s="43" t="n">
        <f aca="false">P112-P113</f>
        <v>400</v>
      </c>
      <c r="Q114" s="157" t="n">
        <f aca="false">Q112-Q113</f>
        <v>200</v>
      </c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0</v>
      </c>
      <c r="K115" s="200"/>
      <c r="L115" s="67"/>
      <c r="M115" s="198" t="s">
        <v>189</v>
      </c>
      <c r="N115" s="199"/>
      <c r="O115" s="199"/>
      <c r="P115" s="43" t="n">
        <f aca="false">P114-Q114</f>
        <v>200</v>
      </c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198"/>
      <c r="N116" s="199"/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265" t="s">
        <v>149</v>
      </c>
      <c r="N117" s="266"/>
      <c r="O117" s="266"/>
      <c r="P117" s="266"/>
      <c r="Q117" s="31" t="n">
        <f aca="false">P99</f>
        <v>0</v>
      </c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199.991666666667</v>
      </c>
      <c r="F118" s="67"/>
      <c r="G118" s="198" t="s">
        <v>66</v>
      </c>
      <c r="H118" s="199"/>
      <c r="I118" s="199"/>
      <c r="J118" s="199"/>
      <c r="K118" s="37" t="n">
        <f aca="false">G102</f>
        <v>199.99</v>
      </c>
      <c r="L118" s="67"/>
      <c r="M118" s="198" t="s">
        <v>66</v>
      </c>
      <c r="N118" s="199"/>
      <c r="O118" s="199"/>
      <c r="P118" s="199"/>
      <c r="Q118" s="37" t="n">
        <f aca="false">M102</f>
        <v>199.99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(E118*1.2)+E117-E114</f>
        <v>1239.99</v>
      </c>
      <c r="F119" s="67"/>
      <c r="G119" s="287" t="s">
        <v>302</v>
      </c>
      <c r="H119" s="263"/>
      <c r="I119" s="263"/>
      <c r="J119" s="263"/>
      <c r="K119" s="69" t="n">
        <f aca="false">((K118/1.2)+K117)-(J115-K113)</f>
        <v>166.658333333333</v>
      </c>
      <c r="L119" s="67"/>
      <c r="M119" s="287" t="s">
        <v>302</v>
      </c>
      <c r="N119" s="263"/>
      <c r="O119" s="263"/>
      <c r="P119" s="263"/>
      <c r="Q119" s="69" t="n">
        <f aca="false">(Q118+Q117)-P115</f>
        <v>-0.00999999999999091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198"/>
      <c r="N120" s="199"/>
      <c r="O120" s="199"/>
      <c r="P120" s="199"/>
      <c r="Q120" s="200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198"/>
      <c r="N121" s="199"/>
      <c r="O121" s="199"/>
      <c r="P121" s="199"/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201" t="s">
        <v>303</v>
      </c>
      <c r="N122" s="201"/>
      <c r="O122" s="201"/>
      <c r="P122" s="201"/>
      <c r="Q122" s="201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198"/>
      <c r="N123" s="199"/>
      <c r="O123" s="199"/>
      <c r="P123" s="199"/>
      <c r="Q123" s="200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0.0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198" t="s">
        <v>194</v>
      </c>
      <c r="N124" s="162" t="n">
        <v>0</v>
      </c>
      <c r="O124" s="162"/>
      <c r="P124" s="199"/>
      <c r="Q124" s="200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35</v>
      </c>
      <c r="C125" s="294"/>
      <c r="D125" s="293" t="n">
        <f aca="false">B160</f>
        <v>35000</v>
      </c>
      <c r="E125" s="291"/>
      <c r="F125" s="67"/>
      <c r="G125" s="198"/>
      <c r="H125" s="199"/>
      <c r="I125" s="199"/>
      <c r="J125" s="199"/>
      <c r="K125" s="200"/>
      <c r="L125" s="67"/>
      <c r="M125" s="198"/>
      <c r="N125" s="199"/>
      <c r="O125" s="199"/>
      <c r="P125" s="199"/>
      <c r="Q125" s="200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296" t="s">
        <v>306</v>
      </c>
      <c r="H126" s="297" t="s">
        <v>307</v>
      </c>
      <c r="I126" s="297"/>
      <c r="J126" s="297" t="s">
        <v>308</v>
      </c>
      <c r="K126" s="200"/>
      <c r="L126" s="67"/>
      <c r="M126" s="296" t="s">
        <v>354</v>
      </c>
      <c r="N126" s="297" t="s">
        <v>262</v>
      </c>
      <c r="O126" s="297"/>
      <c r="P126" s="297" t="s">
        <v>132</v>
      </c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300" t="n">
        <f aca="false">H90</f>
        <v>1256.18669979115</v>
      </c>
      <c r="H127" s="166" t="n">
        <f aca="false">IF(G105="YES",H89*H57,0)</f>
        <v>1134.1512</v>
      </c>
      <c r="I127" s="166"/>
      <c r="J127" s="301" t="n">
        <f aca="false">H91</f>
        <v>1445.21189979115</v>
      </c>
      <c r="K127" s="200"/>
      <c r="L127" s="67"/>
      <c r="M127" s="300" t="n">
        <f aca="false">N90</f>
        <v>1039.9699685726</v>
      </c>
      <c r="N127" s="166" t="n">
        <f aca="false">IF(M105="YES",N89*N57,0)</f>
        <v>945.126</v>
      </c>
      <c r="O127" s="166"/>
      <c r="P127" s="166" t="n">
        <f aca="false">N91</f>
        <v>1197.4909685726</v>
      </c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1235.9189057261</v>
      </c>
      <c r="B128" s="290" t="n">
        <f aca="false">IF(A105="YES",B89,0)</f>
        <v>90.012</v>
      </c>
      <c r="C128" s="294"/>
      <c r="D128" s="290" t="n">
        <f aca="false">B91</f>
        <v>1325.9309057261</v>
      </c>
      <c r="E128" s="291"/>
      <c r="F128" s="67"/>
      <c r="G128" s="198"/>
      <c r="H128" s="199"/>
      <c r="I128" s="199"/>
      <c r="J128" s="199"/>
      <c r="K128" s="200"/>
      <c r="L128" s="67"/>
      <c r="M128" s="198"/>
      <c r="N128" s="199"/>
      <c r="O128" s="199"/>
      <c r="P128" s="199"/>
      <c r="Q128" s="200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 t="s">
        <v>95</v>
      </c>
      <c r="H129" s="199" t="s">
        <v>96</v>
      </c>
      <c r="I129" s="199"/>
      <c r="J129" s="199" t="s">
        <v>98</v>
      </c>
      <c r="K129" s="200"/>
      <c r="L129" s="67"/>
      <c r="M129" s="198" t="s">
        <v>95</v>
      </c>
      <c r="N129" s="199" t="s">
        <v>96</v>
      </c>
      <c r="O129" s="199"/>
      <c r="P129" s="199" t="s">
        <v>98</v>
      </c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n">
        <v>0</v>
      </c>
      <c r="C130" s="215"/>
      <c r="D130" s="299" t="s">
        <v>310</v>
      </c>
      <c r="E130" s="200"/>
      <c r="F130" s="67"/>
      <c r="G130" s="213" t="n">
        <f aca="false">G152</f>
        <v>35</v>
      </c>
      <c r="H130" s="168" t="n">
        <f aca="false">B151</f>
        <v>0</v>
      </c>
      <c r="I130" s="215"/>
      <c r="J130" s="214" t="n">
        <f aca="false">B58</f>
        <v>34</v>
      </c>
      <c r="K130" s="200"/>
      <c r="L130" s="67"/>
      <c r="M130" s="213" t="n">
        <f aca="false">M155</f>
        <v>35</v>
      </c>
      <c r="N130" s="168" t="n">
        <f aca="false">B151</f>
        <v>0</v>
      </c>
      <c r="O130" s="215"/>
      <c r="P130" s="214" t="n">
        <f aca="false">B58</f>
        <v>34</v>
      </c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1235.9189057261</v>
      </c>
      <c r="C131" s="199"/>
      <c r="D131" s="42" t="n">
        <f aca="false">IF(A105="YES",B89*B57,0)</f>
        <v>90.012</v>
      </c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198" t="s">
        <v>355</v>
      </c>
      <c r="N132" s="199" t="s">
        <v>252</v>
      </c>
      <c r="O132" s="199"/>
      <c r="P132" s="199" t="s">
        <v>256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7537.12019874687</v>
      </c>
      <c r="H133" s="42" t="n">
        <f aca="false">IF(G105="YES",H89*H57,0)</f>
        <v>1134.1512</v>
      </c>
      <c r="I133" s="205"/>
      <c r="J133" s="170" t="n">
        <f aca="false">H91*H57</f>
        <v>8671.27139874687</v>
      </c>
      <c r="K133" s="200"/>
      <c r="L133" s="67"/>
      <c r="M133" s="171" t="n">
        <f aca="false">N90*N57</f>
        <v>6239.81981143558</v>
      </c>
      <c r="N133" s="42" t="n">
        <f aca="false">IF(M105="YES",N89*N57,0)</f>
        <v>945.126</v>
      </c>
      <c r="O133" s="205"/>
      <c r="P133" s="170" t="n">
        <f aca="false">N91*N57</f>
        <v>7184.94581143558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1325.9309057261</v>
      </c>
      <c r="B134" s="42" t="n">
        <f aca="false">E114</f>
        <v>0</v>
      </c>
      <c r="C134" s="199"/>
      <c r="D134" s="303" t="n">
        <f aca="false">B58</f>
        <v>34</v>
      </c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198" t="s">
        <v>264</v>
      </c>
      <c r="N135" s="199" t="s">
        <v>265</v>
      </c>
      <c r="O135" s="199"/>
      <c r="P135" s="199" t="s">
        <v>269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0.2959055544</v>
      </c>
      <c r="H136" s="42" t="n">
        <f aca="false">IF(G105="YES",E15*0.000002,0)</f>
        <v>0.0986351848</v>
      </c>
      <c r="I136" s="42"/>
      <c r="J136" s="42" t="n">
        <f aca="false">G136+H136</f>
        <v>0.3945407392</v>
      </c>
      <c r="K136" s="107"/>
      <c r="L136" s="67"/>
      <c r="M136" s="113" t="n">
        <f aca="false">E15*0.000006</f>
        <v>0.2959055544</v>
      </c>
      <c r="N136" s="42" t="n">
        <f aca="false">IF(M105="YES",E15*0.000002,0)</f>
        <v>0.0986351848</v>
      </c>
      <c r="O136" s="42"/>
      <c r="P136" s="42" t="n">
        <f aca="false">M136+N136</f>
        <v>0.3945407392</v>
      </c>
      <c r="Q136" s="10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1235.9189057261</v>
      </c>
      <c r="B137" s="42" t="n">
        <f aca="false">IF(A105="YES",B89,0)</f>
        <v>90.012</v>
      </c>
      <c r="C137" s="199"/>
      <c r="D137" s="42" t="n">
        <f aca="false">B91</f>
        <v>1325.9309057261</v>
      </c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198" t="s">
        <v>152</v>
      </c>
      <c r="N138" s="199" t="s">
        <v>320</v>
      </c>
      <c r="O138" s="199"/>
      <c r="P138" s="199" t="s">
        <v>321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199.99</v>
      </c>
      <c r="H139" s="42" t="n">
        <f aca="false">H67</f>
        <v>874.966883333333</v>
      </c>
      <c r="I139" s="42"/>
      <c r="J139" s="42" t="n">
        <f aca="false">H102*0.9</f>
        <v>0</v>
      </c>
      <c r="K139" s="107"/>
      <c r="L139" s="67"/>
      <c r="M139" s="113" t="n">
        <f aca="false">M102</f>
        <v>199.99</v>
      </c>
      <c r="N139" s="42" t="n">
        <f aca="false">N67</f>
        <v>874.966883333333</v>
      </c>
      <c r="O139" s="42"/>
      <c r="P139" s="42" t="n">
        <f aca="false">N102*0.9</f>
        <v>0</v>
      </c>
      <c r="Q139" s="10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(G18*0.000006)*100</f>
        <v>32.1689952</v>
      </c>
      <c r="B140" s="309" t="n">
        <f aca="false">IF(A105="YES",G18*0.000002,0)*100</f>
        <v>10.7229984</v>
      </c>
      <c r="C140" s="310"/>
      <c r="D140" s="309" t="n">
        <f aca="false">A140+B140</f>
        <v>42.8919936</v>
      </c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198" t="s">
        <v>323</v>
      </c>
      <c r="N141" s="199" t="s">
        <v>324</v>
      </c>
      <c r="O141" s="199"/>
      <c r="P141" s="199" t="s">
        <v>325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IF(G105="YES",((B36*H105)*0.1)*(G130),0)</f>
        <v>52.507</v>
      </c>
      <c r="H142" s="42" t="n">
        <f aca="false">G102-100</f>
        <v>99.99</v>
      </c>
      <c r="I142" s="42"/>
      <c r="J142" s="42" t="n">
        <f aca="false">(H139+J139+G142+H142)-H145</f>
        <v>1027.46388333333</v>
      </c>
      <c r="K142" s="107"/>
      <c r="L142" s="67"/>
      <c r="M142" s="113" t="n">
        <f aca="false">IF(M105="YES",((B36*N105)*0.1)*(M130),0)</f>
        <v>52.507</v>
      </c>
      <c r="N142" s="42" t="n">
        <f aca="false">M102-100</f>
        <v>99.99</v>
      </c>
      <c r="O142" s="42"/>
      <c r="P142" s="42" t="n">
        <f aca="false">(N139+P139+M142+N142)-N145</f>
        <v>1027.46388333333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199.991666666667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198" t="s">
        <v>327</v>
      </c>
      <c r="N144" s="199" t="s">
        <v>328</v>
      </c>
      <c r="O144" s="199"/>
      <c r="P144" s="199"/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v>0</v>
      </c>
      <c r="H145" s="42" t="n">
        <f aca="false">(H139+J139+G142+H142)*(G145/H64)</f>
        <v>0</v>
      </c>
      <c r="I145" s="199"/>
      <c r="J145" s="199"/>
      <c r="K145" s="200"/>
      <c r="L145" s="67"/>
      <c r="M145" s="113" t="n">
        <v>0</v>
      </c>
      <c r="N145" s="42" t="n">
        <f aca="false">(N139+P139+M142+N142)*(M145/N64)</f>
        <v>0</v>
      </c>
      <c r="O145" s="199"/>
      <c r="P145" s="199"/>
      <c r="Q145" s="200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113"/>
      <c r="N146" s="42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4" t="s">
        <v>356</v>
      </c>
      <c r="N147" s="43" t="s">
        <v>357</v>
      </c>
      <c r="O147" s="199"/>
      <c r="P147" s="199"/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IF(A105="YES",(B40*B105)*B125,0)*0.1</f>
        <v>52.507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348" t="n">
        <v>18000</v>
      </c>
      <c r="N148" s="349" t="n">
        <v>0.99</v>
      </c>
      <c r="O148" s="349"/>
      <c r="P148" s="199"/>
      <c r="Q148" s="200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198"/>
      <c r="N150" s="199"/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250.0</v>
      </c>
      <c r="B151" s="42" t="n">
        <f aca="false">(A148+B148+D148+A151)*(A143/B64)</f>
        <v>0</v>
      </c>
      <c r="C151" s="42"/>
      <c r="D151" s="42" t="n">
        <f aca="false">(A148+B148+D148+A151)-B151-A154</f>
        <v>752.507</v>
      </c>
      <c r="E151" s="107"/>
      <c r="F151" s="67"/>
      <c r="G151" s="233"/>
      <c r="H151" s="235" t="n">
        <f aca="false">B51</f>
        <v>35000</v>
      </c>
      <c r="I151" s="235"/>
      <c r="J151" s="199"/>
      <c r="K151" s="200"/>
      <c r="L151" s="67"/>
      <c r="M151" s="258" t="s">
        <v>333</v>
      </c>
      <c r="N151" s="199"/>
      <c r="O151" s="199"/>
      <c r="P151" s="259"/>
      <c r="Q151" s="26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35</v>
      </c>
      <c r="H152" s="78" t="n">
        <f aca="false">H91</f>
        <v>1445.21189979115</v>
      </c>
      <c r="I152" s="78"/>
      <c r="J152" s="199"/>
      <c r="K152" s="200"/>
      <c r="L152" s="67"/>
      <c r="M152" s="198"/>
      <c r="N152" s="232"/>
      <c r="O152" s="232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233" t="s">
        <v>95</v>
      </c>
      <c r="N153" s="234" t="s">
        <v>96</v>
      </c>
      <c r="O153" s="234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233"/>
      <c r="N154" s="235" t="n">
        <f aca="false">B51</f>
        <v>35000</v>
      </c>
      <c r="O154" s="235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237" t="n">
        <f aca="false">A52</f>
        <v>35</v>
      </c>
      <c r="N155" s="78" t="n">
        <f aca="false">N91</f>
        <v>1197.4909685726</v>
      </c>
      <c r="O155" s="78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198"/>
      <c r="N157" s="199"/>
      <c r="O157" s="199"/>
      <c r="P157" s="199"/>
      <c r="Q157" s="20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198"/>
      <c r="N158" s="199"/>
      <c r="O158" s="199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198"/>
      <c r="N159" s="199"/>
      <c r="O159" s="199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35000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198"/>
      <c r="N160" s="199"/>
      <c r="O160" s="199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35</v>
      </c>
      <c r="B161" s="78" t="n">
        <f aca="false">B91</f>
        <v>1325.9309057261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198"/>
      <c r="N161" s="199"/>
      <c r="O161" s="199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262"/>
      <c r="N162" s="263"/>
      <c r="O162" s="263"/>
      <c r="P162" s="263"/>
      <c r="Q162" s="264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198"/>
      <c r="B165" s="199"/>
      <c r="C165" s="199"/>
      <c r="D165" s="199"/>
      <c r="E165" s="200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262"/>
      <c r="B166" s="263"/>
      <c r="C166" s="263"/>
      <c r="D166" s="263"/>
      <c r="E166" s="264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317" t="s">
        <v>303</v>
      </c>
      <c r="B171" s="317"/>
      <c r="C171" s="317"/>
      <c r="D171" s="317"/>
      <c r="E171" s="31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88" t="s">
        <v>138</v>
      </c>
      <c r="B173" s="289" t="s">
        <v>52</v>
      </c>
      <c r="C173" s="290"/>
      <c r="D173" s="289" t="s">
        <v>96</v>
      </c>
      <c r="E173" s="291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292" t="s">
        <v>296</v>
      </c>
      <c r="B174" s="293" t="n">
        <f aca="false">A161</f>
        <v>35</v>
      </c>
      <c r="C174" s="294"/>
      <c r="D174" s="293" t="n">
        <f aca="false">D125</f>
        <v>35000</v>
      </c>
      <c r="E174" s="291"/>
      <c r="F174" s="67"/>
      <c r="G174" s="67" t="s">
        <v>389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288"/>
      <c r="B175" s="289"/>
      <c r="C175" s="289"/>
      <c r="D175" s="289"/>
      <c r="E175" s="291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288" t="s">
        <v>131</v>
      </c>
      <c r="B176" s="289" t="s">
        <v>304</v>
      </c>
      <c r="C176" s="290"/>
      <c r="D176" s="289" t="s">
        <v>305</v>
      </c>
      <c r="E176" s="291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292" t="n">
        <f aca="false">B90</f>
        <v>1235.9189057261</v>
      </c>
      <c r="B177" s="290" t="n">
        <f aca="false">IF(A105="YES",B89,0)</f>
        <v>90.012</v>
      </c>
      <c r="C177" s="294"/>
      <c r="D177" s="290" t="n">
        <f aca="false">B91</f>
        <v>1325.9309057261</v>
      </c>
      <c r="E177" s="291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98"/>
      <c r="B178" s="199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298" t="s">
        <v>36</v>
      </c>
      <c r="B179" s="299" t="s">
        <v>309</v>
      </c>
      <c r="C179" s="215"/>
      <c r="D179" s="299" t="s">
        <v>310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302" t="str">
        <f aca="false">B99</f>
        <v> Monthly in advance </v>
      </c>
      <c r="B180" s="42" t="n">
        <f aca="false">B90*B57</f>
        <v>1235.9189057261</v>
      </c>
      <c r="C180" s="199"/>
      <c r="D180" s="42" t="n">
        <f aca="false">IF(A105="YES",B89*B57,0)</f>
        <v>90.012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112" t="s">
        <v>314</v>
      </c>
      <c r="B182" s="43" t="s">
        <v>315</v>
      </c>
      <c r="C182" s="205"/>
      <c r="D182" s="230" t="s">
        <v>219</v>
      </c>
      <c r="E182" s="200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113" t="n">
        <f aca="false">B91*B57</f>
        <v>1325.9309057261</v>
      </c>
      <c r="B183" s="42" t="n">
        <f aca="false">E114</f>
        <v>0</v>
      </c>
      <c r="C183" s="199"/>
      <c r="D183" s="303" t="n">
        <f aca="false">B58</f>
        <v>34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113"/>
      <c r="B184" s="304"/>
      <c r="C184" s="199"/>
      <c r="D184" s="199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4" t="s">
        <v>131</v>
      </c>
      <c r="B185" s="305" t="s">
        <v>304</v>
      </c>
      <c r="C185" s="199"/>
      <c r="D185" s="199" t="s">
        <v>305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f aca="false">B90</f>
        <v>1235.9189057261</v>
      </c>
      <c r="B186" s="42" t="n">
        <f aca="false">IF(A105="YES",B89,0)</f>
        <v>90.012</v>
      </c>
      <c r="C186" s="199"/>
      <c r="D186" s="42" t="n">
        <f aca="false">B91</f>
        <v>1325.9309057261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98"/>
      <c r="B187" s="199"/>
      <c r="C187" s="199"/>
      <c r="D187" s="199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06" t="s">
        <v>80</v>
      </c>
      <c r="B188" s="307" t="s">
        <v>322</v>
      </c>
      <c r="C188" s="42"/>
      <c r="D188" s="307" t="s">
        <v>85</v>
      </c>
      <c r="E188" s="10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08" t="n">
        <f aca="false">(G18*0.000006)*100</f>
        <v>32.1689952</v>
      </c>
      <c r="B189" s="309" t="n">
        <f aca="false">IF(A105="YES",G18*0.000002,0)*100</f>
        <v>10.7229984</v>
      </c>
      <c r="C189" s="310"/>
      <c r="D189" s="309" t="n">
        <f aca="false">A189+B189</f>
        <v>42.8919936</v>
      </c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311"/>
      <c r="B190" s="312"/>
      <c r="C190" s="199"/>
      <c r="D190" s="312"/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306" t="s">
        <v>326</v>
      </c>
      <c r="B191" s="307" t="s">
        <v>66</v>
      </c>
      <c r="C191" s="42"/>
      <c r="D191" s="307" t="s">
        <v>292</v>
      </c>
      <c r="E191" s="200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13" t="n">
        <v>0</v>
      </c>
      <c r="B192" s="42" t="n">
        <f aca="false">E118</f>
        <v>199.991666666667</v>
      </c>
      <c r="C192" s="199"/>
      <c r="D192" s="142" t="n">
        <f aca="false">B102</f>
        <v>400</v>
      </c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13"/>
      <c r="B193" s="42"/>
      <c r="C193" s="199"/>
      <c r="D193" s="42"/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313" t="s">
        <v>329</v>
      </c>
      <c r="B194" s="314"/>
      <c r="C194" s="315"/>
      <c r="D194" s="314"/>
      <c r="E194" s="316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311"/>
      <c r="B195" s="312"/>
      <c r="C195" s="199"/>
      <c r="D195" s="312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330</v>
      </c>
      <c r="B196" s="199" t="s">
        <v>331</v>
      </c>
      <c r="C196" s="199"/>
      <c r="D196" s="199" t="s">
        <v>332</v>
      </c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B67</f>
        <v>250</v>
      </c>
      <c r="B197" s="42" t="n">
        <f aca="false">B102</f>
        <v>400</v>
      </c>
      <c r="C197" s="42"/>
      <c r="D197" s="42" t="n">
        <f aca="false">IF(A105="YES",(B40*B105)*B125,0)*0.1</f>
        <v>52.507</v>
      </c>
      <c r="E197" s="10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198"/>
      <c r="B198" s="199"/>
      <c r="C198" s="199"/>
      <c r="D198" s="199"/>
      <c r="E198" s="200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198" t="s">
        <v>334</v>
      </c>
      <c r="B199" s="199" t="s">
        <v>328</v>
      </c>
      <c r="C199" s="199"/>
      <c r="D199" s="199" t="s">
        <v>325</v>
      </c>
      <c r="E199" s="200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113" t="n">
        <f aca="false">A151</f>
        <v>250</v>
      </c>
      <c r="B200" s="42" t="n">
        <f aca="false">(A148+B148+D148+A151)*(A143/B64)</f>
        <v>0</v>
      </c>
      <c r="C200" s="42"/>
      <c r="D200" s="42" t="n">
        <f aca="false">D151</f>
        <v>752.507</v>
      </c>
      <c r="E200" s="10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198"/>
      <c r="B201" s="199"/>
      <c r="C201" s="199"/>
      <c r="D201" s="199"/>
      <c r="E201" s="200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 t="s">
        <v>335</v>
      </c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113" t="n">
        <f aca="false">D102</f>
        <v>200</v>
      </c>
      <c r="B203" s="42"/>
      <c r="C203" s="199"/>
      <c r="D203" s="199"/>
      <c r="E203" s="200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62"/>
      <c r="B204" s="263"/>
      <c r="C204" s="263"/>
      <c r="D204" s="263"/>
      <c r="E204" s="264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317" t="s">
        <v>225</v>
      </c>
      <c r="B207" s="317"/>
      <c r="C207" s="317"/>
      <c r="D207" s="317"/>
      <c r="E207" s="31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199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88" t="s">
        <v>226</v>
      </c>
      <c r="B209" s="319" t="n">
        <f aca="false">H35</f>
        <v>0.075</v>
      </c>
      <c r="C209" s="290" t="s">
        <v>228</v>
      </c>
      <c r="D209" s="320" t="n">
        <f aca="false">D64</f>
        <v>5549.151672</v>
      </c>
      <c r="E209" s="291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292"/>
      <c r="B210" s="293"/>
      <c r="C210" s="294"/>
      <c r="D210" s="293"/>
      <c r="E210" s="291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88" t="s">
        <v>229</v>
      </c>
      <c r="B211" s="290" t="n">
        <f aca="false">B219</f>
        <v>250</v>
      </c>
      <c r="C211" s="289" t="s">
        <v>230</v>
      </c>
      <c r="D211" s="320" t="n">
        <f aca="false">B225+E221+B221+B223</f>
        <v>1015.07</v>
      </c>
      <c r="E211" s="291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288"/>
      <c r="B212" s="321"/>
      <c r="C212" s="290"/>
      <c r="D212" s="289"/>
      <c r="E212" s="291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292" t="s">
        <v>231</v>
      </c>
      <c r="B213" s="290" t="n">
        <f aca="false">E223</f>
        <v>6314.221672</v>
      </c>
      <c r="C213" s="294"/>
      <c r="D213" s="290"/>
      <c r="E213" s="291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98"/>
      <c r="B214" s="305"/>
      <c r="C214" s="199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213" t="s">
        <v>226</v>
      </c>
      <c r="B215" s="322" t="n">
        <v>0.065</v>
      </c>
      <c r="C215" s="215"/>
      <c r="D215" s="299"/>
      <c r="E215" s="200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302"/>
      <c r="B216" s="43"/>
      <c r="C216" s="199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228</v>
      </c>
      <c r="B217" s="106" t="n">
        <f aca="false">D64</f>
        <v>5549.151672</v>
      </c>
      <c r="C217" s="223" t="s">
        <v>234</v>
      </c>
      <c r="D217" s="199"/>
      <c r="E217" s="270" t="n">
        <f aca="false">B66</f>
        <v>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171"/>
      <c r="B218" s="43"/>
      <c r="C218" s="205"/>
      <c r="D218" s="230"/>
      <c r="E218" s="200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113" t="s">
        <v>234</v>
      </c>
      <c r="B219" s="106" t="n">
        <f aca="false">B67</f>
        <v>250</v>
      </c>
      <c r="C219" s="205" t="s">
        <v>336</v>
      </c>
      <c r="D219" s="303"/>
      <c r="E219" s="88" t="n">
        <f aca="false">J15</f>
        <v>0.1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113"/>
      <c r="B220" s="305"/>
      <c r="C220" s="205"/>
      <c r="D220" s="199"/>
      <c r="E220" s="200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113" t="s">
        <v>336</v>
      </c>
      <c r="B221" s="230" t="n">
        <f aca="false">(B77-(B77*(E219)))*J15</f>
        <v>40</v>
      </c>
      <c r="C221" s="205" t="s">
        <v>236</v>
      </c>
      <c r="D221" s="199"/>
      <c r="E221" s="37" t="n">
        <f aca="false">A200</f>
        <v>250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113"/>
      <c r="B222" s="43"/>
      <c r="C222" s="205"/>
      <c r="D222" s="4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204" t="s">
        <v>337</v>
      </c>
      <c r="B223" s="230" t="n">
        <f aca="false">B78-(B78*(E219))</f>
        <v>200</v>
      </c>
      <c r="C223" s="205" t="s">
        <v>231</v>
      </c>
      <c r="D223" s="199"/>
      <c r="E223" s="37" t="n">
        <f aca="false">(B217-B211+D211)</f>
        <v>6314.221672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23"/>
      <c r="B224" s="307"/>
      <c r="C224" s="42"/>
      <c r="D224" s="307"/>
      <c r="E224" s="15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23" t="s">
        <v>338</v>
      </c>
      <c r="B225" s="307" t="n">
        <f aca="false">D197/0.1</f>
        <v>525.07</v>
      </c>
      <c r="C225" s="42"/>
      <c r="D225" s="307"/>
      <c r="E225" s="15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23"/>
      <c r="B226" s="307"/>
      <c r="C226" s="42"/>
      <c r="D226" s="307"/>
      <c r="E226" s="15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3" t="s">
        <v>339</v>
      </c>
      <c r="B227" s="324"/>
      <c r="C227" s="315"/>
      <c r="D227" s="314"/>
      <c r="E227" s="316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311"/>
      <c r="B228" s="325"/>
      <c r="C228" s="199"/>
      <c r="D228" s="312"/>
      <c r="E228" s="20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311" t="s">
        <v>238</v>
      </c>
      <c r="B229" s="106" t="n">
        <f aca="false">B71</f>
        <v>160</v>
      </c>
      <c r="C229" s="205" t="s">
        <v>239</v>
      </c>
      <c r="D229" s="312"/>
      <c r="E229" s="140" t="n">
        <f aca="false">B72</f>
        <v>4.5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311"/>
      <c r="B230" s="325"/>
      <c r="C230" s="205" t="s">
        <v>240</v>
      </c>
      <c r="D230" s="312"/>
      <c r="E230" s="37" t="n">
        <f aca="false">D73</f>
        <v>317.5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311" t="s">
        <v>241</v>
      </c>
      <c r="B231" s="326" t="n">
        <f aca="false">B68</f>
        <v>0.0075</v>
      </c>
      <c r="C231" s="205" t="s">
        <v>242</v>
      </c>
      <c r="D231" s="312"/>
      <c r="E231" s="270" t="n">
        <f aca="false">B69</f>
        <v>0.12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311"/>
      <c r="B232" s="325"/>
      <c r="C232" s="205" t="s">
        <v>243</v>
      </c>
      <c r="D232" s="312"/>
      <c r="E232" s="37" t="n">
        <f aca="false">B86</f>
        <v>363.360158283475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311" t="s">
        <v>244</v>
      </c>
      <c r="B233" s="106" t="n">
        <f aca="false">B79</f>
        <v>200</v>
      </c>
      <c r="C233" s="327" t="s">
        <v>340</v>
      </c>
      <c r="D233" s="328"/>
      <c r="E233" s="140" t="n">
        <f aca="false">B74</f>
        <v>155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204"/>
      <c r="B234" s="305"/>
      <c r="C234" s="327"/>
      <c r="D234" s="329"/>
      <c r="E234" s="33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 t="s">
        <v>245</v>
      </c>
      <c r="B235" s="106" t="n">
        <f aca="false">B80</f>
        <v>200</v>
      </c>
      <c r="C235" s="331" t="s">
        <v>341</v>
      </c>
      <c r="D235" s="331"/>
      <c r="E235" s="140" t="n">
        <f aca="false">B75</f>
        <v>335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198"/>
      <c r="B236" s="199"/>
      <c r="C236" s="199"/>
      <c r="D236" s="199"/>
      <c r="E236" s="200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198"/>
      <c r="B237" s="199"/>
      <c r="C237" s="199"/>
      <c r="D237" s="199"/>
      <c r="E237" s="200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113"/>
      <c r="B238" s="42"/>
      <c r="C238" s="42"/>
      <c r="D238" s="42"/>
      <c r="E238" s="10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198"/>
      <c r="B239" s="199"/>
      <c r="C239" s="199"/>
      <c r="D239" s="199"/>
      <c r="E239" s="200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198"/>
      <c r="B240" s="199"/>
      <c r="C240" s="199"/>
      <c r="D240" s="199"/>
      <c r="E240" s="200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113"/>
      <c r="B241" s="42"/>
      <c r="C241" s="199"/>
      <c r="D241" s="199"/>
      <c r="E241" s="200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262"/>
      <c r="B242" s="263"/>
      <c r="C242" s="263"/>
      <c r="D242" s="263"/>
      <c r="E242" s="264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73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8:E28"/>
    <mergeCell ref="B30:C30"/>
    <mergeCell ref="G38:H38"/>
    <mergeCell ref="B40:C40"/>
    <mergeCell ref="C44:D44"/>
    <mergeCell ref="C45:D45"/>
    <mergeCell ref="A50:A51"/>
    <mergeCell ref="B50:C50"/>
    <mergeCell ref="B51:C51"/>
    <mergeCell ref="B52:C52"/>
    <mergeCell ref="A94:E94"/>
    <mergeCell ref="G94:K94"/>
    <mergeCell ref="M94:Q94"/>
    <mergeCell ref="A96:E96"/>
    <mergeCell ref="G96:K96"/>
    <mergeCell ref="M96:Q96"/>
    <mergeCell ref="B97:C97"/>
    <mergeCell ref="B99:C99"/>
    <mergeCell ref="D99:E99"/>
    <mergeCell ref="H99:I99"/>
    <mergeCell ref="J99:K99"/>
    <mergeCell ref="N99:O99"/>
    <mergeCell ref="P99:Q99"/>
    <mergeCell ref="B102:C102"/>
    <mergeCell ref="D102:E102"/>
    <mergeCell ref="H102:I102"/>
    <mergeCell ref="J102:K102"/>
    <mergeCell ref="N102:O102"/>
    <mergeCell ref="P102:Q102"/>
    <mergeCell ref="B105:C105"/>
    <mergeCell ref="D105:E105"/>
    <mergeCell ref="H105:I105"/>
    <mergeCell ref="J105:K105"/>
    <mergeCell ref="N105:O105"/>
    <mergeCell ref="P105:Q105"/>
    <mergeCell ref="A108:E108"/>
    <mergeCell ref="G108:K108"/>
    <mergeCell ref="M108:Q108"/>
    <mergeCell ref="A122:E122"/>
    <mergeCell ref="G122:K122"/>
    <mergeCell ref="M122:Q122"/>
    <mergeCell ref="H124:I124"/>
    <mergeCell ref="N124:O124"/>
    <mergeCell ref="N148:O148"/>
    <mergeCell ref="G150:G151"/>
    <mergeCell ref="H150:I150"/>
    <mergeCell ref="H151:I151"/>
    <mergeCell ref="H152:I152"/>
    <mergeCell ref="M153:M154"/>
    <mergeCell ref="N153:O153"/>
    <mergeCell ref="N154:O154"/>
    <mergeCell ref="N155:O155"/>
    <mergeCell ref="A159:A160"/>
    <mergeCell ref="B159:C159"/>
    <mergeCell ref="B160:C160"/>
    <mergeCell ref="B161:C161"/>
    <mergeCell ref="A171:E171"/>
    <mergeCell ref="A207:E207"/>
  </mergeCells>
  <dataValidations count="3">
    <dataValidation allowBlank="true" errorStyle="stop" operator="between" showDropDown="false" showErrorMessage="true" showInputMessage="false" sqref="A18:A20 H99 N99 G105 M105 O107 H110 N110" type="list">
      <formula1>#ref!</formula1>
      <formula2>0</formula2>
    </dataValidation>
    <dataValidation allowBlank="true" errorStyle="stop" operator="between" showDropDown="false" showErrorMessage="true" showInputMessage="false" sqref="B99" type="list">
      <formula1>$Y$97:$Y$105</formula1>
      <formula2>0</formula2>
    </dataValidation>
    <dataValidation allowBlank="true" errorStyle="stop" operator="between" showDropDown="false" showErrorMessage="true" showInputMessage="false" sqref="B26 A105 B110" type="list">
      <formula1>$I$3:$I$4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B97" activeCellId="0" sqref="B97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46854.17</v>
      </c>
      <c r="C3" s="239" t="n">
        <v>0</v>
      </c>
      <c r="D3" s="239" t="n">
        <v>833.33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0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46854.17</v>
      </c>
      <c r="C7" s="36" t="n">
        <f aca="false">C3-C6</f>
        <v>0</v>
      </c>
      <c r="D7" s="36" t="n">
        <f aca="false">D3-D6</f>
        <v>833.33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47687.5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550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9647.5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585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58525</v>
      </c>
      <c r="F15" s="67"/>
      <c r="G15" s="21" t="n">
        <f aca="false">E15</f>
        <v>58525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(B3+C3+D3+E3+E10)*1.2</f>
        <v>57885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58525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7.35" hidden="false" customHeight="fals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18.7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IF(A32=Y103,1,IF(A32=Y104,1,IF(A32=Y105,3,IF(A32=Y106,6,IF(A32=Y107,9,IF(A32=Y108,12,IF(A32=Y109,3,IF(A32=Y110,6,IF(A32=Y111,9,0)))))))))</f>
        <v>0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IF(A32=Y103,H29-H37,IF(A32=Y104,H29-H37,IF(A32=Y105,H29-1,IF(A32=Y106,H29-1,IF(A32=Y107,H29-1,IF(A32=Y108,H29-1,IF(A32=Y109,H29-H37,IF(A32=Y110,H29-H37,IF(A32=Y111,H29-H37,0)))))))))</f>
        <v>0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n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n">
        <f aca="false">IF(A32=Z103,D38,IF(A32=Z104,D38,IF(A32=Z105,(D38*3),IF(A32=Z106,(D38*6),IF(A32=Z107,(D38*9),IF(A32=Z108,(D38*12),IF(A32=Z109,D38,IF(A32=Z110,D38,IF(A32=Z111,D38,0)))))))))</f>
        <v>500</v>
      </c>
      <c r="C32" s="211"/>
      <c r="D32" s="211" t="n">
        <f aca="false">IF(A32=Z103,A41,IF(A32=Z104,A41,IF(A32=Z105,(A41*3),IF(A32=Z106,(A41*6),IF(A32=Z107,(A41*9),IF(A32=Z108,(A41*12),IF(A32=Z109,A41,IF(A32=Z110,A41,IF(A32=Z111,A41,0)))))))))</f>
        <v>50</v>
      </c>
      <c r="E32" s="211"/>
      <c r="F32" s="67"/>
      <c r="G32" s="212" t="s">
        <v>254</v>
      </c>
      <c r="H32" s="210" t="n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 t="s">
        <v>73</v>
      </c>
      <c r="H33" s="210" t="n">
        <f aca="false">D41</f>
        <v>6000</v>
      </c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n">
        <f aca="false">A44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31</v>
      </c>
      <c r="C38" s="207"/>
      <c r="D38" s="106" t="n">
        <v>500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263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50</v>
      </c>
      <c r="B41" s="224" t="n">
        <f aca="false">IF(B38="YES",D38+A41,D38)</f>
        <v>550</v>
      </c>
      <c r="C41" s="224"/>
      <c r="D41" s="106" t="n">
        <v>6000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152</v>
      </c>
      <c r="B43" s="223" t="s">
        <v>264</v>
      </c>
      <c r="C43" s="215"/>
      <c r="D43" s="223" t="s">
        <v>265</v>
      </c>
      <c r="E43" s="226"/>
      <c r="F43" s="67"/>
      <c r="G43" s="67" t="s">
        <v>266</v>
      </c>
      <c r="H43" s="7" t="n">
        <f aca="false">((((D38*(B35-1))+B32)/B35)+(A44/B35))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n">
        <v>12</v>
      </c>
      <c r="B44" s="106" t="n">
        <v>1</v>
      </c>
      <c r="C44" s="106"/>
      <c r="D44" s="106" t="n">
        <v>1</v>
      </c>
      <c r="E44" s="106"/>
      <c r="F44" s="67"/>
      <c r="G44" s="67" t="s">
        <v>267</v>
      </c>
      <c r="H44" s="7" t="n">
        <f aca="false">H32</f>
        <v>50</v>
      </c>
      <c r="I44" s="336" t="n">
        <f aca="false">((A41*(B35-1))+D32)/B35</f>
        <v>50</v>
      </c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22" t="s">
        <v>269</v>
      </c>
      <c r="B46" s="223" t="s">
        <v>270</v>
      </c>
      <c r="C46" s="215"/>
      <c r="D46" s="223" t="s">
        <v>271</v>
      </c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30" t="n">
        <v>0</v>
      </c>
      <c r="B47" s="350" t="n">
        <v>0.01</v>
      </c>
      <c r="C47" s="350"/>
      <c r="D47" s="106" t="n">
        <v>1</v>
      </c>
      <c r="E47" s="10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21"/>
      <c r="B48" s="215"/>
      <c r="C48" s="215"/>
      <c r="D48" s="215"/>
      <c r="E48" s="226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221" t="s">
        <v>397</v>
      </c>
      <c r="B49" s="215"/>
      <c r="C49" s="215"/>
      <c r="D49" s="215"/>
      <c r="E49" s="226"/>
      <c r="F49" s="67"/>
      <c r="G49" s="67"/>
      <c r="H49" s="7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06" t="s">
        <v>32</v>
      </c>
      <c r="B50" s="215"/>
      <c r="C50" s="215"/>
      <c r="D50" s="215"/>
      <c r="E50" s="226"/>
      <c r="F50" s="67"/>
      <c r="G50" s="67"/>
      <c r="H50" s="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21"/>
      <c r="B51" s="215"/>
      <c r="C51" s="215"/>
      <c r="D51" s="215"/>
      <c r="E51" s="226"/>
      <c r="F51" s="67"/>
      <c r="G51" s="67"/>
      <c r="H51" s="7"/>
      <c r="I51" s="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57" t="s">
        <v>284</v>
      </c>
      <c r="B52" s="215"/>
      <c r="C52" s="215"/>
      <c r="D52" s="215"/>
      <c r="E52" s="226"/>
      <c r="F52" s="67"/>
      <c r="G52" s="67"/>
      <c r="H52" s="7"/>
      <c r="I52" s="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221"/>
      <c r="B53" s="215"/>
      <c r="C53" s="215"/>
      <c r="D53" s="215"/>
      <c r="E53" s="226"/>
      <c r="F53" s="67"/>
      <c r="G53" s="67"/>
      <c r="H53" s="7"/>
      <c r="I53" s="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58" t="s">
        <v>94</v>
      </c>
      <c r="B54" s="199"/>
      <c r="C54" s="199"/>
      <c r="D54" s="259"/>
      <c r="E54" s="260"/>
      <c r="F54" s="67"/>
      <c r="G54" s="67"/>
      <c r="H54" s="7"/>
      <c r="I54" s="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8"/>
      <c r="B55" s="232"/>
      <c r="C55" s="232"/>
      <c r="D55" s="199"/>
      <c r="E55" s="200"/>
      <c r="F55" s="67"/>
      <c r="G55" s="67"/>
      <c r="H55" s="261"/>
      <c r="I55" s="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33" t="s">
        <v>95</v>
      </c>
      <c r="B56" s="234" t="s">
        <v>96</v>
      </c>
      <c r="C56" s="234"/>
      <c r="D56" s="199"/>
      <c r="E56" s="200"/>
      <c r="F56" s="67"/>
      <c r="G56" s="67"/>
      <c r="H56" s="67"/>
      <c r="I56" s="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233"/>
      <c r="B57" s="235" t="n">
        <f aca="false">H30</f>
        <v>5000</v>
      </c>
      <c r="C57" s="235"/>
      <c r="D57" s="199"/>
      <c r="E57" s="200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237" t="n">
        <f aca="false">H29</f>
        <v>12</v>
      </c>
      <c r="B58" s="78" t="n">
        <f aca="false">H45</f>
        <v>551</v>
      </c>
      <c r="C58" s="78"/>
      <c r="D58" s="199"/>
      <c r="E58" s="200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262"/>
      <c r="B60" s="263"/>
      <c r="C60" s="263"/>
      <c r="D60" s="263"/>
      <c r="E60" s="264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9"/>
      <c r="B61" s="199"/>
      <c r="C61" s="199"/>
      <c r="D61" s="199"/>
      <c r="E61" s="199"/>
      <c r="F61" s="67"/>
      <c r="G61" s="199"/>
      <c r="H61" s="199"/>
      <c r="I61" s="199"/>
      <c r="J61" s="199"/>
      <c r="K61" s="199"/>
      <c r="L61" s="67"/>
      <c r="M61" s="199"/>
      <c r="N61" s="199"/>
      <c r="O61" s="199"/>
      <c r="P61" s="199"/>
      <c r="Q61" s="199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5"/>
      <c r="B62" s="266"/>
      <c r="C62" s="266"/>
      <c r="D62" s="266"/>
      <c r="E62" s="267"/>
      <c r="F62" s="67"/>
      <c r="G62" s="265"/>
      <c r="H62" s="266"/>
      <c r="I62" s="266"/>
      <c r="J62" s="266"/>
      <c r="K62" s="267"/>
      <c r="L62" s="67"/>
      <c r="M62" s="265"/>
      <c r="N62" s="266"/>
      <c r="O62" s="266"/>
      <c r="P62" s="266"/>
      <c r="Q62" s="2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97</v>
      </c>
      <c r="B63" s="199" t="n">
        <f aca="false">IF(B105=Z103,1,IF(B105=Z104,1,IF(B105=Z105,3,IF(B105=Z106,6,IF(B105=Z107,9,IF(B105=Z108,12,IF(B105=Z109,3,IF(B105=Z110,6,IF(B105=Z111,9,0)))))))))</f>
        <v>12</v>
      </c>
      <c r="C63" s="199"/>
      <c r="D63" s="199"/>
      <c r="E63" s="200"/>
      <c r="F63" s="67"/>
      <c r="G63" s="198" t="s">
        <v>97</v>
      </c>
      <c r="H63" s="199" t="n">
        <f aca="false">IF(H105=Y103,1,IF(H105=Y104,1,IF(H105=Y105,3,IF(H105=Y106,6,IF(H105=Y107,9,IF(H105=Y108,12,IF(H105=Y109,3,IF(H105=Y110,6,IF(H105=Y111,9,0)))))))))</f>
        <v>0</v>
      </c>
      <c r="I63" s="199"/>
      <c r="J63" s="199"/>
      <c r="K63" s="200"/>
      <c r="L63" s="67"/>
      <c r="M63" s="198" t="s">
        <v>97</v>
      </c>
      <c r="N63" s="199" t="n">
        <f aca="false">IF(N105=Y103,1,IF(N105=Y104,1,IF(N105=Y105,3,IF(N105=Y106,6,IF(N105=Y107,9,IF(N105=Y108,12,IF(N105=Y109,3,IF(N105=Y110,6,IF(N105=Y111,9,0)))))))))</f>
        <v>0</v>
      </c>
      <c r="O63" s="199"/>
      <c r="P63" s="199"/>
      <c r="Q63" s="200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198" t="s">
        <v>98</v>
      </c>
      <c r="B64" s="199" t="n">
        <f aca="false">IF(B105=Z103,H29-B63,IF(B105=Z104,H29-B63,IF(B105=Z105,H29-1,IF(B105=Z106,H29-1,IF(B105=Z107,H29-1,IF(B105=Z108,H29-1,IF(B105=Z109,H29-B63,IF(B105=Z110,H29-B63,IF(B105=Z111,H29-B63,0)))))))))</f>
        <v>11</v>
      </c>
      <c r="C64" s="199"/>
      <c r="D64" s="199"/>
      <c r="E64" s="200"/>
      <c r="F64" s="67"/>
      <c r="G64" s="198" t="s">
        <v>98</v>
      </c>
      <c r="H64" s="199" t="n">
        <f aca="false">IF(H105=Y103,H29-H63,IF(H105=Y104,H29-H63,IF(H105=Y105,H29-1,IF(H105=Y106,H29-1,IF(H105=Y107,H29-1,IF(H105=Y108,H29-1,IF(H105=Y109,H29-H63,IF(H105=Y110,H29-H63,IF(H105=Y111,H29-H63,0)))))))))</f>
        <v>0</v>
      </c>
      <c r="I64" s="199"/>
      <c r="J64" s="199"/>
      <c r="K64" s="200"/>
      <c r="L64" s="67"/>
      <c r="M64" s="198" t="s">
        <v>98</v>
      </c>
      <c r="N64" s="199" t="n">
        <f aca="false">IF(N105=Y103,H29-N63,IF(N105=Y104,H29-N63,IF(N105=Y105,H29-1,IF(N105=Y106,H29-1,IF(N105=Y107,H29-1,IF(N105=Y108,H29-1,IF(N105=Y109,H29-N63,IF(N105=Y110,H29-N63,IF(N105=Y111,H29-N63,0)))))))))</f>
        <v>0</v>
      </c>
      <c r="O64" s="199"/>
      <c r="P64" s="199"/>
      <c r="Q64" s="200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198"/>
      <c r="B65" s="199"/>
      <c r="C65" s="199"/>
      <c r="D65" s="199"/>
      <c r="E65" s="200"/>
      <c r="F65" s="67"/>
      <c r="G65" s="198"/>
      <c r="H65" s="199"/>
      <c r="I65" s="199"/>
      <c r="J65" s="199"/>
      <c r="K65" s="200"/>
      <c r="L65" s="67"/>
      <c r="M65" s="198"/>
      <c r="N65" s="199"/>
      <c r="O65" s="199"/>
      <c r="P65" s="199"/>
      <c r="Q65" s="200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/>
      <c r="B66" s="199"/>
      <c r="C66" s="199"/>
      <c r="D66" s="199"/>
      <c r="E66" s="200"/>
      <c r="F66" s="67"/>
      <c r="G66" s="198"/>
      <c r="H66" s="199"/>
      <c r="I66" s="199"/>
      <c r="J66" s="199"/>
      <c r="K66" s="200"/>
      <c r="L66" s="67"/>
      <c r="M66" s="198"/>
      <c r="N66" s="199"/>
      <c r="O66" s="199"/>
      <c r="P66" s="199"/>
      <c r="Q66" s="200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198" t="s">
        <v>27</v>
      </c>
      <c r="B67" s="36" t="n">
        <f aca="false">G18</f>
        <v>57885</v>
      </c>
      <c r="C67" s="199"/>
      <c r="D67" s="199"/>
      <c r="E67" s="200"/>
      <c r="F67" s="67"/>
      <c r="G67" s="198" t="s">
        <v>27</v>
      </c>
      <c r="H67" s="36" t="n">
        <f aca="false">G18</f>
        <v>57885</v>
      </c>
      <c r="I67" s="199"/>
      <c r="J67" s="199"/>
      <c r="K67" s="200"/>
      <c r="L67" s="67"/>
      <c r="M67" s="198" t="s">
        <v>27</v>
      </c>
      <c r="N67" s="36" t="n">
        <f aca="false">G18</f>
        <v>57885</v>
      </c>
      <c r="O67" s="199"/>
      <c r="P67" s="199"/>
      <c r="Q67" s="200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287</v>
      </c>
      <c r="B68" s="269" t="n">
        <v>0.07</v>
      </c>
      <c r="C68" s="199"/>
      <c r="D68" s="199"/>
      <c r="E68" s="200"/>
      <c r="F68" s="67"/>
      <c r="G68" s="268" t="s">
        <v>287</v>
      </c>
      <c r="H68" s="269" t="n">
        <v>0.07</v>
      </c>
      <c r="I68" s="199"/>
      <c r="J68" s="199"/>
      <c r="K68" s="200"/>
      <c r="L68" s="67"/>
      <c r="M68" s="268" t="s">
        <v>287</v>
      </c>
      <c r="N68" s="269" t="n">
        <v>0.07</v>
      </c>
      <c r="O68" s="199"/>
      <c r="P68" s="199"/>
      <c r="Q68" s="200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198" t="s">
        <v>288</v>
      </c>
      <c r="B69" s="270" t="n">
        <f aca="false">B68+(B68*0.25*(H29/12-1))</f>
        <v>0.07</v>
      </c>
      <c r="C69" s="199"/>
      <c r="D69" s="199"/>
      <c r="E69" s="200"/>
      <c r="F69" s="67"/>
      <c r="G69" s="198" t="s">
        <v>288</v>
      </c>
      <c r="H69" s="270" t="n">
        <f aca="false">H68+(H68*0.25*(H29/12-1))</f>
        <v>0.07</v>
      </c>
      <c r="I69" s="199"/>
      <c r="J69" s="199"/>
      <c r="K69" s="200"/>
      <c r="L69" s="67"/>
      <c r="M69" s="198" t="s">
        <v>288</v>
      </c>
      <c r="N69" s="270" t="n">
        <f aca="false">N68+(N68*0.25*(H29/12-1))</f>
        <v>0.07</v>
      </c>
      <c r="O69" s="199"/>
      <c r="P69" s="199"/>
      <c r="Q69" s="200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103</v>
      </c>
      <c r="B70" s="69" t="n">
        <f aca="false">B67*B69</f>
        <v>4051.95</v>
      </c>
      <c r="C70" s="199"/>
      <c r="D70" s="36" t="n">
        <f aca="false">B70-A151</f>
        <v>4051.95</v>
      </c>
      <c r="E70" s="200" t="n">
        <f aca="false">D70/12</f>
        <v>337.6625</v>
      </c>
      <c r="F70" s="67"/>
      <c r="G70" s="262" t="s">
        <v>103</v>
      </c>
      <c r="H70" s="69" t="n">
        <f aca="false">H67*H69</f>
        <v>4051.95</v>
      </c>
      <c r="I70" s="199"/>
      <c r="J70" s="36" t="n">
        <f aca="false">H70-G151</f>
        <v>4051.95</v>
      </c>
      <c r="K70" s="200"/>
      <c r="L70" s="67"/>
      <c r="M70" s="262" t="s">
        <v>103</v>
      </c>
      <c r="N70" s="69" t="n">
        <f aca="false">N67*N69</f>
        <v>4051.95</v>
      </c>
      <c r="O70" s="199"/>
      <c r="P70" s="36" t="n">
        <f aca="false">N70-M151</f>
        <v>4051.95</v>
      </c>
      <c r="Q70" s="200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104</v>
      </c>
      <c r="B71" s="269" t="n">
        <v>0.01</v>
      </c>
      <c r="C71" s="199"/>
      <c r="D71" s="199"/>
      <c r="E71" s="200"/>
      <c r="F71" s="67"/>
      <c r="G71" s="268" t="s">
        <v>104</v>
      </c>
      <c r="H71" s="269" t="n">
        <v>0.005</v>
      </c>
      <c r="I71" s="199"/>
      <c r="J71" s="199"/>
      <c r="K71" s="200"/>
      <c r="L71" s="67"/>
      <c r="M71" s="268" t="s">
        <v>104</v>
      </c>
      <c r="N71" s="269" t="n">
        <v>0.005</v>
      </c>
      <c r="O71" s="199"/>
      <c r="P71" s="199"/>
      <c r="Q71" s="200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198" t="s">
        <v>105</v>
      </c>
      <c r="B72" s="270" t="n">
        <f aca="false">B71+(B71*0.5*(H29/12-1))</f>
        <v>0.01</v>
      </c>
      <c r="C72" s="199"/>
      <c r="D72" s="199"/>
      <c r="E72" s="200"/>
      <c r="F72" s="67"/>
      <c r="G72" s="198" t="s">
        <v>105</v>
      </c>
      <c r="H72" s="270" t="n">
        <f aca="false">H71+(H71*0.5*(H29/12-1))</f>
        <v>0.005</v>
      </c>
      <c r="I72" s="199"/>
      <c r="J72" s="199"/>
      <c r="K72" s="200"/>
      <c r="L72" s="67"/>
      <c r="M72" s="198" t="s">
        <v>105</v>
      </c>
      <c r="N72" s="270" t="n">
        <f aca="false">N71+(N71*0.5*(H29/12-1))</f>
        <v>0.005</v>
      </c>
      <c r="O72" s="199"/>
      <c r="P72" s="199"/>
      <c r="Q72" s="200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106</v>
      </c>
      <c r="B73" s="69" t="n">
        <f aca="false">B67*B72</f>
        <v>578.85</v>
      </c>
      <c r="C73" s="199"/>
      <c r="D73" s="36"/>
      <c r="E73" s="200"/>
      <c r="F73" s="67"/>
      <c r="G73" s="262" t="s">
        <v>106</v>
      </c>
      <c r="H73" s="69" t="n">
        <f aca="false">H67*H72</f>
        <v>289.425</v>
      </c>
      <c r="I73" s="199"/>
      <c r="J73" s="36"/>
      <c r="K73" s="200"/>
      <c r="L73" s="67"/>
      <c r="M73" s="262" t="s">
        <v>106</v>
      </c>
      <c r="N73" s="69" t="n">
        <f aca="false">N67*N72</f>
        <v>289.425</v>
      </c>
      <c r="O73" s="199"/>
      <c r="P73" s="36"/>
      <c r="Q73" s="200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107</v>
      </c>
      <c r="B74" s="269" t="n">
        <v>0.0075</v>
      </c>
      <c r="C74" s="199"/>
      <c r="D74" s="199"/>
      <c r="E74" s="200"/>
      <c r="F74" s="67"/>
      <c r="G74" s="268" t="s">
        <v>107</v>
      </c>
      <c r="H74" s="269" t="n">
        <v>0.0075</v>
      </c>
      <c r="I74" s="199"/>
      <c r="J74" s="199"/>
      <c r="K74" s="200"/>
      <c r="L74" s="67"/>
      <c r="M74" s="268" t="s">
        <v>107</v>
      </c>
      <c r="N74" s="269" t="n">
        <v>0.0075</v>
      </c>
      <c r="O74" s="199"/>
      <c r="P74" s="199"/>
      <c r="Q74" s="200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108</v>
      </c>
      <c r="B75" s="273" t="n">
        <v>0.12</v>
      </c>
      <c r="C75" s="199"/>
      <c r="D75" s="199"/>
      <c r="E75" s="200"/>
      <c r="F75" s="67"/>
      <c r="G75" s="272" t="s">
        <v>108</v>
      </c>
      <c r="H75" s="273" t="n">
        <v>0.12</v>
      </c>
      <c r="I75" s="199"/>
      <c r="J75" s="199"/>
      <c r="K75" s="200"/>
      <c r="L75" s="67"/>
      <c r="M75" s="272" t="s">
        <v>108</v>
      </c>
      <c r="N75" s="273" t="n">
        <v>0.12</v>
      </c>
      <c r="O75" s="199"/>
      <c r="P75" s="199"/>
      <c r="Q75" s="200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109</v>
      </c>
      <c r="B76" s="274" t="n">
        <f aca="false">B74*(1+B75)</f>
        <v>0.0084</v>
      </c>
      <c r="C76" s="199"/>
      <c r="D76" s="199"/>
      <c r="E76" s="200"/>
      <c r="F76" s="67"/>
      <c r="G76" s="262" t="s">
        <v>109</v>
      </c>
      <c r="H76" s="274" t="n">
        <f aca="false">H74*(1+H75)</f>
        <v>0.0084</v>
      </c>
      <c r="I76" s="199"/>
      <c r="J76" s="199"/>
      <c r="K76" s="200"/>
      <c r="L76" s="67"/>
      <c r="M76" s="262" t="s">
        <v>109</v>
      </c>
      <c r="N76" s="274" t="n">
        <f aca="false">N74*(1+N75)</f>
        <v>0.0084</v>
      </c>
      <c r="O76" s="199"/>
      <c r="P76" s="199"/>
      <c r="Q76" s="200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110</v>
      </c>
      <c r="B77" s="90" t="n">
        <v>200</v>
      </c>
      <c r="C77" s="199"/>
      <c r="D77" s="199"/>
      <c r="E77" s="200"/>
      <c r="F77" s="67"/>
      <c r="G77" s="268" t="s">
        <v>110</v>
      </c>
      <c r="H77" s="90" t="n">
        <v>160</v>
      </c>
      <c r="I77" s="199"/>
      <c r="J77" s="199"/>
      <c r="K77" s="200"/>
      <c r="L77" s="67"/>
      <c r="M77" s="268" t="s">
        <v>110</v>
      </c>
      <c r="N77" s="90" t="n">
        <v>160</v>
      </c>
      <c r="O77" s="199"/>
      <c r="P77" s="199"/>
      <c r="Q77" s="200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272" t="s">
        <v>111</v>
      </c>
      <c r="B78" s="81" t="n">
        <v>5</v>
      </c>
      <c r="C78" s="199"/>
      <c r="D78" s="199"/>
      <c r="E78" s="200"/>
      <c r="F78" s="67"/>
      <c r="G78" s="272" t="s">
        <v>111</v>
      </c>
      <c r="H78" s="81" t="n">
        <v>4.5</v>
      </c>
      <c r="I78" s="199"/>
      <c r="J78" s="199"/>
      <c r="K78" s="200"/>
      <c r="L78" s="67"/>
      <c r="M78" s="272" t="s">
        <v>111</v>
      </c>
      <c r="N78" s="81" t="n">
        <v>4.5</v>
      </c>
      <c r="O78" s="199"/>
      <c r="P78" s="199"/>
      <c r="Q78" s="200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62" t="s">
        <v>112</v>
      </c>
      <c r="B79" s="69" t="n">
        <f aca="false">B78*H29</f>
        <v>60</v>
      </c>
      <c r="C79" s="199"/>
      <c r="D79" s="36" t="n">
        <f aca="false">B79+B77</f>
        <v>260</v>
      </c>
      <c r="E79" s="333" t="n">
        <f aca="false">D79+D85+D86</f>
        <v>660</v>
      </c>
      <c r="F79" s="67"/>
      <c r="G79" s="262" t="s">
        <v>112</v>
      </c>
      <c r="H79" s="69" t="n">
        <f aca="false">H78*H29</f>
        <v>54</v>
      </c>
      <c r="I79" s="199"/>
      <c r="J79" s="36" t="n">
        <f aca="false">H79+H77</f>
        <v>214</v>
      </c>
      <c r="K79" s="200"/>
      <c r="L79" s="67"/>
      <c r="M79" s="262" t="s">
        <v>112</v>
      </c>
      <c r="N79" s="69" t="n">
        <f aca="false">N78*H29</f>
        <v>54</v>
      </c>
      <c r="O79" s="199"/>
      <c r="P79" s="36" t="n">
        <f aca="false">N79+N77</f>
        <v>214</v>
      </c>
      <c r="Q79" s="200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68" t="s">
        <v>289</v>
      </c>
      <c r="B80" s="90" t="n">
        <v>0</v>
      </c>
      <c r="C80" s="199"/>
      <c r="D80" s="199"/>
      <c r="E80" s="333" t="n">
        <f aca="false">E79+D82</f>
        <v>660</v>
      </c>
      <c r="F80" s="67"/>
      <c r="G80" s="268" t="s">
        <v>289</v>
      </c>
      <c r="H80" s="90" t="n">
        <v>150</v>
      </c>
      <c r="I80" s="199"/>
      <c r="J80" s="199"/>
      <c r="K80" s="200"/>
      <c r="L80" s="67"/>
      <c r="M80" s="339" t="s">
        <v>289</v>
      </c>
      <c r="N80" s="340" t="n">
        <v>0</v>
      </c>
      <c r="O80" s="199"/>
      <c r="P80" s="199"/>
      <c r="Q80" s="200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2" t="s">
        <v>290</v>
      </c>
      <c r="B81" s="81" t="n">
        <v>0</v>
      </c>
      <c r="C81" s="199"/>
      <c r="D81" s="199"/>
      <c r="E81" s="200" t="n">
        <f aca="false">E80/12</f>
        <v>55</v>
      </c>
      <c r="F81" s="67"/>
      <c r="G81" s="272" t="s">
        <v>290</v>
      </c>
      <c r="H81" s="81" t="n">
        <f aca="false">IF(G18&gt;40000,325,0)</f>
        <v>325</v>
      </c>
      <c r="I81" s="199"/>
      <c r="J81" s="199"/>
      <c r="K81" s="200"/>
      <c r="L81" s="67"/>
      <c r="M81" s="341" t="s">
        <v>290</v>
      </c>
      <c r="N81" s="342" t="n">
        <v>0</v>
      </c>
      <c r="O81" s="199"/>
      <c r="P81" s="199"/>
      <c r="Q81" s="200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262" t="s">
        <v>291</v>
      </c>
      <c r="B82" s="69" t="n">
        <f aca="false">((B80+B81)/12)*(H29-11)</f>
        <v>0</v>
      </c>
      <c r="C82" s="199"/>
      <c r="D82" s="36" t="n">
        <f aca="false">IF(A50="YES",0,B82)</f>
        <v>0</v>
      </c>
      <c r="E82" s="200"/>
      <c r="F82" s="67"/>
      <c r="G82" s="262" t="s">
        <v>291</v>
      </c>
      <c r="H82" s="69" t="n">
        <f aca="false">((H80+H81)/12)*(H29-11)</f>
        <v>39.5833333333333</v>
      </c>
      <c r="I82" s="199"/>
      <c r="J82" s="36" t="n">
        <f aca="false">IF(A50="YES",0,H82)</f>
        <v>39.5833333333333</v>
      </c>
      <c r="K82" s="200"/>
      <c r="L82" s="67"/>
      <c r="M82" s="343" t="s">
        <v>291</v>
      </c>
      <c r="N82" s="344" t="n">
        <f aca="false">((N80+N81)/12)*(H29-11)</f>
        <v>0</v>
      </c>
      <c r="O82" s="199"/>
      <c r="P82" s="36" t="n">
        <f aca="false">IF(A50="YES",0,N82)</f>
        <v>0</v>
      </c>
      <c r="Q82" s="200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68" t="s">
        <v>292</v>
      </c>
      <c r="B83" s="90" t="n">
        <v>0</v>
      </c>
      <c r="C83" s="199"/>
      <c r="D83" s="36" t="n">
        <f aca="false">B83</f>
        <v>0</v>
      </c>
      <c r="E83" s="200" t="n">
        <f aca="false">D83/12</f>
        <v>0</v>
      </c>
      <c r="F83" s="67"/>
      <c r="G83" s="268" t="s">
        <v>292</v>
      </c>
      <c r="H83" s="90" t="n">
        <f aca="false">H108</f>
        <v>1200</v>
      </c>
      <c r="I83" s="199"/>
      <c r="J83" s="36" t="n">
        <f aca="false">H83</f>
        <v>1200</v>
      </c>
      <c r="K83" s="200"/>
      <c r="L83" s="67"/>
      <c r="M83" s="268" t="s">
        <v>292</v>
      </c>
      <c r="N83" s="90" t="n">
        <f aca="false">N108</f>
        <v>1200</v>
      </c>
      <c r="O83" s="199"/>
      <c r="P83" s="36" t="n">
        <f aca="false">N83</f>
        <v>1200</v>
      </c>
      <c r="Q83" s="200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 t="s">
        <v>351</v>
      </c>
      <c r="B84" s="37" t="n">
        <v>0</v>
      </c>
      <c r="C84" s="199"/>
      <c r="D84" s="36" t="n">
        <f aca="false">B84</f>
        <v>0</v>
      </c>
      <c r="E84" s="200"/>
      <c r="F84" s="67"/>
      <c r="G84" s="198" t="s">
        <v>293</v>
      </c>
      <c r="H84" s="37" t="n">
        <f aca="false">J108</f>
        <v>1500</v>
      </c>
      <c r="I84" s="199"/>
      <c r="J84" s="36" t="n">
        <f aca="false">H84</f>
        <v>1500</v>
      </c>
      <c r="K84" s="200"/>
      <c r="L84" s="67"/>
      <c r="M84" s="198" t="s">
        <v>293</v>
      </c>
      <c r="N84" s="37" t="n">
        <f aca="false">P108</f>
        <v>1500</v>
      </c>
      <c r="O84" s="199"/>
      <c r="P84" s="36" t="n">
        <f aca="false">N84</f>
        <v>1500</v>
      </c>
      <c r="Q84" s="200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72" t="s">
        <v>113</v>
      </c>
      <c r="B85" s="81" t="n">
        <v>200</v>
      </c>
      <c r="C85" s="199"/>
      <c r="D85" s="36" t="n">
        <f aca="false">B85</f>
        <v>200</v>
      </c>
      <c r="E85" s="200"/>
      <c r="F85" s="67"/>
      <c r="G85" s="272" t="s">
        <v>113</v>
      </c>
      <c r="H85" s="81" t="n">
        <v>100</v>
      </c>
      <c r="I85" s="199"/>
      <c r="J85" s="36" t="n">
        <f aca="false">H85</f>
        <v>100</v>
      </c>
      <c r="K85" s="200"/>
      <c r="L85" s="67"/>
      <c r="M85" s="272" t="s">
        <v>113</v>
      </c>
      <c r="N85" s="81" t="n">
        <v>100</v>
      </c>
      <c r="O85" s="199"/>
      <c r="P85" s="36" t="n">
        <f aca="false">N85</f>
        <v>100</v>
      </c>
      <c r="Q85" s="200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275" t="s">
        <v>114</v>
      </c>
      <c r="B86" s="91" t="n">
        <v>200</v>
      </c>
      <c r="C86" s="199"/>
      <c r="D86" s="36" t="n">
        <f aca="false">B86</f>
        <v>200</v>
      </c>
      <c r="E86" s="200"/>
      <c r="F86" s="67"/>
      <c r="G86" s="275" t="s">
        <v>114</v>
      </c>
      <c r="H86" s="91" t="n">
        <v>100</v>
      </c>
      <c r="I86" s="199"/>
      <c r="J86" s="36" t="n">
        <f aca="false">H86</f>
        <v>100</v>
      </c>
      <c r="K86" s="200"/>
      <c r="L86" s="67"/>
      <c r="M86" s="275" t="s">
        <v>114</v>
      </c>
      <c r="N86" s="91" t="n">
        <v>100</v>
      </c>
      <c r="O86" s="199"/>
      <c r="P86" s="36" t="n">
        <f aca="false">N86</f>
        <v>100</v>
      </c>
      <c r="Q86" s="200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76" t="s">
        <v>115</v>
      </c>
      <c r="B87" s="277" t="n">
        <f aca="false">SUM(D70:D86)</f>
        <v>4711.95</v>
      </c>
      <c r="C87" s="199"/>
      <c r="D87" s="199"/>
      <c r="E87" s="200"/>
      <c r="F87" s="67"/>
      <c r="G87" s="276" t="s">
        <v>115</v>
      </c>
      <c r="H87" s="277" t="n">
        <f aca="false">SUM(J70:J86)</f>
        <v>7205.53333333333</v>
      </c>
      <c r="I87" s="199"/>
      <c r="J87" s="199"/>
      <c r="K87" s="200"/>
      <c r="L87" s="67"/>
      <c r="M87" s="276" t="s">
        <v>115</v>
      </c>
      <c r="N87" s="277" t="n">
        <f aca="false">SUM(P70:P86)</f>
        <v>7165.95</v>
      </c>
      <c r="O87" s="199"/>
      <c r="P87" s="199"/>
      <c r="Q87" s="200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 t="s">
        <v>116</v>
      </c>
      <c r="B88" s="37" t="n">
        <f aca="false">B87/H29</f>
        <v>392.6625</v>
      </c>
      <c r="C88" s="199"/>
      <c r="D88" s="199"/>
      <c r="E88" s="200"/>
      <c r="F88" s="67"/>
      <c r="G88" s="198" t="s">
        <v>116</v>
      </c>
      <c r="H88" s="37" t="n">
        <f aca="false">H87/H29</f>
        <v>600.461111111111</v>
      </c>
      <c r="I88" s="199"/>
      <c r="J88" s="199"/>
      <c r="K88" s="200"/>
      <c r="L88" s="67"/>
      <c r="M88" s="198" t="s">
        <v>116</v>
      </c>
      <c r="N88" s="37" t="n">
        <f aca="false">N87/H29</f>
        <v>597.1625</v>
      </c>
      <c r="O88" s="199"/>
      <c r="P88" s="199"/>
      <c r="Q88" s="200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8" t="s">
        <v>117</v>
      </c>
      <c r="B89" s="63" t="n">
        <f aca="false">H46</f>
        <v>501</v>
      </c>
      <c r="C89" s="199"/>
      <c r="D89" s="199"/>
      <c r="E89" s="200"/>
      <c r="F89" s="67"/>
      <c r="G89" s="278" t="s">
        <v>117</v>
      </c>
      <c r="H89" s="63" t="n">
        <f aca="false">H46</f>
        <v>501</v>
      </c>
      <c r="I89" s="199"/>
      <c r="J89" s="199"/>
      <c r="K89" s="200"/>
      <c r="L89" s="67"/>
      <c r="M89" s="278" t="s">
        <v>117</v>
      </c>
      <c r="N89" s="63" t="n">
        <f aca="false">H46</f>
        <v>501</v>
      </c>
      <c r="O89" s="199"/>
      <c r="P89" s="199"/>
      <c r="Q89" s="200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198"/>
      <c r="B90" s="36"/>
      <c r="C90" s="199"/>
      <c r="D90" s="199"/>
      <c r="E90" s="200"/>
      <c r="F90" s="67"/>
      <c r="G90" s="198"/>
      <c r="H90" s="36"/>
      <c r="I90" s="199"/>
      <c r="J90" s="199"/>
      <c r="K90" s="200"/>
      <c r="L90" s="67"/>
      <c r="M90" s="198"/>
      <c r="N90" s="36"/>
      <c r="O90" s="199"/>
      <c r="P90" s="199"/>
      <c r="Q90" s="200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65" t="s">
        <v>127</v>
      </c>
      <c r="B91" s="31" t="n">
        <f aca="false">((B89*H29)+B87)</f>
        <v>10723.95</v>
      </c>
      <c r="C91" s="199"/>
      <c r="D91" s="199"/>
      <c r="E91" s="200"/>
      <c r="F91" s="67"/>
      <c r="G91" s="265" t="s">
        <v>127</v>
      </c>
      <c r="H91" s="31" t="n">
        <f aca="false">((H89*H29)+H87)*1.2</f>
        <v>15861.04</v>
      </c>
      <c r="I91" s="199"/>
      <c r="J91" s="199"/>
      <c r="K91" s="200"/>
      <c r="L91" s="67"/>
      <c r="M91" s="265" t="s">
        <v>127</v>
      </c>
      <c r="N91" s="31" t="n">
        <f aca="false">((N89*H29)+N87)</f>
        <v>13177.95</v>
      </c>
      <c r="O91" s="199"/>
      <c r="P91" s="199"/>
      <c r="Q91" s="200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198" t="s">
        <v>128</v>
      </c>
      <c r="B92" s="37" t="n">
        <f aca="false">(((B89*H29)+B87)/(1-B76))*B76</f>
        <v>90.8442718838241</v>
      </c>
      <c r="C92" s="199"/>
      <c r="D92" s="199"/>
      <c r="E92" s="345"/>
      <c r="F92" s="67"/>
      <c r="G92" s="198" t="s">
        <v>128</v>
      </c>
      <c r="H92" s="37" t="n">
        <f aca="false">(((H89*H29)+H87)/(1-H76))*H76</f>
        <v>111.967809600645</v>
      </c>
      <c r="I92" s="199"/>
      <c r="J92" s="199"/>
      <c r="K92" s="200"/>
      <c r="L92" s="67"/>
      <c r="M92" s="198" t="s">
        <v>128</v>
      </c>
      <c r="N92" s="37" t="n">
        <f aca="false">(N91/(1-N76))*N76</f>
        <v>111.632492940702</v>
      </c>
      <c r="O92" s="199"/>
      <c r="P92" s="199"/>
      <c r="Q92" s="200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262" t="s">
        <v>129</v>
      </c>
      <c r="B93" s="69" t="n">
        <f aca="false">IF(B116="YES",((B91+B92)-E120),(B91+B92))</f>
        <v>10814.7942718838</v>
      </c>
      <c r="C93" s="199"/>
      <c r="D93" s="199"/>
      <c r="E93" s="200"/>
      <c r="F93" s="67"/>
      <c r="G93" s="262" t="s">
        <v>129</v>
      </c>
      <c r="H93" s="69" t="n">
        <f aca="false">IF(H116="YES",((H91+H92)-K120),(H91+H92))</f>
        <v>17973.0078096006</v>
      </c>
      <c r="I93" s="199"/>
      <c r="J93" s="199"/>
      <c r="K93" s="200"/>
      <c r="L93" s="67"/>
      <c r="M93" s="262" t="s">
        <v>129</v>
      </c>
      <c r="N93" s="69" t="n">
        <f aca="false">IF(N116="YES",((N91+N92)-K120),(N91+N92))</f>
        <v>15289.5824929407</v>
      </c>
      <c r="O93" s="199"/>
      <c r="P93" s="199"/>
      <c r="Q93" s="200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18.75" hidden="false" customHeight="true" outlineLevel="0" collapsed="false">
      <c r="A94" s="198"/>
      <c r="B94" s="36"/>
      <c r="C94" s="199"/>
      <c r="D94" s="199"/>
      <c r="E94" s="200"/>
      <c r="F94" s="67"/>
      <c r="G94" s="198"/>
      <c r="H94" s="36"/>
      <c r="I94" s="199"/>
      <c r="J94" s="199"/>
      <c r="K94" s="200"/>
      <c r="L94" s="67"/>
      <c r="M94" s="198"/>
      <c r="N94" s="36"/>
      <c r="O94" s="199"/>
      <c r="P94" s="199"/>
      <c r="Q94" s="200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276" t="s">
        <v>130</v>
      </c>
      <c r="B95" s="277" t="n">
        <f aca="false">((H44*B35)+((H44*B35)*B111))/(B63+B64)</f>
        <v>31.304347826087</v>
      </c>
      <c r="C95" s="199"/>
      <c r="D95" s="199"/>
      <c r="E95" s="200"/>
      <c r="F95" s="67"/>
      <c r="G95" s="276" t="s">
        <v>130</v>
      </c>
      <c r="H95" s="277" t="e">
        <f aca="false">(((H44*B35)+((H44*B35)*H111))/(H63+H64))*1.2</f>
        <v>#DIV/0!</v>
      </c>
      <c r="I95" s="199"/>
      <c r="J95" s="199"/>
      <c r="K95" s="200"/>
      <c r="L95" s="67"/>
      <c r="M95" s="276" t="s">
        <v>130</v>
      </c>
      <c r="N95" s="277" t="e">
        <f aca="false">((H44*B35)+((H44*B35)*N111))/(N63+N64)</f>
        <v>#DIV/0!</v>
      </c>
      <c r="O95" s="199"/>
      <c r="P95" s="199"/>
      <c r="Q95" s="200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80" t="s">
        <v>131</v>
      </c>
      <c r="B96" s="281" t="n">
        <f aca="false">IF(B105=Y104,(B93-D111)/(B64),B93/(B63+B64))</f>
        <v>470.208446603645</v>
      </c>
      <c r="C96" s="199"/>
      <c r="D96" s="199"/>
      <c r="E96" s="200"/>
      <c r="F96" s="67"/>
      <c r="G96" s="280" t="s">
        <v>131</v>
      </c>
      <c r="H96" s="281" t="e">
        <f aca="false">IF(H105=Y104,(H93-J111)/(H64),H93/(H63+H64))</f>
        <v>#DIV/0!</v>
      </c>
      <c r="I96" s="199"/>
      <c r="J96" s="199"/>
      <c r="K96" s="200"/>
      <c r="L96" s="67"/>
      <c r="M96" s="280" t="s">
        <v>131</v>
      </c>
      <c r="N96" s="281" t="e">
        <f aca="false">IF(N105=Y104,(N93-P111)/(N64),N93/(N63+N64))</f>
        <v>#DIV/0!</v>
      </c>
      <c r="O96" s="199"/>
      <c r="P96" s="199"/>
      <c r="Q96" s="200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282" t="s">
        <v>132</v>
      </c>
      <c r="B97" s="283" t="n">
        <f aca="false">IF(A111="YES",B96+B95,B96)</f>
        <v>501.512794429731</v>
      </c>
      <c r="C97" s="199"/>
      <c r="D97" s="346"/>
      <c r="E97" s="200"/>
      <c r="F97" s="67"/>
      <c r="G97" s="282" t="s">
        <v>132</v>
      </c>
      <c r="H97" s="283" t="e">
        <f aca="false">IF(G111="YES",H96+H95,H96)</f>
        <v>#DIV/0!</v>
      </c>
      <c r="I97" s="199"/>
      <c r="J97" s="199"/>
      <c r="K97" s="200"/>
      <c r="L97" s="67"/>
      <c r="M97" s="282" t="s">
        <v>132</v>
      </c>
      <c r="N97" s="283" t="e">
        <f aca="false">IF(M111="YES",N96+N95,N96)</f>
        <v>#DIV/0!</v>
      </c>
      <c r="O97" s="199"/>
      <c r="P97" s="199"/>
      <c r="Q97" s="200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262"/>
      <c r="B98" s="263"/>
      <c r="C98" s="263"/>
      <c r="D98" s="263"/>
      <c r="E98" s="264"/>
      <c r="F98" s="67"/>
      <c r="G98" s="262"/>
      <c r="H98" s="263"/>
      <c r="I98" s="263"/>
      <c r="J98" s="263"/>
      <c r="K98" s="264"/>
      <c r="L98" s="67"/>
      <c r="M98" s="262"/>
      <c r="N98" s="263"/>
      <c r="O98" s="263"/>
      <c r="P98" s="263"/>
      <c r="Q98" s="264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199"/>
      <c r="B99" s="199"/>
      <c r="C99" s="199"/>
      <c r="D99" s="199"/>
      <c r="E99" s="199"/>
      <c r="F99" s="67"/>
      <c r="G99" s="199"/>
      <c r="H99" s="199"/>
      <c r="I99" s="199"/>
      <c r="J99" s="199"/>
      <c r="K99" s="199"/>
      <c r="L99" s="67"/>
      <c r="M99" s="199"/>
      <c r="N99" s="199"/>
      <c r="O99" s="199"/>
      <c r="P99" s="199"/>
      <c r="Q99" s="199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48.75" hidden="false" customHeight="true" outlineLevel="0" collapsed="false">
      <c r="A100" s="197" t="s">
        <v>342</v>
      </c>
      <c r="B100" s="197"/>
      <c r="C100" s="197"/>
      <c r="D100" s="197"/>
      <c r="E100" s="197"/>
      <c r="F100" s="67"/>
      <c r="G100" s="197" t="s">
        <v>294</v>
      </c>
      <c r="H100" s="197"/>
      <c r="I100" s="197"/>
      <c r="J100" s="197"/>
      <c r="K100" s="197"/>
      <c r="L100" s="67"/>
      <c r="M100" s="197" t="s">
        <v>352</v>
      </c>
      <c r="N100" s="197"/>
      <c r="O100" s="197"/>
      <c r="P100" s="197"/>
      <c r="Q100" s="197"/>
      <c r="R100" s="67"/>
      <c r="S100" s="67"/>
      <c r="T100" s="67"/>
      <c r="U100" s="67"/>
      <c r="V100" s="67"/>
      <c r="W100" s="67"/>
      <c r="X100" s="67"/>
      <c r="Y100" s="67"/>
      <c r="Z100" s="67"/>
    </row>
    <row r="101" customFormat="false" ht="18.75" hidden="false" customHeight="true" outlineLevel="0" collapsed="false">
      <c r="A101" s="198"/>
      <c r="B101" s="199"/>
      <c r="C101" s="199"/>
      <c r="D101" s="199"/>
      <c r="E101" s="200"/>
      <c r="F101" s="67"/>
      <c r="G101" s="198"/>
      <c r="H101" s="199"/>
      <c r="I101" s="199"/>
      <c r="J101" s="199"/>
      <c r="K101" s="200"/>
      <c r="L101" s="67"/>
      <c r="M101" s="198"/>
      <c r="N101" s="199"/>
      <c r="O101" s="199"/>
      <c r="P101" s="199"/>
      <c r="Q101" s="200"/>
      <c r="R101" s="67"/>
      <c r="S101" s="67"/>
      <c r="T101" s="67"/>
      <c r="U101" s="67"/>
      <c r="V101" s="67"/>
      <c r="W101" s="67"/>
      <c r="X101" s="67"/>
      <c r="Y101" s="67"/>
      <c r="Z101" s="67"/>
    </row>
    <row r="102" customFormat="false" ht="18.75" hidden="false" customHeight="true" outlineLevel="0" collapsed="false">
      <c r="A102" s="201" t="s">
        <v>137</v>
      </c>
      <c r="B102" s="201"/>
      <c r="C102" s="201"/>
      <c r="D102" s="201"/>
      <c r="E102" s="201"/>
      <c r="F102" s="67"/>
      <c r="G102" s="201" t="s">
        <v>137</v>
      </c>
      <c r="H102" s="201"/>
      <c r="I102" s="201"/>
      <c r="J102" s="201"/>
      <c r="K102" s="201"/>
      <c r="L102" s="67"/>
      <c r="M102" s="201" t="s">
        <v>137</v>
      </c>
      <c r="N102" s="201"/>
      <c r="O102" s="201"/>
      <c r="P102" s="201"/>
      <c r="Q102" s="201"/>
      <c r="R102" s="67"/>
      <c r="S102" s="67"/>
      <c r="T102" s="67"/>
      <c r="U102" s="67"/>
      <c r="V102" s="67"/>
      <c r="W102" s="67"/>
      <c r="X102" s="67"/>
      <c r="Y102" s="67"/>
      <c r="Z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198"/>
      <c r="N103" s="199"/>
      <c r="O103" s="199"/>
      <c r="P103" s="199"/>
      <c r="Q103" s="200"/>
      <c r="R103" s="67"/>
      <c r="S103" s="67"/>
      <c r="T103" s="67"/>
      <c r="U103" s="67"/>
      <c r="V103" s="67"/>
      <c r="W103" s="67"/>
      <c r="X103" s="67"/>
      <c r="Y103" s="67"/>
      <c r="Z103" s="67" t="s">
        <v>141</v>
      </c>
    </row>
    <row r="104" customFormat="false" ht="18.75" hidden="false" customHeight="true" outlineLevel="0" collapsed="false">
      <c r="A104" s="198" t="s">
        <v>138</v>
      </c>
      <c r="B104" s="199" t="s">
        <v>36</v>
      </c>
      <c r="C104" s="199"/>
      <c r="D104" s="199" t="s">
        <v>295</v>
      </c>
      <c r="E104" s="200"/>
      <c r="F104" s="67"/>
      <c r="G104" s="198" t="s">
        <v>138</v>
      </c>
      <c r="H104" s="199" t="s">
        <v>36</v>
      </c>
      <c r="I104" s="199"/>
      <c r="J104" s="199" t="s">
        <v>295</v>
      </c>
      <c r="K104" s="200"/>
      <c r="L104" s="67"/>
      <c r="M104" s="198" t="s">
        <v>138</v>
      </c>
      <c r="N104" s="199" t="s">
        <v>36</v>
      </c>
      <c r="O104" s="199"/>
      <c r="P104" s="199" t="s">
        <v>295</v>
      </c>
      <c r="Q104" s="200"/>
      <c r="R104" s="67"/>
      <c r="S104" s="67"/>
      <c r="T104" s="67"/>
      <c r="U104" s="67"/>
      <c r="V104" s="67"/>
      <c r="W104" s="67"/>
      <c r="X104" s="67"/>
      <c r="Y104" s="67"/>
      <c r="Z104" s="67" t="s">
        <v>273</v>
      </c>
    </row>
    <row r="105" customFormat="false" ht="18.75" hidden="false" customHeight="true" outlineLevel="0" collapsed="false">
      <c r="A105" s="204" t="s">
        <v>296</v>
      </c>
      <c r="B105" s="284" t="s">
        <v>277</v>
      </c>
      <c r="C105" s="284"/>
      <c r="D105" s="347" t="n">
        <v>0</v>
      </c>
      <c r="E105" s="347"/>
      <c r="F105" s="67"/>
      <c r="G105" s="204" t="s">
        <v>296</v>
      </c>
      <c r="H105" s="284" t="s">
        <v>278</v>
      </c>
      <c r="I105" s="284"/>
      <c r="J105" s="347" t="n">
        <v>5000</v>
      </c>
      <c r="K105" s="347"/>
      <c r="L105" s="67"/>
      <c r="M105" s="204" t="s">
        <v>296</v>
      </c>
      <c r="N105" s="284" t="s">
        <v>277</v>
      </c>
      <c r="O105" s="284"/>
      <c r="P105" s="347" t="n">
        <v>0</v>
      </c>
      <c r="Q105" s="347"/>
      <c r="R105" s="67"/>
      <c r="S105" s="67"/>
      <c r="T105" s="67"/>
      <c r="U105" s="67"/>
      <c r="V105" s="67"/>
      <c r="W105" s="67"/>
      <c r="X105" s="67"/>
      <c r="Y105" s="67"/>
      <c r="Z105" s="67" t="s">
        <v>274</v>
      </c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198"/>
      <c r="N106" s="199"/>
      <c r="O106" s="199"/>
      <c r="P106" s="199"/>
      <c r="Q106" s="200"/>
      <c r="R106" s="67"/>
      <c r="S106" s="67"/>
      <c r="T106" s="67"/>
      <c r="U106" s="67"/>
      <c r="V106" s="67"/>
      <c r="W106" s="67"/>
      <c r="X106" s="67"/>
      <c r="Y106" s="67"/>
      <c r="Z106" s="67" t="s">
        <v>275</v>
      </c>
    </row>
    <row r="107" customFormat="false" ht="18.75" hidden="false" customHeight="true" outlineLevel="0" collapsed="false">
      <c r="A107" s="198" t="s">
        <v>297</v>
      </c>
      <c r="B107" s="199" t="s">
        <v>298</v>
      </c>
      <c r="C107" s="199"/>
      <c r="D107" s="199" t="s">
        <v>299</v>
      </c>
      <c r="E107" s="200"/>
      <c r="F107" s="67"/>
      <c r="G107" s="198" t="s">
        <v>297</v>
      </c>
      <c r="H107" s="199" t="s">
        <v>298</v>
      </c>
      <c r="I107" s="199"/>
      <c r="J107" s="199" t="s">
        <v>299</v>
      </c>
      <c r="K107" s="200"/>
      <c r="L107" s="67"/>
      <c r="M107" s="198" t="s">
        <v>297</v>
      </c>
      <c r="N107" s="199" t="s">
        <v>298</v>
      </c>
      <c r="O107" s="199"/>
      <c r="P107" s="199" t="s">
        <v>299</v>
      </c>
      <c r="Q107" s="200"/>
      <c r="R107" s="67"/>
      <c r="S107" s="67"/>
      <c r="T107" s="67"/>
      <c r="U107" s="67"/>
      <c r="V107" s="67"/>
      <c r="W107" s="67"/>
      <c r="X107" s="67"/>
      <c r="Y107" s="67"/>
      <c r="Z107" s="67" t="s">
        <v>276</v>
      </c>
    </row>
    <row r="108" customFormat="false" ht="18.75" hidden="false" customHeight="true" outlineLevel="0" collapsed="false">
      <c r="A108" s="285" t="n">
        <v>199.99</v>
      </c>
      <c r="B108" s="109" t="n">
        <v>0</v>
      </c>
      <c r="C108" s="109"/>
      <c r="D108" s="109" t="n">
        <v>0</v>
      </c>
      <c r="E108" s="109"/>
      <c r="F108" s="67"/>
      <c r="G108" s="285" t="n">
        <f aca="false">199.99*1.2</f>
        <v>239.988</v>
      </c>
      <c r="H108" s="109" t="n">
        <v>1200</v>
      </c>
      <c r="I108" s="109"/>
      <c r="J108" s="109" t="n">
        <v>1500</v>
      </c>
      <c r="K108" s="109"/>
      <c r="L108" s="67"/>
      <c r="M108" s="285" t="n">
        <v>199.99</v>
      </c>
      <c r="N108" s="109" t="n">
        <v>1200</v>
      </c>
      <c r="O108" s="109"/>
      <c r="P108" s="109" t="n">
        <v>1500</v>
      </c>
      <c r="Q108" s="109"/>
      <c r="R108" s="67"/>
      <c r="S108" s="67"/>
      <c r="T108" s="67"/>
      <c r="U108" s="67"/>
      <c r="V108" s="67"/>
      <c r="W108" s="67"/>
      <c r="X108" s="67"/>
      <c r="Y108" s="67"/>
      <c r="Z108" s="67" t="s">
        <v>277</v>
      </c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198"/>
      <c r="N109" s="199"/>
      <c r="O109" s="199"/>
      <c r="P109" s="199"/>
      <c r="Q109" s="200"/>
      <c r="R109" s="67"/>
      <c r="S109" s="67"/>
      <c r="T109" s="67"/>
      <c r="U109" s="67"/>
      <c r="V109" s="67"/>
      <c r="W109" s="67"/>
      <c r="X109" s="67"/>
      <c r="Y109" s="67"/>
      <c r="Z109" s="67" t="s">
        <v>278</v>
      </c>
    </row>
    <row r="110" customFormat="false" ht="18.75" hidden="false" customHeight="true" outlineLevel="0" collapsed="false">
      <c r="A110" s="204" t="s">
        <v>139</v>
      </c>
      <c r="B110" s="67" t="s">
        <v>142</v>
      </c>
      <c r="C110" s="199"/>
      <c r="D110" s="199" t="s">
        <v>153</v>
      </c>
      <c r="E110" s="200"/>
      <c r="F110" s="67"/>
      <c r="G110" s="204" t="s">
        <v>139</v>
      </c>
      <c r="H110" s="67" t="s">
        <v>142</v>
      </c>
      <c r="I110" s="199"/>
      <c r="J110" s="199" t="s">
        <v>153</v>
      </c>
      <c r="K110" s="200"/>
      <c r="L110" s="67"/>
      <c r="M110" s="204" t="s">
        <v>139</v>
      </c>
      <c r="N110" s="67" t="s">
        <v>142</v>
      </c>
      <c r="O110" s="199"/>
      <c r="P110" s="199" t="s">
        <v>153</v>
      </c>
      <c r="Q110" s="200"/>
      <c r="R110" s="67"/>
      <c r="S110" s="67"/>
      <c r="T110" s="67"/>
      <c r="U110" s="67"/>
      <c r="V110" s="67"/>
      <c r="W110" s="67"/>
      <c r="X110" s="67"/>
      <c r="Y110" s="67"/>
      <c r="Z110" s="67" t="s">
        <v>279</v>
      </c>
    </row>
    <row r="111" customFormat="false" ht="18.75" hidden="false" customHeight="true" outlineLevel="0" collapsed="false">
      <c r="A111" s="206" t="s">
        <v>31</v>
      </c>
      <c r="B111" s="286" t="n">
        <v>0.2</v>
      </c>
      <c r="C111" s="286"/>
      <c r="D111" s="109" t="n">
        <v>200</v>
      </c>
      <c r="E111" s="109"/>
      <c r="F111" s="67"/>
      <c r="G111" s="206" t="s">
        <v>31</v>
      </c>
      <c r="H111" s="286" t="n">
        <v>0.2</v>
      </c>
      <c r="I111" s="286"/>
      <c r="J111" s="109" t="n">
        <v>5000</v>
      </c>
      <c r="K111" s="109"/>
      <c r="L111" s="67"/>
      <c r="M111" s="206" t="s">
        <v>31</v>
      </c>
      <c r="N111" s="286" t="n">
        <v>0.2</v>
      </c>
      <c r="O111" s="286"/>
      <c r="P111" s="109" t="n">
        <v>5000</v>
      </c>
      <c r="Q111" s="109"/>
      <c r="R111" s="67"/>
      <c r="S111" s="67"/>
      <c r="T111" s="67"/>
      <c r="U111" s="67"/>
      <c r="V111" s="67"/>
      <c r="W111" s="67"/>
      <c r="X111" s="67"/>
      <c r="Y111" s="67"/>
      <c r="Z111" s="67" t="s">
        <v>280</v>
      </c>
    </row>
    <row r="112" customFormat="false" ht="18.75" hidden="false" customHeight="true" outlineLevel="0" collapsed="false">
      <c r="A112" s="198"/>
      <c r="B112" s="199"/>
      <c r="C112" s="199"/>
      <c r="D112" s="199"/>
      <c r="E112" s="200"/>
      <c r="F112" s="67"/>
      <c r="G112" s="198"/>
      <c r="H112" s="199"/>
      <c r="I112" s="199"/>
      <c r="J112" s="199"/>
      <c r="K112" s="200"/>
      <c r="L112" s="67"/>
      <c r="M112" s="198"/>
      <c r="N112" s="199"/>
      <c r="O112" s="199"/>
      <c r="P112" s="199"/>
      <c r="Q112" s="200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/>
      <c r="B113" s="199"/>
      <c r="C113" s="199"/>
      <c r="D113" s="199"/>
      <c r="E113" s="200"/>
      <c r="F113" s="67"/>
      <c r="G113" s="198"/>
      <c r="H113" s="199"/>
      <c r="I113" s="199"/>
      <c r="J113" s="199"/>
      <c r="K113" s="200"/>
      <c r="L113" s="67"/>
      <c r="M113" s="198"/>
      <c r="N113" s="199" t="s">
        <v>353</v>
      </c>
      <c r="O113" s="206" t="s">
        <v>31</v>
      </c>
      <c r="P113" s="199"/>
      <c r="Q113" s="200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201" t="s">
        <v>300</v>
      </c>
      <c r="B114" s="201"/>
      <c r="C114" s="201"/>
      <c r="D114" s="201"/>
      <c r="E114" s="201"/>
      <c r="F114" s="67"/>
      <c r="G114" s="201" t="s">
        <v>300</v>
      </c>
      <c r="H114" s="201"/>
      <c r="I114" s="201"/>
      <c r="J114" s="201"/>
      <c r="K114" s="201"/>
      <c r="L114" s="67"/>
      <c r="M114" s="201" t="s">
        <v>300</v>
      </c>
      <c r="N114" s="201"/>
      <c r="O114" s="201"/>
      <c r="P114" s="201"/>
      <c r="Q114" s="201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/>
      <c r="B115" s="199"/>
      <c r="C115" s="199"/>
      <c r="D115" s="199"/>
      <c r="E115" s="200"/>
      <c r="F115" s="67"/>
      <c r="G115" s="198"/>
      <c r="H115" s="199"/>
      <c r="I115" s="199"/>
      <c r="J115" s="199"/>
      <c r="K115" s="200"/>
      <c r="L115" s="67"/>
      <c r="M115" s="198"/>
      <c r="N115" s="199"/>
      <c r="O115" s="199"/>
      <c r="P115" s="199"/>
      <c r="Q115" s="200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 t="s">
        <v>301</v>
      </c>
      <c r="B116" s="206" t="s">
        <v>32</v>
      </c>
      <c r="C116" s="199"/>
      <c r="D116" s="199"/>
      <c r="E116" s="200"/>
      <c r="F116" s="67"/>
      <c r="G116" s="198" t="s">
        <v>301</v>
      </c>
      <c r="H116" s="206" t="s">
        <v>31</v>
      </c>
      <c r="I116" s="199"/>
      <c r="J116" s="199"/>
      <c r="K116" s="200"/>
      <c r="L116" s="67"/>
      <c r="M116" s="198" t="s">
        <v>301</v>
      </c>
      <c r="N116" s="206" t="s">
        <v>31</v>
      </c>
      <c r="O116" s="199"/>
      <c r="P116" s="199"/>
      <c r="Q116" s="200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198"/>
      <c r="B117" s="199"/>
      <c r="C117" s="199"/>
      <c r="D117" s="199"/>
      <c r="E117" s="200"/>
      <c r="F117" s="67"/>
      <c r="G117" s="198"/>
      <c r="H117" s="199"/>
      <c r="I117" s="199"/>
      <c r="J117" s="199"/>
      <c r="K117" s="200"/>
      <c r="L117" s="67"/>
      <c r="M117" s="198"/>
      <c r="N117" s="199"/>
      <c r="O117" s="199"/>
      <c r="P117" s="199"/>
      <c r="Q117" s="200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186</v>
      </c>
      <c r="B118" s="199"/>
      <c r="C118" s="199"/>
      <c r="D118" s="285" t="n">
        <v>0</v>
      </c>
      <c r="E118" s="109" t="n">
        <v>0</v>
      </c>
      <c r="F118" s="67"/>
      <c r="G118" s="198" t="s">
        <v>186</v>
      </c>
      <c r="H118" s="199"/>
      <c r="I118" s="199"/>
      <c r="J118" s="285" t="n">
        <v>10000</v>
      </c>
      <c r="K118" s="109" t="n">
        <v>5000</v>
      </c>
      <c r="L118" s="67"/>
      <c r="M118" s="198" t="s">
        <v>186</v>
      </c>
      <c r="N118" s="199"/>
      <c r="O118" s="199"/>
      <c r="P118" s="285" t="n">
        <v>10000</v>
      </c>
      <c r="Q118" s="109" t="n">
        <v>5000</v>
      </c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198" t="s">
        <v>187</v>
      </c>
      <c r="B119" s="199"/>
      <c r="C119" s="199"/>
      <c r="D119" s="43" t="n">
        <f aca="false">E119</f>
        <v>0</v>
      </c>
      <c r="E119" s="109" t="n">
        <v>0</v>
      </c>
      <c r="F119" s="67"/>
      <c r="G119" s="198" t="s">
        <v>187</v>
      </c>
      <c r="H119" s="199"/>
      <c r="I119" s="199"/>
      <c r="J119" s="43" t="n">
        <f aca="false">K119</f>
        <v>7000</v>
      </c>
      <c r="K119" s="109" t="n">
        <v>7000</v>
      </c>
      <c r="L119" s="67"/>
      <c r="M119" s="198" t="s">
        <v>187</v>
      </c>
      <c r="N119" s="199"/>
      <c r="O119" s="199"/>
      <c r="P119" s="43" t="n">
        <f aca="false">Q119</f>
        <v>7000</v>
      </c>
      <c r="Q119" s="109" t="n">
        <v>7000</v>
      </c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 t="s">
        <v>188</v>
      </c>
      <c r="B120" s="199"/>
      <c r="C120" s="199"/>
      <c r="D120" s="43" t="n">
        <f aca="false">D118-D119</f>
        <v>0</v>
      </c>
      <c r="E120" s="157" t="n">
        <f aca="false">E118-E119</f>
        <v>0</v>
      </c>
      <c r="F120" s="67"/>
      <c r="G120" s="198" t="s">
        <v>188</v>
      </c>
      <c r="H120" s="199"/>
      <c r="I120" s="199"/>
      <c r="J120" s="43" t="n">
        <f aca="false">J118-J119</f>
        <v>3000</v>
      </c>
      <c r="K120" s="157" t="n">
        <f aca="false">K118-K119</f>
        <v>-2000</v>
      </c>
      <c r="L120" s="67"/>
      <c r="M120" s="198" t="s">
        <v>188</v>
      </c>
      <c r="N120" s="199"/>
      <c r="O120" s="199"/>
      <c r="P120" s="43" t="n">
        <f aca="false">P118-P119</f>
        <v>3000</v>
      </c>
      <c r="Q120" s="157" t="n">
        <f aca="false">Q118-Q119</f>
        <v>-2000</v>
      </c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 t="s">
        <v>189</v>
      </c>
      <c r="B121" s="199"/>
      <c r="C121" s="199"/>
      <c r="D121" s="43" t="n">
        <f aca="false">D120-E120</f>
        <v>0</v>
      </c>
      <c r="E121" s="200"/>
      <c r="F121" s="67"/>
      <c r="G121" s="198" t="s">
        <v>189</v>
      </c>
      <c r="H121" s="199"/>
      <c r="I121" s="199"/>
      <c r="J121" s="43" t="n">
        <f aca="false">J120-K120</f>
        <v>5000</v>
      </c>
      <c r="K121" s="200"/>
      <c r="L121" s="67"/>
      <c r="M121" s="198" t="s">
        <v>189</v>
      </c>
      <c r="N121" s="199"/>
      <c r="O121" s="199"/>
      <c r="P121" s="43" t="n">
        <f aca="false">P120-Q120</f>
        <v>5000</v>
      </c>
      <c r="Q121" s="200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198"/>
      <c r="B122" s="199"/>
      <c r="C122" s="199"/>
      <c r="D122" s="199"/>
      <c r="E122" s="200"/>
      <c r="F122" s="67"/>
      <c r="G122" s="198"/>
      <c r="H122" s="199"/>
      <c r="I122" s="199"/>
      <c r="J122" s="199"/>
      <c r="K122" s="200"/>
      <c r="L122" s="67"/>
      <c r="M122" s="198"/>
      <c r="N122" s="199"/>
      <c r="O122" s="199"/>
      <c r="P122" s="199"/>
      <c r="Q122" s="200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265" t="s">
        <v>149</v>
      </c>
      <c r="B123" s="266"/>
      <c r="C123" s="266"/>
      <c r="D123" s="266"/>
      <c r="E123" s="31" t="n">
        <f aca="false">D105</f>
        <v>0</v>
      </c>
      <c r="F123" s="67"/>
      <c r="G123" s="265" t="s">
        <v>149</v>
      </c>
      <c r="H123" s="266"/>
      <c r="I123" s="266"/>
      <c r="J123" s="266"/>
      <c r="K123" s="31" t="n">
        <f aca="false">J105</f>
        <v>5000</v>
      </c>
      <c r="L123" s="67"/>
      <c r="M123" s="265" t="s">
        <v>149</v>
      </c>
      <c r="N123" s="266"/>
      <c r="O123" s="266"/>
      <c r="P123" s="266"/>
      <c r="Q123" s="31" t="n">
        <f aca="false">P105</f>
        <v>0</v>
      </c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198" t="s">
        <v>66</v>
      </c>
      <c r="B124" s="199"/>
      <c r="C124" s="199"/>
      <c r="D124" s="199"/>
      <c r="E124" s="37" t="n">
        <f aca="false">A108</f>
        <v>199.99</v>
      </c>
      <c r="F124" s="67"/>
      <c r="G124" s="198" t="s">
        <v>66</v>
      </c>
      <c r="H124" s="199"/>
      <c r="I124" s="199"/>
      <c r="J124" s="199"/>
      <c r="K124" s="37" t="n">
        <f aca="false">G108</f>
        <v>239.988</v>
      </c>
      <c r="L124" s="67"/>
      <c r="M124" s="198" t="s">
        <v>66</v>
      </c>
      <c r="N124" s="199"/>
      <c r="O124" s="199"/>
      <c r="P124" s="199"/>
      <c r="Q124" s="37" t="n">
        <f aca="false">M108</f>
        <v>199.99</v>
      </c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87" t="s">
        <v>302</v>
      </c>
      <c r="B125" s="263"/>
      <c r="C125" s="263"/>
      <c r="D125" s="263"/>
      <c r="E125" s="69" t="n">
        <f aca="false">(E124+E123)-E120</f>
        <v>199.99</v>
      </c>
      <c r="F125" s="67"/>
      <c r="G125" s="287" t="s">
        <v>302</v>
      </c>
      <c r="H125" s="263"/>
      <c r="I125" s="263"/>
      <c r="J125" s="263"/>
      <c r="K125" s="69" t="n">
        <f aca="false">(K124+K123)-K120</f>
        <v>7239.988</v>
      </c>
      <c r="L125" s="67"/>
      <c r="M125" s="287" t="s">
        <v>302</v>
      </c>
      <c r="N125" s="263"/>
      <c r="O125" s="263"/>
      <c r="P125" s="263"/>
      <c r="Q125" s="69" t="n">
        <f aca="false">(Q124+Q123)-Q120</f>
        <v>2199.99</v>
      </c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198"/>
      <c r="B126" s="199"/>
      <c r="C126" s="199"/>
      <c r="D126" s="199"/>
      <c r="E126" s="200"/>
      <c r="F126" s="67"/>
      <c r="G126" s="198"/>
      <c r="H126" s="199"/>
      <c r="I126" s="199"/>
      <c r="J126" s="199"/>
      <c r="K126" s="200"/>
      <c r="L126" s="67"/>
      <c r="M126" s="198"/>
      <c r="N126" s="199"/>
      <c r="O126" s="199"/>
      <c r="P126" s="199"/>
      <c r="Q126" s="200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198"/>
      <c r="B127" s="199"/>
      <c r="C127" s="199"/>
      <c r="D127" s="199"/>
      <c r="E127" s="200"/>
      <c r="F127" s="67"/>
      <c r="G127" s="198"/>
      <c r="H127" s="199"/>
      <c r="I127" s="199"/>
      <c r="J127" s="199"/>
      <c r="K127" s="200"/>
      <c r="L127" s="67"/>
      <c r="M127" s="198"/>
      <c r="N127" s="199"/>
      <c r="O127" s="199"/>
      <c r="P127" s="199"/>
      <c r="Q127" s="200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01" t="s">
        <v>303</v>
      </c>
      <c r="B128" s="201"/>
      <c r="C128" s="201"/>
      <c r="D128" s="201"/>
      <c r="E128" s="201"/>
      <c r="F128" s="67"/>
      <c r="G128" s="201" t="s">
        <v>303</v>
      </c>
      <c r="H128" s="201"/>
      <c r="I128" s="201"/>
      <c r="J128" s="201"/>
      <c r="K128" s="201"/>
      <c r="L128" s="67"/>
      <c r="M128" s="201" t="s">
        <v>303</v>
      </c>
      <c r="N128" s="201"/>
      <c r="O128" s="201"/>
      <c r="P128" s="201"/>
      <c r="Q128" s="201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198"/>
      <c r="H129" s="199"/>
      <c r="I129" s="199"/>
      <c r="J129" s="199"/>
      <c r="K129" s="200"/>
      <c r="L129" s="67"/>
      <c r="M129" s="198"/>
      <c r="N129" s="199"/>
      <c r="O129" s="199"/>
      <c r="P129" s="199"/>
      <c r="Q129" s="200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198" t="s">
        <v>194</v>
      </c>
      <c r="B130" s="162" t="n">
        <v>1200</v>
      </c>
      <c r="C130" s="162"/>
      <c r="D130" s="199"/>
      <c r="E130" s="200"/>
      <c r="F130" s="67"/>
      <c r="G130" s="198" t="s">
        <v>194</v>
      </c>
      <c r="H130" s="162" t="n">
        <v>0</v>
      </c>
      <c r="I130" s="162"/>
      <c r="J130" s="199"/>
      <c r="K130" s="200"/>
      <c r="L130" s="67"/>
      <c r="M130" s="198" t="s">
        <v>194</v>
      </c>
      <c r="N130" s="162" t="n">
        <v>0</v>
      </c>
      <c r="O130" s="162"/>
      <c r="P130" s="199"/>
      <c r="Q130" s="200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198"/>
      <c r="B131" s="199"/>
      <c r="C131" s="199"/>
      <c r="D131" s="199"/>
      <c r="E131" s="200"/>
      <c r="F131" s="67"/>
      <c r="G131" s="198"/>
      <c r="H131" s="199"/>
      <c r="I131" s="199"/>
      <c r="J131" s="199"/>
      <c r="K131" s="200"/>
      <c r="L131" s="67"/>
      <c r="M131" s="198"/>
      <c r="N131" s="199"/>
      <c r="O131" s="199"/>
      <c r="P131" s="199"/>
      <c r="Q131" s="200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 t="s">
        <v>95</v>
      </c>
      <c r="B132" s="199" t="s">
        <v>96</v>
      </c>
      <c r="C132" s="199"/>
      <c r="D132" s="199" t="s">
        <v>98</v>
      </c>
      <c r="E132" s="200"/>
      <c r="F132" s="67"/>
      <c r="G132" s="198" t="s">
        <v>95</v>
      </c>
      <c r="H132" s="199" t="s">
        <v>96</v>
      </c>
      <c r="I132" s="199"/>
      <c r="J132" s="199" t="s">
        <v>98</v>
      </c>
      <c r="K132" s="200"/>
      <c r="L132" s="67"/>
      <c r="M132" s="198" t="s">
        <v>95</v>
      </c>
      <c r="N132" s="199" t="s">
        <v>96</v>
      </c>
      <c r="O132" s="199"/>
      <c r="P132" s="199" t="s">
        <v>98</v>
      </c>
      <c r="Q132" s="200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213" t="n">
        <f aca="false">A158</f>
        <v>12</v>
      </c>
      <c r="B133" s="214" t="n">
        <f aca="false">B157</f>
        <v>5000</v>
      </c>
      <c r="C133" s="215"/>
      <c r="D133" s="214" t="n">
        <f aca="false">B64</f>
        <v>11</v>
      </c>
      <c r="E133" s="200"/>
      <c r="F133" s="67"/>
      <c r="G133" s="213" t="n">
        <f aca="false">G158</f>
        <v>12</v>
      </c>
      <c r="H133" s="214" t="n">
        <f aca="false">B157</f>
        <v>5000</v>
      </c>
      <c r="I133" s="215"/>
      <c r="J133" s="214" t="n">
        <f aca="false">B64</f>
        <v>11</v>
      </c>
      <c r="K133" s="200"/>
      <c r="L133" s="67"/>
      <c r="M133" s="213" t="n">
        <f aca="false">M161</f>
        <v>12</v>
      </c>
      <c r="N133" s="214" t="n">
        <f aca="false">B157</f>
        <v>5000</v>
      </c>
      <c r="O133" s="215"/>
      <c r="P133" s="214" t="n">
        <f aca="false">B64</f>
        <v>11</v>
      </c>
      <c r="Q133" s="200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98"/>
      <c r="B134" s="199"/>
      <c r="C134" s="199"/>
      <c r="D134" s="199"/>
      <c r="E134" s="200"/>
      <c r="F134" s="67"/>
      <c r="G134" s="198"/>
      <c r="H134" s="199"/>
      <c r="I134" s="199"/>
      <c r="J134" s="199"/>
      <c r="K134" s="200"/>
      <c r="L134" s="67"/>
      <c r="M134" s="198"/>
      <c r="N134" s="199"/>
      <c r="O134" s="199"/>
      <c r="P134" s="199"/>
      <c r="Q134" s="200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296" t="s">
        <v>354</v>
      </c>
      <c r="B135" s="297" t="s">
        <v>262</v>
      </c>
      <c r="C135" s="297"/>
      <c r="D135" s="297" t="s">
        <v>132</v>
      </c>
      <c r="E135" s="200"/>
      <c r="F135" s="67"/>
      <c r="G135" s="296" t="s">
        <v>306</v>
      </c>
      <c r="H135" s="297" t="s">
        <v>307</v>
      </c>
      <c r="I135" s="297"/>
      <c r="J135" s="297" t="s">
        <v>308</v>
      </c>
      <c r="K135" s="200"/>
      <c r="L135" s="67"/>
      <c r="M135" s="296" t="s">
        <v>354</v>
      </c>
      <c r="N135" s="297" t="s">
        <v>262</v>
      </c>
      <c r="O135" s="297"/>
      <c r="P135" s="297" t="s">
        <v>132</v>
      </c>
      <c r="Q135" s="200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300" t="n">
        <f aca="false">B96</f>
        <v>470.208446603645</v>
      </c>
      <c r="B136" s="166" t="n">
        <f aca="false">IF(A111="YES",B95*B63,0)</f>
        <v>375.652173913044</v>
      </c>
      <c r="C136" s="166"/>
      <c r="D136" s="166" t="n">
        <f aca="false">B97</f>
        <v>501.512794429731</v>
      </c>
      <c r="E136" s="200"/>
      <c r="F136" s="67"/>
      <c r="G136" s="300" t="e">
        <f aca="false">H96</f>
        <v>#DIV/0!</v>
      </c>
      <c r="H136" s="166" t="e">
        <f aca="false">IF(G111="YES",H95*H63,0)</f>
        <v>#DIV/0!</v>
      </c>
      <c r="I136" s="166"/>
      <c r="J136" s="301" t="e">
        <f aca="false">H97</f>
        <v>#DIV/0!</v>
      </c>
      <c r="K136" s="200"/>
      <c r="L136" s="67"/>
      <c r="M136" s="300" t="e">
        <f aca="false">N96</f>
        <v>#DIV/0!</v>
      </c>
      <c r="N136" s="166" t="e">
        <f aca="false">IF(M111="YES",N95*N63,0)</f>
        <v>#DIV/0!</v>
      </c>
      <c r="O136" s="166"/>
      <c r="P136" s="166" t="e">
        <f aca="false">N97</f>
        <v>#DIV/0!</v>
      </c>
      <c r="Q136" s="200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98"/>
      <c r="B137" s="199"/>
      <c r="C137" s="199"/>
      <c r="D137" s="199"/>
      <c r="E137" s="200"/>
      <c r="F137" s="67"/>
      <c r="G137" s="198"/>
      <c r="H137" s="199"/>
      <c r="I137" s="199"/>
      <c r="J137" s="199"/>
      <c r="K137" s="200"/>
      <c r="L137" s="67"/>
      <c r="M137" s="198"/>
      <c r="N137" s="199"/>
      <c r="O137" s="199"/>
      <c r="P137" s="199"/>
      <c r="Q137" s="200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 t="s">
        <v>355</v>
      </c>
      <c r="B138" s="199" t="s">
        <v>252</v>
      </c>
      <c r="C138" s="199"/>
      <c r="D138" s="199" t="s">
        <v>256</v>
      </c>
      <c r="E138" s="200"/>
      <c r="F138" s="67"/>
      <c r="G138" s="198" t="s">
        <v>311</v>
      </c>
      <c r="H138" s="199" t="s">
        <v>312</v>
      </c>
      <c r="I138" s="199"/>
      <c r="J138" s="199" t="s">
        <v>313</v>
      </c>
      <c r="K138" s="200"/>
      <c r="L138" s="67"/>
      <c r="M138" s="198" t="s">
        <v>355</v>
      </c>
      <c r="N138" s="199" t="s">
        <v>252</v>
      </c>
      <c r="O138" s="199"/>
      <c r="P138" s="199" t="s">
        <v>256</v>
      </c>
      <c r="Q138" s="200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171" t="n">
        <f aca="false">B96*B63</f>
        <v>5642.50135924373</v>
      </c>
      <c r="B139" s="42" t="n">
        <f aca="false">IF(A111="YES",B95*B63,0)</f>
        <v>375.652173913044</v>
      </c>
      <c r="C139" s="205"/>
      <c r="D139" s="170" t="n">
        <f aca="false">B97*B63</f>
        <v>6018.15353315678</v>
      </c>
      <c r="E139" s="200"/>
      <c r="F139" s="67"/>
      <c r="G139" s="171" t="e">
        <f aca="false">H96*H63</f>
        <v>#DIV/0!</v>
      </c>
      <c r="H139" s="42" t="e">
        <f aca="false">IF(G111="YES",H95*H63,0)</f>
        <v>#DIV/0!</v>
      </c>
      <c r="I139" s="205"/>
      <c r="J139" s="42" t="e">
        <f aca="false">H97*H63</f>
        <v>#DIV/0!</v>
      </c>
      <c r="K139" s="200"/>
      <c r="L139" s="67"/>
      <c r="M139" s="171" t="e">
        <f aca="false">N96*N63</f>
        <v>#DIV/0!</v>
      </c>
      <c r="N139" s="42" t="e">
        <f aca="false">IF(M111="YES",N95*N63,0)</f>
        <v>#DIV/0!</v>
      </c>
      <c r="O139" s="205"/>
      <c r="P139" s="170" t="e">
        <f aca="false">N97*N63</f>
        <v>#DIV/0!</v>
      </c>
      <c r="Q139" s="200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198"/>
      <c r="B140" s="199"/>
      <c r="C140" s="199"/>
      <c r="D140" s="199"/>
      <c r="E140" s="200"/>
      <c r="F140" s="67"/>
      <c r="G140" s="198"/>
      <c r="H140" s="199"/>
      <c r="I140" s="199"/>
      <c r="J140" s="199"/>
      <c r="K140" s="200"/>
      <c r="L140" s="67"/>
      <c r="M140" s="198"/>
      <c r="N140" s="199"/>
      <c r="O140" s="199"/>
      <c r="P140" s="199"/>
      <c r="Q140" s="200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198" t="s">
        <v>264</v>
      </c>
      <c r="B141" s="199" t="s">
        <v>265</v>
      </c>
      <c r="C141" s="199"/>
      <c r="D141" s="199" t="s">
        <v>269</v>
      </c>
      <c r="E141" s="200"/>
      <c r="F141" s="67"/>
      <c r="G141" s="198" t="s">
        <v>316</v>
      </c>
      <c r="H141" s="199" t="s">
        <v>317</v>
      </c>
      <c r="I141" s="199"/>
      <c r="J141" s="199" t="s">
        <v>318</v>
      </c>
      <c r="K141" s="200"/>
      <c r="L141" s="67"/>
      <c r="M141" s="198" t="s">
        <v>264</v>
      </c>
      <c r="N141" s="199" t="s">
        <v>265</v>
      </c>
      <c r="O141" s="199"/>
      <c r="P141" s="199" t="s">
        <v>269</v>
      </c>
      <c r="Q141" s="200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113" t="n">
        <f aca="false">E15*0.000006</f>
        <v>0.35115</v>
      </c>
      <c r="B142" s="42" t="n">
        <f aca="false">IF(A111="YES",E15*0.000002,0)</f>
        <v>0.11705</v>
      </c>
      <c r="C142" s="42"/>
      <c r="D142" s="42" t="n">
        <f aca="false">A142+B142</f>
        <v>0.4682</v>
      </c>
      <c r="E142" s="107"/>
      <c r="F142" s="67"/>
      <c r="G142" s="113" t="n">
        <f aca="false">E15*0.000006</f>
        <v>0.35115</v>
      </c>
      <c r="H142" s="42" t="n">
        <f aca="false">IF(G111="YES",E15*0.000002,0)</f>
        <v>0.11705</v>
      </c>
      <c r="I142" s="42"/>
      <c r="J142" s="42" t="n">
        <f aca="false">G142+H142</f>
        <v>0.4682</v>
      </c>
      <c r="K142" s="107"/>
      <c r="L142" s="67"/>
      <c r="M142" s="113" t="n">
        <f aca="false">E15*0.000006</f>
        <v>0.35115</v>
      </c>
      <c r="N142" s="42" t="n">
        <f aca="false">IF(M111="YES",E15*0.000002,0)</f>
        <v>0.11705</v>
      </c>
      <c r="O142" s="42"/>
      <c r="P142" s="42" t="n">
        <f aca="false">M142+N142</f>
        <v>0.4682</v>
      </c>
      <c r="Q142" s="10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98"/>
      <c r="B143" s="199"/>
      <c r="C143" s="199"/>
      <c r="D143" s="199"/>
      <c r="E143" s="200"/>
      <c r="F143" s="67"/>
      <c r="G143" s="198"/>
      <c r="H143" s="199"/>
      <c r="I143" s="199"/>
      <c r="J143" s="199"/>
      <c r="K143" s="200"/>
      <c r="L143" s="67"/>
      <c r="M143" s="198"/>
      <c r="N143" s="199"/>
      <c r="O143" s="199"/>
      <c r="P143" s="199"/>
      <c r="Q143" s="200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98" t="s">
        <v>152</v>
      </c>
      <c r="B144" s="199" t="s">
        <v>320</v>
      </c>
      <c r="C144" s="199"/>
      <c r="D144" s="199" t="s">
        <v>321</v>
      </c>
      <c r="E144" s="200"/>
      <c r="F144" s="67"/>
      <c r="G144" s="198" t="s">
        <v>319</v>
      </c>
      <c r="H144" s="199" t="s">
        <v>320</v>
      </c>
      <c r="I144" s="199"/>
      <c r="J144" s="199" t="s">
        <v>321</v>
      </c>
      <c r="K144" s="200"/>
      <c r="L144" s="67"/>
      <c r="M144" s="198" t="s">
        <v>152</v>
      </c>
      <c r="N144" s="199" t="s">
        <v>320</v>
      </c>
      <c r="O144" s="199"/>
      <c r="P144" s="199" t="s">
        <v>321</v>
      </c>
      <c r="Q144" s="200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113" t="n">
        <f aca="false">A108</f>
        <v>199.99</v>
      </c>
      <c r="B145" s="42" t="n">
        <f aca="false">B73/1.2</f>
        <v>482.375</v>
      </c>
      <c r="C145" s="42"/>
      <c r="D145" s="42" t="n">
        <f aca="false">B108*0.9</f>
        <v>0</v>
      </c>
      <c r="E145" s="107"/>
      <c r="F145" s="67"/>
      <c r="G145" s="113" t="n">
        <f aca="false">G108</f>
        <v>239.988</v>
      </c>
      <c r="H145" s="42" t="n">
        <f aca="false">H73/1.2</f>
        <v>241.1875</v>
      </c>
      <c r="I145" s="42"/>
      <c r="J145" s="42" t="n">
        <f aca="false">H108*0.9</f>
        <v>1080</v>
      </c>
      <c r="K145" s="107"/>
      <c r="L145" s="67"/>
      <c r="M145" s="113" t="n">
        <f aca="false">M108</f>
        <v>199.99</v>
      </c>
      <c r="N145" s="42" t="n">
        <f aca="false">N73/1.2</f>
        <v>241.1875</v>
      </c>
      <c r="O145" s="42"/>
      <c r="P145" s="42" t="n">
        <f aca="false">N108*0.9</f>
        <v>1080</v>
      </c>
      <c r="Q145" s="10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198"/>
      <c r="B146" s="199"/>
      <c r="C146" s="199"/>
      <c r="D146" s="199"/>
      <c r="E146" s="200"/>
      <c r="F146" s="67"/>
      <c r="G146" s="198"/>
      <c r="H146" s="199"/>
      <c r="I146" s="199"/>
      <c r="J146" s="199"/>
      <c r="K146" s="200"/>
      <c r="L146" s="67"/>
      <c r="M146" s="198"/>
      <c r="N146" s="199"/>
      <c r="O146" s="199"/>
      <c r="P146" s="199"/>
      <c r="Q146" s="200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323</v>
      </c>
      <c r="B147" s="199" t="s">
        <v>324</v>
      </c>
      <c r="C147" s="199"/>
      <c r="D147" s="199" t="s">
        <v>325</v>
      </c>
      <c r="E147" s="200"/>
      <c r="F147" s="67"/>
      <c r="G147" s="198" t="s">
        <v>323</v>
      </c>
      <c r="H147" s="199" t="s">
        <v>324</v>
      </c>
      <c r="I147" s="199"/>
      <c r="J147" s="199" t="s">
        <v>325</v>
      </c>
      <c r="K147" s="200"/>
      <c r="L147" s="67"/>
      <c r="M147" s="198" t="s">
        <v>323</v>
      </c>
      <c r="N147" s="199" t="s">
        <v>324</v>
      </c>
      <c r="O147" s="199"/>
      <c r="P147" s="199" t="s">
        <v>325</v>
      </c>
      <c r="Q147" s="200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IF(A111="YES",((A41*B111)*0.1)*(A133),0)</f>
        <v>12</v>
      </c>
      <c r="B148" s="42" t="n">
        <f aca="false">A108-100</f>
        <v>99.99</v>
      </c>
      <c r="C148" s="42"/>
      <c r="D148" s="42" t="n">
        <f aca="false">(B145+D145+A148+B148)-B151</f>
        <v>594.365</v>
      </c>
      <c r="E148" s="107"/>
      <c r="F148" s="67"/>
      <c r="G148" s="113" t="n">
        <f aca="false">IF(G111="YES",((A41*H111)*0.1)*(G133),0)</f>
        <v>12</v>
      </c>
      <c r="H148" s="42" t="n">
        <f aca="false">G108-100</f>
        <v>139.988</v>
      </c>
      <c r="I148" s="42"/>
      <c r="J148" s="42" t="n">
        <f aca="false">(H145+J145+G148+H148)-H151</f>
        <v>1473.1755</v>
      </c>
      <c r="K148" s="107"/>
      <c r="L148" s="67"/>
      <c r="M148" s="113" t="n">
        <f aca="false">IF(M111="YES",((A41*N111)*0.1)*(M133),0)</f>
        <v>12</v>
      </c>
      <c r="N148" s="42" t="n">
        <f aca="false">M108-100</f>
        <v>99.99</v>
      </c>
      <c r="O148" s="42"/>
      <c r="P148" s="42" t="n">
        <f aca="false">(N145+P145+M148+N148)-N151</f>
        <v>1433.1775</v>
      </c>
      <c r="Q148" s="10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199"/>
      <c r="I149" s="199"/>
      <c r="J149" s="199"/>
      <c r="K149" s="200"/>
      <c r="L149" s="67"/>
      <c r="M149" s="198"/>
      <c r="N149" s="199"/>
      <c r="O149" s="199"/>
      <c r="P149" s="199"/>
      <c r="Q149" s="200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327</v>
      </c>
      <c r="B150" s="199" t="s">
        <v>328</v>
      </c>
      <c r="C150" s="199"/>
      <c r="D150" s="199"/>
      <c r="E150" s="200"/>
      <c r="F150" s="67"/>
      <c r="G150" s="198" t="s">
        <v>327</v>
      </c>
      <c r="H150" s="199" t="s">
        <v>328</v>
      </c>
      <c r="I150" s="199"/>
      <c r="J150" s="199"/>
      <c r="K150" s="200"/>
      <c r="L150" s="67"/>
      <c r="M150" s="198" t="s">
        <v>327</v>
      </c>
      <c r="N150" s="199" t="s">
        <v>328</v>
      </c>
      <c r="O150" s="199"/>
      <c r="P150" s="199"/>
      <c r="Q150" s="200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0</v>
      </c>
      <c r="B151" s="42" t="n">
        <f aca="false">(B145+D145+A148+B148)*(A151/B70)</f>
        <v>0</v>
      </c>
      <c r="C151" s="199"/>
      <c r="D151" s="199"/>
      <c r="E151" s="200"/>
      <c r="F151" s="67"/>
      <c r="G151" s="113" t="n">
        <f aca="false">IF((1200-H108)&lt;=0,0,(1200-H108))</f>
        <v>0</v>
      </c>
      <c r="H151" s="42" t="n">
        <f aca="false">(H145+J145+G148+H148)*(G151/H70)</f>
        <v>0</v>
      </c>
      <c r="I151" s="199"/>
      <c r="J151" s="199"/>
      <c r="K151" s="200"/>
      <c r="L151" s="67"/>
      <c r="M151" s="113" t="n">
        <f aca="false">IF((1200-N108)&lt;=0,0,(1200-N108))</f>
        <v>0</v>
      </c>
      <c r="N151" s="42" t="n">
        <f aca="false">(N145+P145+M148+N148)*(M151/N70)</f>
        <v>0</v>
      </c>
      <c r="O151" s="199"/>
      <c r="P151" s="199"/>
      <c r="Q151" s="200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198"/>
      <c r="H152" s="199"/>
      <c r="I152" s="199"/>
      <c r="J152" s="199"/>
      <c r="K152" s="200"/>
      <c r="L152" s="67"/>
      <c r="M152" s="113"/>
      <c r="N152" s="42"/>
      <c r="O152" s="199"/>
      <c r="P152" s="199"/>
      <c r="Q152" s="200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/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64" t="s">
        <v>356</v>
      </c>
      <c r="N153" s="43" t="s">
        <v>357</v>
      </c>
      <c r="O153" s="199"/>
      <c r="P153" s="199"/>
      <c r="Q153" s="200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8.75" hidden="false" customHeight="true" outlineLevel="0" collapsed="false">
      <c r="A154" s="258" t="s">
        <v>333</v>
      </c>
      <c r="B154" s="199"/>
      <c r="C154" s="199"/>
      <c r="D154" s="259"/>
      <c r="E154" s="260"/>
      <c r="F154" s="67"/>
      <c r="G154" s="258" t="s">
        <v>333</v>
      </c>
      <c r="H154" s="199"/>
      <c r="I154" s="199"/>
      <c r="J154" s="259"/>
      <c r="K154" s="260"/>
      <c r="L154" s="67"/>
      <c r="M154" s="348" t="n">
        <f aca="false">H40</f>
        <v>0</v>
      </c>
      <c r="N154" s="349" t="n">
        <v>0.99</v>
      </c>
      <c r="O154" s="349"/>
      <c r="P154" s="199"/>
      <c r="Q154" s="200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232"/>
      <c r="C155" s="232"/>
      <c r="D155" s="199"/>
      <c r="E155" s="200"/>
      <c r="F155" s="67"/>
      <c r="G155" s="198"/>
      <c r="H155" s="232"/>
      <c r="I155" s="232"/>
      <c r="J155" s="199"/>
      <c r="K155" s="200"/>
      <c r="L155" s="67"/>
      <c r="M155" s="198"/>
      <c r="N155" s="199"/>
      <c r="O155" s="199"/>
      <c r="P155" s="199"/>
      <c r="Q155" s="200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233" t="s">
        <v>95</v>
      </c>
      <c r="B156" s="234" t="s">
        <v>96</v>
      </c>
      <c r="C156" s="234"/>
      <c r="D156" s="199"/>
      <c r="E156" s="200"/>
      <c r="F156" s="67"/>
      <c r="G156" s="233" t="s">
        <v>95</v>
      </c>
      <c r="H156" s="234" t="s">
        <v>96</v>
      </c>
      <c r="I156" s="234"/>
      <c r="J156" s="199"/>
      <c r="K156" s="200"/>
      <c r="L156" s="67"/>
      <c r="M156" s="198"/>
      <c r="N156" s="199"/>
      <c r="O156" s="199"/>
      <c r="P156" s="199"/>
      <c r="Q156" s="200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33"/>
      <c r="B157" s="235" t="n">
        <f aca="false">B57</f>
        <v>5000</v>
      </c>
      <c r="C157" s="235"/>
      <c r="D157" s="199"/>
      <c r="E157" s="200"/>
      <c r="F157" s="67"/>
      <c r="G157" s="233"/>
      <c r="H157" s="235" t="n">
        <f aca="false">B57</f>
        <v>5000</v>
      </c>
      <c r="I157" s="235"/>
      <c r="J157" s="199"/>
      <c r="K157" s="200"/>
      <c r="L157" s="67"/>
      <c r="M157" s="258" t="s">
        <v>333</v>
      </c>
      <c r="N157" s="199"/>
      <c r="O157" s="199"/>
      <c r="P157" s="259"/>
      <c r="Q157" s="260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237" t="n">
        <f aca="false">A58</f>
        <v>12</v>
      </c>
      <c r="B158" s="78" t="n">
        <f aca="false">B97</f>
        <v>501.512794429731</v>
      </c>
      <c r="C158" s="78"/>
      <c r="D158" s="199"/>
      <c r="E158" s="200"/>
      <c r="F158" s="67"/>
      <c r="G158" s="237" t="n">
        <f aca="false">A58</f>
        <v>12</v>
      </c>
      <c r="H158" s="78" t="e">
        <f aca="false">H97</f>
        <v>#DIV/0!</v>
      </c>
      <c r="I158" s="78"/>
      <c r="J158" s="199"/>
      <c r="K158" s="200"/>
      <c r="L158" s="67"/>
      <c r="M158" s="198"/>
      <c r="N158" s="232"/>
      <c r="O158" s="232"/>
      <c r="P158" s="199"/>
      <c r="Q158" s="200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198"/>
      <c r="B159" s="199"/>
      <c r="C159" s="199"/>
      <c r="D159" s="199"/>
      <c r="E159" s="200"/>
      <c r="F159" s="67"/>
      <c r="G159" s="198"/>
      <c r="H159" s="199"/>
      <c r="I159" s="199"/>
      <c r="J159" s="199"/>
      <c r="K159" s="200"/>
      <c r="L159" s="67"/>
      <c r="M159" s="233" t="s">
        <v>95</v>
      </c>
      <c r="N159" s="234" t="s">
        <v>96</v>
      </c>
      <c r="O159" s="234"/>
      <c r="P159" s="199"/>
      <c r="Q159" s="200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198"/>
      <c r="B160" s="199"/>
      <c r="C160" s="199"/>
      <c r="D160" s="199"/>
      <c r="E160" s="200"/>
      <c r="F160" s="67"/>
      <c r="G160" s="198"/>
      <c r="H160" s="199"/>
      <c r="I160" s="199"/>
      <c r="J160" s="199"/>
      <c r="K160" s="200"/>
      <c r="L160" s="67"/>
      <c r="M160" s="233"/>
      <c r="N160" s="235" t="n">
        <f aca="false">B57</f>
        <v>5000</v>
      </c>
      <c r="O160" s="235"/>
      <c r="P160" s="199"/>
      <c r="Q160" s="200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198"/>
      <c r="B161" s="199"/>
      <c r="C161" s="199"/>
      <c r="D161" s="199"/>
      <c r="E161" s="200"/>
      <c r="F161" s="67"/>
      <c r="G161" s="198"/>
      <c r="H161" s="199"/>
      <c r="I161" s="199"/>
      <c r="J161" s="199"/>
      <c r="K161" s="200"/>
      <c r="L161" s="67"/>
      <c r="M161" s="237" t="n">
        <f aca="false">A58</f>
        <v>12</v>
      </c>
      <c r="N161" s="78" t="e">
        <f aca="false">N97</f>
        <v>#DIV/0!</v>
      </c>
      <c r="O161" s="78"/>
      <c r="P161" s="199"/>
      <c r="Q161" s="200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198"/>
      <c r="H162" s="199"/>
      <c r="I162" s="199"/>
      <c r="J162" s="199"/>
      <c r="K162" s="200"/>
      <c r="L162" s="67"/>
      <c r="M162" s="198"/>
      <c r="N162" s="199"/>
      <c r="O162" s="199"/>
      <c r="P162" s="199"/>
      <c r="Q162" s="200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262"/>
      <c r="B163" s="263"/>
      <c r="C163" s="263"/>
      <c r="D163" s="263"/>
      <c r="E163" s="264"/>
      <c r="F163" s="67"/>
      <c r="G163" s="262"/>
      <c r="H163" s="263"/>
      <c r="I163" s="263"/>
      <c r="J163" s="263"/>
      <c r="K163" s="264"/>
      <c r="L163" s="67"/>
      <c r="M163" s="198"/>
      <c r="N163" s="199"/>
      <c r="O163" s="199"/>
      <c r="P163" s="199"/>
      <c r="Q163" s="200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198"/>
      <c r="N164" s="199"/>
      <c r="O164" s="199"/>
      <c r="P164" s="199"/>
      <c r="Q164" s="200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198"/>
      <c r="N165" s="199"/>
      <c r="O165" s="199"/>
      <c r="P165" s="199"/>
      <c r="Q165" s="200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198"/>
      <c r="N166" s="199"/>
      <c r="O166" s="199"/>
      <c r="P166" s="199"/>
      <c r="Q166" s="200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198"/>
      <c r="N167" s="199"/>
      <c r="O167" s="199"/>
      <c r="P167" s="199"/>
      <c r="Q167" s="200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262"/>
      <c r="N168" s="263"/>
      <c r="O168" s="263"/>
      <c r="P168" s="263"/>
      <c r="Q168" s="264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8.75" hidden="false" customHeight="true" outlineLevel="0" collapsed="false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customFormat="false" ht="18.75" hidden="false" customHeight="true" outlineLevel="0" collapsed="false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customFormat="false" ht="18.75" hidden="false" customHeight="true" outlineLevel="0" collapsed="false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customFormat="false" ht="18.75" hidden="false" customHeight="true" outlineLevel="0" collapsed="false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customFormat="false" ht="18.75" hidden="false" customHeight="true" outlineLevel="0" collapsed="false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customFormat="false" ht="18.75" hidden="false" customHeight="true" outlineLevel="0" collapsed="false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customFormat="false" ht="18.75" hidden="false" customHeight="true" outlineLevel="0" collapsed="false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customFormat="false" ht="18.75" hidden="false" customHeight="true" outlineLevel="0" collapsed="false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customFormat="false" ht="18.75" hidden="false" customHeight="true" outlineLevel="0" collapsed="false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2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B47:C47"/>
    <mergeCell ref="D47:E47"/>
    <mergeCell ref="A56:A57"/>
    <mergeCell ref="B56:C56"/>
    <mergeCell ref="B57:C57"/>
    <mergeCell ref="B58:C58"/>
    <mergeCell ref="A100:E100"/>
    <mergeCell ref="G100:K100"/>
    <mergeCell ref="M100:Q100"/>
    <mergeCell ref="A102:E102"/>
    <mergeCell ref="G102:K102"/>
    <mergeCell ref="M102:Q102"/>
    <mergeCell ref="B105:C105"/>
    <mergeCell ref="D105:E105"/>
    <mergeCell ref="H105:I105"/>
    <mergeCell ref="J105:K105"/>
    <mergeCell ref="N105:O105"/>
    <mergeCell ref="P105:Q105"/>
    <mergeCell ref="B108:C108"/>
    <mergeCell ref="D108:E108"/>
    <mergeCell ref="H108:I108"/>
    <mergeCell ref="J108:K108"/>
    <mergeCell ref="N108:O108"/>
    <mergeCell ref="P108:Q108"/>
    <mergeCell ref="B111:C111"/>
    <mergeCell ref="D111:E111"/>
    <mergeCell ref="H111:I111"/>
    <mergeCell ref="J111:K111"/>
    <mergeCell ref="N111:O111"/>
    <mergeCell ref="P111:Q111"/>
    <mergeCell ref="A114:E114"/>
    <mergeCell ref="G114:K114"/>
    <mergeCell ref="M114:Q114"/>
    <mergeCell ref="A128:E128"/>
    <mergeCell ref="G128:K128"/>
    <mergeCell ref="M128:Q128"/>
    <mergeCell ref="B130:C130"/>
    <mergeCell ref="H130:I130"/>
    <mergeCell ref="N130:O130"/>
    <mergeCell ref="N154:O154"/>
    <mergeCell ref="A156:A157"/>
    <mergeCell ref="B156:C156"/>
    <mergeCell ref="G156:G157"/>
    <mergeCell ref="H156:I156"/>
    <mergeCell ref="B157:C157"/>
    <mergeCell ref="H157:I157"/>
    <mergeCell ref="B158:C158"/>
    <mergeCell ref="H158:I158"/>
    <mergeCell ref="M159:M160"/>
    <mergeCell ref="N159:O159"/>
    <mergeCell ref="N160:O160"/>
    <mergeCell ref="N161:O161"/>
  </mergeCells>
  <dataValidations count="4">
    <dataValidation allowBlank="true" errorStyle="stop" operator="between" showDropDown="false" showErrorMessage="true" showInputMessage="false" sqref="B38 A50 A111 G111 M111 O113 B116 H116 N116" type="list">
      <formula1>$Z$19:$Z$20</formula1>
      <formula2>0</formula2>
    </dataValidation>
    <dataValidation allowBlank="true" errorStyle="stop" operator="between" showDropDown="false" showErrorMessage="true" showInputMessage="false" sqref="A18:A20" type="list">
      <formula1>$Y$16:$Y$18</formula1>
      <formula2>0</formula2>
    </dataValidation>
    <dataValidation allowBlank="true" errorStyle="stop" operator="between" showDropDown="false" showErrorMessage="true" showInputMessage="false" sqref="B65 B105" type="list">
      <formula1>$Z$103:$Z$111</formula1>
      <formula2>0</formula2>
    </dataValidation>
    <dataValidation allowBlank="true" errorStyle="stop" operator="between" showDropDown="false" showErrorMessage="true" showInputMessage="false" sqref="A32 H105 N105" type="list">
      <formula1>$Y$103:$Y$112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8" activeCellId="0" sqref="B218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20945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0</v>
      </c>
      <c r="C4" s="409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880.1666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43128.1634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1095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43128.1634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995</v>
      </c>
      <c r="F10" s="67"/>
      <c r="G10" s="67"/>
      <c r="H10" s="67"/>
      <c r="I10" s="20" t="s">
        <v>15</v>
      </c>
      <c r="J10" s="14" t="n">
        <f aca="false">E15-E11-J8</f>
        <v>43278.1634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8655.63268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290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53028.79608</v>
      </c>
      <c r="F15" s="67"/>
      <c r="G15" s="21" t="n">
        <f aca="false">E15</f>
        <v>53028.79608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(B3+C3+E10+D3+E3)*1.2</f>
        <v>52989.996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53028.79608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IF(A32=Z101,1,IF(A32=Z102,1,IF(A32=Z103,3,IF(A32=Z104,6,IF(A32=Z105,9,IF(A32=Z106,12,IF(A32=Z107,3,IF(A32=Z108,6,IF(A32=Z109,9,0)))))))))</f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IF(A32=Z101,H29-H27,IF(A32=Z102,H29-H27,IF(A32=Z103,H29-1,IF(A32=Z104,H29-1,IF(A32=Z105,H29-1,IF(A32=Z106,H29-1,IF(A32=Z107,H29-H27,IF(A32=Z108,H29-H27,IF(A32=Z109,H29-H27,0)))))))))</f>
        <v>11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n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n">
        <f aca="false">IF(A32=Z101,D38,IF(A32=Z102,D38,IF(A32=Z103,(D38*3),IF(A32=Z104,(D38*6),IF(A32=Z105,(D38*9),IF(A32=Z106,(D38*12),IF(A32=Z107,D38,IF(A32=Z108,D38,IF(A32=Z109,D38,0)))))))))</f>
        <v>500</v>
      </c>
      <c r="C32" s="211"/>
      <c r="D32" s="211" t="n">
        <f aca="false">IF(A32=Z101,A41,IF(A32=Z102,A41,IF(A32=Z103,(A41*3),IF(A32=Z104,(A41*6),IF(A32=Z105,(A41*9),IF(A32=Z106,(A41*12),IF(A32=Z107,A41,IF(A32=Z108,A41,IF(A32=Z109,A41,0)))))))))</f>
        <v>0</v>
      </c>
      <c r="E32" s="211"/>
      <c r="F32" s="67"/>
      <c r="G32" s="212" t="s">
        <v>254</v>
      </c>
      <c r="H32" s="210" t="n">
        <f aca="false">A41</f>
        <v>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/>
      <c r="H33" s="20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n">
        <f aca="false">D41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500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n">
        <v>500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152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0</v>
      </c>
      <c r="B41" s="224" t="n">
        <f aca="false">IF(B38="YES",D38+A41,D38)</f>
        <v>500</v>
      </c>
      <c r="C41" s="224"/>
      <c r="D41" s="106" t="n">
        <v>12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264</v>
      </c>
      <c r="B43" s="223" t="s">
        <v>265</v>
      </c>
      <c r="C43" s="215"/>
      <c r="D43" s="223" t="s">
        <v>269</v>
      </c>
      <c r="E43" s="226"/>
      <c r="F43" s="67"/>
      <c r="G43" s="67" t="s">
        <v>266</v>
      </c>
      <c r="H43" s="7" t="n">
        <f aca="false">(((D38*(B35-1))+B32)/B35)+(D41/B35)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n">
        <v>1</v>
      </c>
      <c r="B44" s="106" t="n">
        <v>0</v>
      </c>
      <c r="C44" s="106"/>
      <c r="D44" s="256" t="n">
        <f aca="false">A44+B44</f>
        <v>1</v>
      </c>
      <c r="E44" s="256"/>
      <c r="F44" s="67"/>
      <c r="G44" s="67" t="s">
        <v>267</v>
      </c>
      <c r="H44" s="7" t="n">
        <f aca="false">((A41*(B35-1))+D32)/B35</f>
        <v>0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501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57" t="s">
        <v>284</v>
      </c>
      <c r="B46" s="215"/>
      <c r="C46" s="215"/>
      <c r="D46" s="215"/>
      <c r="E46" s="226"/>
      <c r="F46" s="67"/>
      <c r="G46" s="67" t="s">
        <v>272</v>
      </c>
      <c r="H46" s="7" t="n">
        <f aca="false">H43</f>
        <v>501</v>
      </c>
      <c r="I46" s="7" t="s">
        <v>10</v>
      </c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21"/>
      <c r="B47" s="215"/>
      <c r="C47" s="215"/>
      <c r="D47" s="215"/>
      <c r="E47" s="22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67"/>
      <c r="H48" s="7"/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/>
      <c r="H49" s="261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12</v>
      </c>
      <c r="B52" s="78" t="n">
        <f aca="false">H45</f>
        <v>501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IF(B99=Z101,1,IF(B99=Z102,1,IF(B99=Z103,3,IF(B99=Z104,6,IF(B99=Z105,9,IF(B99=Z106,12,IF(B99=Z107,3,IF(B99=Z108,6,IF(B99=Z109,9,0)))))))))</f>
        <v>1</v>
      </c>
      <c r="C57" s="199"/>
      <c r="D57" s="199"/>
      <c r="E57" s="200"/>
      <c r="F57" s="67"/>
      <c r="G57" s="198" t="s">
        <v>97</v>
      </c>
      <c r="H57" s="199" t="n">
        <f aca="false">IF(H99=Z101,1,IF(H99=Z102,1,IF(H99=Z103,3,IF(H99=Z104,6,IF(H99=Z105,9,IF(H99=Z106,12,IF(H99=Z107,3,IF(H99=Z108,6,IF(H99=Z109,9,0)))))))))</f>
        <v>1</v>
      </c>
      <c r="I57" s="199"/>
      <c r="J57" s="199"/>
      <c r="K57" s="200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IF(B99=Z101,H29-B57,IF(B99=Z102,H29-B57,IF(B99=Z103,H29-1,IF(B99=Z104,H29-1,IF(B99=Z105,H29-1,IF(B99=Z106,H29-1,IF(B99=Z107,H29-B57,IF(B99=Z108,H29-B57,IF(B99=Z109,H29-B57,0)))))))))</f>
        <v>11</v>
      </c>
      <c r="C58" s="199" t="s">
        <v>285</v>
      </c>
      <c r="D58" s="199"/>
      <c r="E58" s="200"/>
      <c r="F58" s="67"/>
      <c r="G58" s="198" t="s">
        <v>98</v>
      </c>
      <c r="H58" s="199" t="n">
        <f aca="false">IF(H99=Z101,H29-H57,IF(H99=Z102,H29-H57,IF(H99=Z103,H29-1,IF(H99=Z104,H29-1,IF(H99=Z105,H29-1,IF(H99=Z106,H29-1,IF(H99=Z107,H29-H57,IF(H99=Z108,H29-H57,IF(H99=Z109,H29-H57,0)))))))))</f>
        <v>11</v>
      </c>
      <c r="I58" s="199"/>
      <c r="J58" s="199"/>
      <c r="K58" s="200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/>
      <c r="B60" s="199"/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f aca="false">G18</f>
        <v>52989.996</v>
      </c>
      <c r="C61" s="199"/>
      <c r="D61" s="199"/>
      <c r="E61" s="200"/>
      <c r="F61" s="67"/>
      <c r="G61" s="198" t="s">
        <v>27</v>
      </c>
      <c r="H61" s="36" t="n">
        <f aca="false">G18</f>
        <v>52989.996</v>
      </c>
      <c r="I61" s="199"/>
      <c r="J61" s="199"/>
      <c r="K61" s="200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0.07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0.07</v>
      </c>
      <c r="I63" s="199"/>
      <c r="J63" s="199"/>
      <c r="K63" s="200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B61*B63</f>
        <v>3709.29972</v>
      </c>
      <c r="C64" s="199" t="n">
        <v>10000</v>
      </c>
      <c r="D64" s="36" t="n">
        <f aca="false">B64</f>
        <v>3709.29972</v>
      </c>
      <c r="E64" s="200"/>
      <c r="F64" s="67"/>
      <c r="G64" s="262" t="s">
        <v>103</v>
      </c>
      <c r="H64" s="69" t="n">
        <f aca="false">H61*H63</f>
        <v>3709.29972</v>
      </c>
      <c r="I64" s="199"/>
      <c r="J64" s="36" t="n">
        <f aca="false">H64</f>
        <v>3709.29972</v>
      </c>
      <c r="K64" s="200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69" t="n">
        <v>250</v>
      </c>
      <c r="C65" s="199"/>
      <c r="D65" s="199"/>
      <c r="E65" s="200"/>
      <c r="F65" s="67"/>
      <c r="G65" s="268" t="s">
        <v>104</v>
      </c>
      <c r="H65" s="269" t="n">
        <v>0.005</v>
      </c>
      <c r="I65" s="199"/>
      <c r="J65" s="199"/>
      <c r="K65" s="200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 t="n">
        <f aca="false">B65+(B65*0.5*(H29/12-1))</f>
        <v>250</v>
      </c>
      <c r="C66" s="199"/>
      <c r="D66" s="199"/>
      <c r="E66" s="200"/>
      <c r="F66" s="67"/>
      <c r="G66" s="198" t="s">
        <v>105</v>
      </c>
      <c r="H66" s="270" t="n">
        <f aca="false">H65+(H65*0.5*(H29/12-1))</f>
        <v>0.005</v>
      </c>
      <c r="I66" s="199"/>
      <c r="J66" s="199"/>
      <c r="K66" s="200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199"/>
      <c r="D67" s="36"/>
      <c r="E67" s="200"/>
      <c r="F67" s="67"/>
      <c r="G67" s="262" t="s">
        <v>106</v>
      </c>
      <c r="H67" s="69" t="n">
        <f aca="false">H61*H66</f>
        <v>264.94998</v>
      </c>
      <c r="I67" s="199"/>
      <c r="J67" s="36"/>
      <c r="K67" s="200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199"/>
      <c r="D68" s="199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0.008625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54</v>
      </c>
      <c r="C73" s="199"/>
      <c r="D73" s="36" t="n">
        <f aca="false">B73+B71</f>
        <v>214</v>
      </c>
      <c r="E73" s="200"/>
      <c r="F73" s="67"/>
      <c r="G73" s="262" t="s">
        <v>112</v>
      </c>
      <c r="H73" s="69" t="n">
        <f aca="false">H72*H29</f>
        <v>54</v>
      </c>
      <c r="I73" s="199"/>
      <c r="J73" s="36" t="n">
        <f aca="false">H73+H71</f>
        <v>214</v>
      </c>
      <c r="K73" s="200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0</v>
      </c>
      <c r="C74" s="199"/>
      <c r="D74" s="199"/>
      <c r="E74" s="200"/>
      <c r="F74" s="67"/>
      <c r="G74" s="268" t="s">
        <v>289</v>
      </c>
      <c r="H74" s="90" t="n">
        <v>150</v>
      </c>
      <c r="I74" s="199"/>
      <c r="J74" s="199"/>
      <c r="K74" s="200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 t="n">
        <f aca="false">IF(G18&gt;40000,325,0)</f>
        <v>325</v>
      </c>
      <c r="D75" s="199"/>
      <c r="E75" s="200"/>
      <c r="F75" s="67"/>
      <c r="G75" s="272" t="s">
        <v>290</v>
      </c>
      <c r="H75" s="81" t="n">
        <f aca="false">IF(G18&gt;40000,325,0)</f>
        <v>325</v>
      </c>
      <c r="I75" s="199"/>
      <c r="J75" s="199"/>
      <c r="K75" s="200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((B74+B75)/12)*(H29-11)</f>
        <v>0</v>
      </c>
      <c r="C76" s="199"/>
      <c r="D76" s="36" t="n">
        <f aca="false">B76</f>
        <v>0</v>
      </c>
      <c r="E76" s="200"/>
      <c r="F76" s="67"/>
      <c r="G76" s="262" t="s">
        <v>291</v>
      </c>
      <c r="H76" s="69" t="n">
        <f aca="false">((H74+H75)/12)*(H29-11)</f>
        <v>39.5833333333333</v>
      </c>
      <c r="I76" s="199"/>
      <c r="J76" s="36" t="n">
        <f aca="false">H76</f>
        <v>39.5833333333333</v>
      </c>
      <c r="K76" s="200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292</v>
      </c>
      <c r="B77" s="90" t="n">
        <f aca="false">B102/(1-J15)</f>
        <v>470.588235294118</v>
      </c>
      <c r="C77" s="199"/>
      <c r="D77" s="36" t="n">
        <f aca="false">B77</f>
        <v>470.588235294118</v>
      </c>
      <c r="E77" s="200"/>
      <c r="F77" s="67"/>
      <c r="G77" s="268" t="s">
        <v>292</v>
      </c>
      <c r="H77" s="90" t="n">
        <f aca="false">H102</f>
        <v>1200</v>
      </c>
      <c r="I77" s="199"/>
      <c r="J77" s="36" t="n">
        <f aca="false">H77</f>
        <v>1200</v>
      </c>
      <c r="K77" s="200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235.294117647059</v>
      </c>
      <c r="C78" s="199"/>
      <c r="D78" s="36" t="n">
        <f aca="false">B78</f>
        <v>235.294117647059</v>
      </c>
      <c r="E78" s="200"/>
      <c r="F78" s="67"/>
      <c r="G78" s="198" t="s">
        <v>293</v>
      </c>
      <c r="H78" s="37" t="n">
        <f aca="false">J102</f>
        <v>0</v>
      </c>
      <c r="I78" s="199"/>
      <c r="J78" s="36" t="n">
        <f aca="false">H78</f>
        <v>0</v>
      </c>
      <c r="K78" s="200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199"/>
      <c r="D79" s="36" t="n">
        <f aca="false">B79</f>
        <v>300</v>
      </c>
      <c r="E79" s="200"/>
      <c r="F79" s="67"/>
      <c r="G79" s="272" t="s">
        <v>113</v>
      </c>
      <c r="H79" s="81" t="n">
        <v>100</v>
      </c>
      <c r="I79" s="199"/>
      <c r="J79" s="36" t="n">
        <f aca="false">H79</f>
        <v>100</v>
      </c>
      <c r="K79" s="200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199"/>
      <c r="D80" s="36" t="n">
        <f aca="false">B80</f>
        <v>100</v>
      </c>
      <c r="E80" s="200"/>
      <c r="F80" s="67"/>
      <c r="G80" s="275" t="s">
        <v>114</v>
      </c>
      <c r="H80" s="91" t="n">
        <v>100</v>
      </c>
      <c r="I80" s="199"/>
      <c r="J80" s="36" t="n">
        <f aca="false">H80</f>
        <v>100</v>
      </c>
      <c r="K80" s="200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5029.18207294118</v>
      </c>
      <c r="C81" s="199"/>
      <c r="D81" s="199"/>
      <c r="E81" s="200"/>
      <c r="F81" s="67"/>
      <c r="G81" s="276" t="s">
        <v>115</v>
      </c>
      <c r="H81" s="277" t="n">
        <f aca="false">SUM(J64:J80)</f>
        <v>5362.88305333333</v>
      </c>
      <c r="I81" s="199"/>
      <c r="J81" s="199"/>
      <c r="K81" s="200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419.098506078431</v>
      </c>
      <c r="C82" s="199"/>
      <c r="D82" s="199"/>
      <c r="E82" s="200"/>
      <c r="F82" s="67"/>
      <c r="G82" s="198" t="s">
        <v>116</v>
      </c>
      <c r="H82" s="37" t="n">
        <f aca="false">H81/H29</f>
        <v>446.906921111111</v>
      </c>
      <c r="I82" s="199"/>
      <c r="J82" s="199"/>
      <c r="K82" s="200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H46</f>
        <v>501</v>
      </c>
      <c r="C83" s="199"/>
      <c r="D83" s="199"/>
      <c r="E83" s="200"/>
      <c r="F83" s="67"/>
      <c r="G83" s="278" t="s">
        <v>117</v>
      </c>
      <c r="H83" s="63" t="n">
        <f aca="false">H46</f>
        <v>501</v>
      </c>
      <c r="I83" s="199"/>
      <c r="J83" s="199"/>
      <c r="K83" s="200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199"/>
      <c r="D84" s="199"/>
      <c r="E84" s="200"/>
      <c r="F84" s="67"/>
      <c r="G84" s="198"/>
      <c r="H84" s="36"/>
      <c r="I84" s="199"/>
      <c r="J84" s="199"/>
      <c r="K84" s="200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((B83*(H29)+B81))*1.2</f>
        <v>13249.4184875294</v>
      </c>
      <c r="C85" s="199"/>
      <c r="D85" s="199"/>
      <c r="E85" s="200"/>
      <c r="F85" s="67"/>
      <c r="G85" s="265" t="s">
        <v>127</v>
      </c>
      <c r="H85" s="31" t="n">
        <f aca="false">((H83*(H27+H28))+H81)*1.2</f>
        <v>13649.859664</v>
      </c>
      <c r="I85" s="199"/>
      <c r="J85" s="199"/>
      <c r="K85" s="200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(((B83*(H29))+B81)/(1-B70))*B70</f>
        <v>96.0587016811173</v>
      </c>
      <c r="C86" s="199"/>
      <c r="D86" s="199"/>
      <c r="E86" s="200"/>
      <c r="F86" s="67"/>
      <c r="G86" s="198" t="s">
        <v>128</v>
      </c>
      <c r="H86" s="37" t="n">
        <f aca="false">(((H83*(H27+H28))+H81)/(1-H70))*H70</f>
        <v>96.3584284469545</v>
      </c>
      <c r="I86" s="199"/>
      <c r="J86" s="199"/>
      <c r="K86" s="200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13345.4771892105</v>
      </c>
      <c r="C87" s="199"/>
      <c r="D87" s="199"/>
      <c r="E87" s="200"/>
      <c r="F87" s="67"/>
      <c r="G87" s="262" t="s">
        <v>129</v>
      </c>
      <c r="H87" s="69" t="n">
        <f aca="false">IF(H110="YES",((H85+H86)-A151-K114),((H85+H86)-A151))</f>
        <v>13496.218092447</v>
      </c>
      <c r="I87" s="199"/>
      <c r="J87" s="199"/>
      <c r="K87" s="200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199"/>
      <c r="D88" s="199"/>
      <c r="E88" s="200"/>
      <c r="F88" s="67"/>
      <c r="G88" s="198"/>
      <c r="H88" s="36"/>
      <c r="I88" s="199"/>
      <c r="J88" s="199"/>
      <c r="K88" s="200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9" t="n">
        <f aca="false">IF(B99=Z102,(((H44*B35)+(H44*B35)*(B105/100))/(B58))*1.2,(((H44*B35)+(H44*B35)*(B105/100))/(B57+B58))*1.2)</f>
        <v>0</v>
      </c>
      <c r="C89" s="199"/>
      <c r="D89" s="199"/>
      <c r="E89" s="200"/>
      <c r="F89" s="67"/>
      <c r="G89" s="276" t="s">
        <v>130</v>
      </c>
      <c r="H89" s="277" t="n">
        <f aca="false">(A41+(A41*H105))*1.2</f>
        <v>0</v>
      </c>
      <c r="I89" s="199"/>
      <c r="J89" s="199"/>
      <c r="K89" s="200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IF(B99=Z102,(B87-D105)/(B58),B87/(B57+B58))</f>
        <v>1112.12309910088</v>
      </c>
      <c r="C90" s="199"/>
      <c r="D90" s="199"/>
      <c r="E90" s="200"/>
      <c r="F90" s="67"/>
      <c r="G90" s="280" t="s">
        <v>131</v>
      </c>
      <c r="H90" s="281" t="n">
        <f aca="false">IF(H99=AE98,(H87-J105)/(H58),H87/(H57+H58))</f>
        <v>1124.68484103725</v>
      </c>
      <c r="I90" s="199"/>
      <c r="J90" s="199"/>
      <c r="K90" s="200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1112.12309910088</v>
      </c>
      <c r="C91" s="199"/>
      <c r="D91" s="199"/>
      <c r="E91" s="200"/>
      <c r="F91" s="67"/>
      <c r="G91" s="282" t="s">
        <v>132</v>
      </c>
      <c r="H91" s="283" t="n">
        <f aca="false">IF(G105="YES",H90+H89,H90)</f>
        <v>1124.68484103725</v>
      </c>
      <c r="I91" s="199"/>
      <c r="J91" s="199"/>
      <c r="K91" s="200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263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46.5" hidden="false" customHeight="true" outlineLevel="0" collapsed="false">
      <c r="A94" s="197" t="s">
        <v>294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/>
      <c r="F95" s="67"/>
      <c r="G95" s="198"/>
      <c r="H95" s="199"/>
      <c r="I95" s="199"/>
      <c r="J95" s="199"/>
      <c r="K95" s="200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199"/>
      <c r="C97" s="199"/>
      <c r="D97" s="199"/>
      <c r="E97" s="200"/>
      <c r="F97" s="67"/>
      <c r="G97" s="198"/>
      <c r="H97" s="199"/>
      <c r="I97" s="199"/>
      <c r="J97" s="199"/>
      <c r="K97" s="200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204" t="s">
        <v>296</v>
      </c>
      <c r="B99" s="284" t="s">
        <v>141</v>
      </c>
      <c r="C99" s="284"/>
      <c r="D99" s="109" t="n">
        <v>1000</v>
      </c>
      <c r="E99" s="109"/>
      <c r="F99" s="67"/>
      <c r="G99" s="204" t="s">
        <v>296</v>
      </c>
      <c r="H99" s="284" t="s">
        <v>141</v>
      </c>
      <c r="I99" s="284"/>
      <c r="J99" s="109" t="n">
        <v>0</v>
      </c>
      <c r="K99" s="109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299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 t="s">
        <v>141</v>
      </c>
      <c r="AA101" s="67"/>
    </row>
    <row r="102" customFormat="false" ht="18.75" hidden="false" customHeight="true" outlineLevel="0" collapsed="false">
      <c r="A102" s="285" t="n">
        <v>239.99</v>
      </c>
      <c r="B102" s="109" t="n">
        <v>400</v>
      </c>
      <c r="C102" s="109"/>
      <c r="D102" s="109" t="n">
        <v>200</v>
      </c>
      <c r="E102" s="109"/>
      <c r="F102" s="67"/>
      <c r="G102" s="285" t="n">
        <f aca="false">199.99*1.2</f>
        <v>239.988</v>
      </c>
      <c r="H102" s="109" t="n">
        <v>1200</v>
      </c>
      <c r="I102" s="109"/>
      <c r="J102" s="109" t="n">
        <v>0</v>
      </c>
      <c r="K102" s="109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 t="s">
        <v>273</v>
      </c>
      <c r="AA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Z103" s="67" t="s">
        <v>274</v>
      </c>
      <c r="AA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Z104" s="67" t="s">
        <v>275</v>
      </c>
      <c r="AA104" s="67"/>
    </row>
    <row r="105" customFormat="false" ht="18.75" hidden="false" customHeight="true" outlineLevel="0" collapsed="false">
      <c r="A105" s="206" t="s">
        <v>32</v>
      </c>
      <c r="B105" s="284" t="n">
        <v>0</v>
      </c>
      <c r="C105" s="284"/>
      <c r="D105" s="109" t="n">
        <v>200</v>
      </c>
      <c r="E105" s="109"/>
      <c r="F105" s="67"/>
      <c r="G105" s="206" t="s">
        <v>31</v>
      </c>
      <c r="H105" s="286" t="n">
        <v>0.2</v>
      </c>
      <c r="I105" s="286"/>
      <c r="J105" s="109" t="n">
        <v>0</v>
      </c>
      <c r="K105" s="109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Z105" s="67" t="s">
        <v>276</v>
      </c>
      <c r="AA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Z106" s="67" t="s">
        <v>277</v>
      </c>
      <c r="AA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Z107" s="67" t="s">
        <v>278</v>
      </c>
      <c r="AA107" s="67"/>
    </row>
    <row r="108" customFormat="false" ht="18.75" hidden="false" customHeight="true" outlineLevel="0" collapsed="false">
      <c r="A108" s="201" t="s">
        <v>300</v>
      </c>
      <c r="B108" s="201"/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Z108" s="67" t="s">
        <v>279</v>
      </c>
      <c r="AA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Z109" s="67" t="s">
        <v>280</v>
      </c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Z110" s="67"/>
    </row>
    <row r="111" customFormat="false" ht="18.75" hidden="false" customHeight="true" outlineLevel="0" collapsed="false">
      <c r="A111" s="198"/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10000</v>
      </c>
      <c r="K112" s="109" t="n">
        <v>5000</v>
      </c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7000</v>
      </c>
      <c r="K113" s="109" t="n">
        <v>7000</v>
      </c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3000</v>
      </c>
      <c r="K114" s="157" t="n">
        <f aca="false">K112-K113</f>
        <v>-2000</v>
      </c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5000</v>
      </c>
      <c r="K115" s="200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239.99</v>
      </c>
      <c r="F118" s="67"/>
      <c r="G118" s="198" t="s">
        <v>66</v>
      </c>
      <c r="H118" s="199"/>
      <c r="I118" s="199"/>
      <c r="J118" s="199"/>
      <c r="K118" s="37" t="n">
        <f aca="false">G102</f>
        <v>239.988</v>
      </c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((E118)+E117)-E114</f>
        <v>1239.99</v>
      </c>
      <c r="F119" s="67"/>
      <c r="G119" s="287" t="s">
        <v>302</v>
      </c>
      <c r="H119" s="263"/>
      <c r="I119" s="263"/>
      <c r="J119" s="263"/>
      <c r="K119" s="69" t="n">
        <f aca="false">(K118+K117)-J115</f>
        <v>-4760.012</v>
      </c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12</v>
      </c>
      <c r="C125" s="294"/>
      <c r="D125" s="293" t="n">
        <f aca="false">B160</f>
        <v>5000</v>
      </c>
      <c r="E125" s="291"/>
      <c r="F125" s="67"/>
      <c r="G125" s="198"/>
      <c r="H125" s="199"/>
      <c r="I125" s="199"/>
      <c r="J125" s="199"/>
      <c r="K125" s="200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198" t="s">
        <v>95</v>
      </c>
      <c r="H126" s="199" t="s">
        <v>96</v>
      </c>
      <c r="I126" s="199"/>
      <c r="J126" s="199" t="s">
        <v>98</v>
      </c>
      <c r="K126" s="200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213" t="n">
        <f aca="false">G152</f>
        <v>12</v>
      </c>
      <c r="H127" s="214" t="n">
        <f aca="false">A152</f>
        <v>0</v>
      </c>
      <c r="I127" s="215"/>
      <c r="J127" s="168" t="n">
        <f aca="false">B151</f>
        <v>0</v>
      </c>
      <c r="K127" s="200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1112.12309910088</v>
      </c>
      <c r="B128" s="290" t="n">
        <f aca="false">IF(A105="YES",B89,0)</f>
        <v>0</v>
      </c>
      <c r="C128" s="295"/>
      <c r="D128" s="290" t="n">
        <f aca="false">B91</f>
        <v>1112.12309910088</v>
      </c>
      <c r="E128" s="291"/>
      <c r="F128" s="67"/>
      <c r="G128" s="198"/>
      <c r="H128" s="199"/>
      <c r="I128" s="199"/>
      <c r="J128" s="199"/>
      <c r="K128" s="200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296" t="s">
        <v>306</v>
      </c>
      <c r="H129" s="297" t="s">
        <v>307</v>
      </c>
      <c r="I129" s="297"/>
      <c r="J129" s="297" t="s">
        <v>308</v>
      </c>
      <c r="K129" s="200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300" t="n">
        <f aca="false">H90</f>
        <v>1124.68484103725</v>
      </c>
      <c r="H130" s="166" t="n">
        <f aca="false">IF(G105="YES",H89*H57,0)</f>
        <v>0</v>
      </c>
      <c r="I130" s="166"/>
      <c r="J130" s="301" t="n">
        <f aca="false">H91</f>
        <v>1124.68484103725</v>
      </c>
      <c r="K130" s="10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1112.12309910088</v>
      </c>
      <c r="C131" s="199"/>
      <c r="D131" s="42" t="n">
        <f aca="false">IF(A105="YES",B89*B57,0)</f>
        <v>0</v>
      </c>
      <c r="E131" s="200"/>
      <c r="F131" s="67"/>
      <c r="G131" s="198"/>
      <c r="H131" s="199"/>
      <c r="I131" s="199"/>
      <c r="J131" s="199"/>
      <c r="K131" s="200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1124.68484103725</v>
      </c>
      <c r="H133" s="42" t="n">
        <f aca="false">IF(G105="YES",H89*H57,0)</f>
        <v>0</v>
      </c>
      <c r="I133" s="205"/>
      <c r="J133" s="170" t="n">
        <f aca="false">H91*H57</f>
        <v>1124.68484103725</v>
      </c>
      <c r="K133" s="200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1112.12309910088</v>
      </c>
      <c r="B134" s="42" t="n">
        <f aca="false">E114</f>
        <v>0</v>
      </c>
      <c r="C134" s="199"/>
      <c r="D134" s="303" t="n">
        <f aca="false">B58</f>
        <v>11</v>
      </c>
      <c r="E134" s="200"/>
      <c r="F134" s="67"/>
      <c r="G134" s="198"/>
      <c r="H134" s="199"/>
      <c r="I134" s="199"/>
      <c r="J134" s="199"/>
      <c r="K134" s="200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0.31817277648</v>
      </c>
      <c r="H136" s="42" t="n">
        <f aca="false">IF(G105="YES",E15*0.000002,0)</f>
        <v>0.10605759216</v>
      </c>
      <c r="I136" s="42"/>
      <c r="J136" s="42" t="n">
        <f aca="false">G136+H136</f>
        <v>0.42423036864</v>
      </c>
      <c r="K136" s="10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1112.12309910088</v>
      </c>
      <c r="B137" s="42" t="n">
        <f aca="false">IF(A105="YES",B89,0)</f>
        <v>0</v>
      </c>
      <c r="C137" s="199"/>
      <c r="D137" s="42" t="n">
        <f aca="false">B91</f>
        <v>1112.12309910088</v>
      </c>
      <c r="E137" s="200"/>
      <c r="F137" s="67"/>
      <c r="G137" s="198"/>
      <c r="H137" s="199"/>
      <c r="I137" s="199"/>
      <c r="J137" s="199"/>
      <c r="K137" s="200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239.988</v>
      </c>
      <c r="H139" s="42" t="n">
        <f aca="false">H67</f>
        <v>264.94998</v>
      </c>
      <c r="I139" s="42"/>
      <c r="J139" s="42" t="n">
        <f aca="false">H102*0.9</f>
        <v>1080</v>
      </c>
      <c r="K139" s="10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(G18*0.000006)*1.2*100</f>
        <v>38.15279712</v>
      </c>
      <c r="B140" s="309" t="n">
        <f aca="false">G18*0.000002*1.2*100</f>
        <v>12.71759904</v>
      </c>
      <c r="C140" s="310"/>
      <c r="D140" s="309" t="n">
        <f aca="false">A140+B140</f>
        <v>50.87039616</v>
      </c>
      <c r="E140" s="200"/>
      <c r="F140" s="67"/>
      <c r="G140" s="198"/>
      <c r="H140" s="199"/>
      <c r="I140" s="199"/>
      <c r="J140" s="199"/>
      <c r="K140" s="200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IF(G105="YES",H89*0.1,0)</f>
        <v>0</v>
      </c>
      <c r="H142" s="42" t="n">
        <f aca="false">G102-100</f>
        <v>139.988</v>
      </c>
      <c r="I142" s="42"/>
      <c r="J142" s="42" t="n">
        <f aca="false">(H139+J139+G142+H142)-H145</f>
        <v>1484.93798</v>
      </c>
      <c r="K142" s="10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239.99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f aca="false">IF((1200-H102)&lt;=0,0,(1200-H102))</f>
        <v>0</v>
      </c>
      <c r="H145" s="42" t="n">
        <f aca="false">(H139+J139+G142+H142)*(G145/H64)</f>
        <v>0</v>
      </c>
      <c r="I145" s="199"/>
      <c r="J145" s="199"/>
      <c r="K145" s="200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IF(A105="YES",(A38/100*B105)*B125,0)*0.001</f>
        <v>0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700</v>
      </c>
      <c r="E151" s="107"/>
      <c r="F151" s="67"/>
      <c r="G151" s="233"/>
      <c r="H151" s="235" t="n">
        <f aca="false">B51</f>
        <v>5000</v>
      </c>
      <c r="I151" s="235"/>
      <c r="J151" s="199"/>
      <c r="K151" s="200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12</v>
      </c>
      <c r="H152" s="78" t="n">
        <f aca="false">H91</f>
        <v>1124.68484103725</v>
      </c>
      <c r="I152" s="78"/>
      <c r="J152" s="199"/>
      <c r="K152" s="200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9.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12</v>
      </c>
      <c r="B161" s="78" t="n">
        <f aca="false">B91</f>
        <v>1112.12309910088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317" t="s">
        <v>303</v>
      </c>
      <c r="B165" s="317"/>
      <c r="C165" s="317"/>
      <c r="D165" s="317"/>
      <c r="E165" s="31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198"/>
      <c r="B166" s="199"/>
      <c r="C166" s="199"/>
      <c r="D166" s="199"/>
      <c r="E166" s="200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88" t="s">
        <v>138</v>
      </c>
      <c r="B167" s="289" t="s">
        <v>52</v>
      </c>
      <c r="C167" s="290"/>
      <c r="D167" s="289" t="s">
        <v>96</v>
      </c>
      <c r="E167" s="291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292" t="s">
        <v>296</v>
      </c>
      <c r="B168" s="318" t="n">
        <f aca="false">A161</f>
        <v>12</v>
      </c>
      <c r="C168" s="294"/>
      <c r="D168" s="290" t="n">
        <f aca="false">B160</f>
        <v>5000</v>
      </c>
      <c r="E168" s="291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288"/>
      <c r="B169" s="289"/>
      <c r="C169" s="289"/>
      <c r="D169" s="289"/>
      <c r="E169" s="291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288" t="s">
        <v>131</v>
      </c>
      <c r="B170" s="289" t="s">
        <v>304</v>
      </c>
      <c r="C170" s="290"/>
      <c r="D170" s="289" t="s">
        <v>305</v>
      </c>
      <c r="E170" s="291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292" t="n">
        <f aca="false">B90</f>
        <v>1112.12309910088</v>
      </c>
      <c r="B171" s="290" t="n">
        <f aca="false">IF(A105="YES",B89,0)</f>
        <v>0</v>
      </c>
      <c r="C171" s="295"/>
      <c r="D171" s="290" t="n">
        <f aca="false">B91</f>
        <v>1112.12309910088</v>
      </c>
      <c r="E171" s="291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98" t="s">
        <v>36</v>
      </c>
      <c r="B173" s="299" t="s">
        <v>309</v>
      </c>
      <c r="C173" s="215"/>
      <c r="D173" s="299" t="s">
        <v>310</v>
      </c>
      <c r="E173" s="200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302" t="str">
        <f aca="false">B99</f>
        <v> Monthly in advance </v>
      </c>
      <c r="B174" s="42" t="n">
        <f aca="false">B90*B57</f>
        <v>1112.12309910088</v>
      </c>
      <c r="C174" s="199"/>
      <c r="D174" s="42" t="n">
        <f aca="false">IF(A105="YES",B89*B57,0)</f>
        <v>0</v>
      </c>
      <c r="E174" s="200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198"/>
      <c r="B175" s="199"/>
      <c r="C175" s="199"/>
      <c r="D175" s="199"/>
      <c r="E175" s="200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112" t="s">
        <v>314</v>
      </c>
      <c r="B176" s="43" t="s">
        <v>315</v>
      </c>
      <c r="C176" s="205"/>
      <c r="D176" s="230" t="s">
        <v>219</v>
      </c>
      <c r="E176" s="200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113" t="n">
        <f aca="false">B91*B57</f>
        <v>1112.12309910088</v>
      </c>
      <c r="B177" s="42" t="n">
        <f aca="false">E114</f>
        <v>0</v>
      </c>
      <c r="C177" s="199"/>
      <c r="D177" s="303" t="n">
        <f aca="false">B58</f>
        <v>11</v>
      </c>
      <c r="E177" s="200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13"/>
      <c r="B178" s="304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64" t="s">
        <v>131</v>
      </c>
      <c r="B179" s="305" t="s">
        <v>304</v>
      </c>
      <c r="C179" s="199"/>
      <c r="D179" s="199" t="s">
        <v>305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113" t="n">
        <f aca="false">B90</f>
        <v>1112.12309910088</v>
      </c>
      <c r="B180" s="42" t="n">
        <f aca="false">IF(A105="YES",B89,0)</f>
        <v>0</v>
      </c>
      <c r="C180" s="199"/>
      <c r="D180" s="42" t="n">
        <f aca="false">B91</f>
        <v>1112.12309910088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306" t="s">
        <v>80</v>
      </c>
      <c r="B182" s="307" t="s">
        <v>322</v>
      </c>
      <c r="C182" s="42"/>
      <c r="D182" s="307" t="s">
        <v>85</v>
      </c>
      <c r="E182" s="10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308" t="n">
        <f aca="false">(G18*0.000006)*1.2*100</f>
        <v>38.15279712</v>
      </c>
      <c r="B183" s="309" t="n">
        <f aca="false">G18*0.000002*1.2*100</f>
        <v>12.71759904</v>
      </c>
      <c r="C183" s="310"/>
      <c r="D183" s="309" t="n">
        <f aca="false">A183+B183</f>
        <v>50.87039616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311"/>
      <c r="B184" s="312"/>
      <c r="C184" s="199"/>
      <c r="D184" s="312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306" t="s">
        <v>326</v>
      </c>
      <c r="B185" s="307" t="s">
        <v>66</v>
      </c>
      <c r="C185" s="42"/>
      <c r="D185" s="307" t="s">
        <v>292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v>0</v>
      </c>
      <c r="B186" s="42" t="n">
        <f aca="false">E118</f>
        <v>239.99</v>
      </c>
      <c r="C186" s="199"/>
      <c r="D186" s="142" t="n">
        <f aca="false">B102</f>
        <v>400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13"/>
      <c r="B187" s="42"/>
      <c r="C187" s="199"/>
      <c r="D187" s="42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13" t="s">
        <v>329</v>
      </c>
      <c r="B188" s="314"/>
      <c r="C188" s="315"/>
      <c r="D188" s="314"/>
      <c r="E188" s="316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11"/>
      <c r="B189" s="312"/>
      <c r="C189" s="199"/>
      <c r="D189" s="312"/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198" t="s">
        <v>330</v>
      </c>
      <c r="B190" s="199" t="s">
        <v>331</v>
      </c>
      <c r="C190" s="199"/>
      <c r="D190" s="199" t="s">
        <v>332</v>
      </c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113" t="n">
        <f aca="false">B67</f>
        <v>250</v>
      </c>
      <c r="B191" s="42" t="n">
        <f aca="false">B102</f>
        <v>400</v>
      </c>
      <c r="C191" s="42"/>
      <c r="D191" s="42" t="n">
        <f aca="false">IF(A105="YES",(A38/100*B105)*B125,0)*0.001</f>
        <v>0</v>
      </c>
      <c r="E191" s="10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98"/>
      <c r="B192" s="199"/>
      <c r="C192" s="199"/>
      <c r="D192" s="199"/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98" t="s">
        <v>334</v>
      </c>
      <c r="B193" s="199" t="s">
        <v>328</v>
      </c>
      <c r="C193" s="199"/>
      <c r="D193" s="199" t="s">
        <v>325</v>
      </c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113" t="n">
        <f aca="false">A151</f>
        <v>250</v>
      </c>
      <c r="B194" s="42" t="n">
        <f aca="false">(A148+B148+D148+A151)*(A143/B64)</f>
        <v>0</v>
      </c>
      <c r="C194" s="42"/>
      <c r="D194" s="42" t="n">
        <f aca="false">D151</f>
        <v>700</v>
      </c>
      <c r="E194" s="10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198"/>
      <c r="B195" s="199"/>
      <c r="C195" s="199"/>
      <c r="D195" s="199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335</v>
      </c>
      <c r="B196" s="199"/>
      <c r="C196" s="199"/>
      <c r="D196" s="199"/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D102</f>
        <v>200</v>
      </c>
      <c r="B197" s="42"/>
      <c r="C197" s="199"/>
      <c r="D197" s="199"/>
      <c r="E197" s="200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262"/>
      <c r="B198" s="263"/>
      <c r="C198" s="263"/>
      <c r="D198" s="263"/>
      <c r="E198" s="264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317" t="s">
        <v>225</v>
      </c>
      <c r="B201" s="317"/>
      <c r="C201" s="317"/>
      <c r="D201" s="317"/>
      <c r="E201" s="31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/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288" t="s">
        <v>226</v>
      </c>
      <c r="B203" s="319" t="n">
        <f aca="false">B209</f>
        <v>0.065</v>
      </c>
      <c r="C203" s="290" t="s">
        <v>228</v>
      </c>
      <c r="D203" s="320" t="n">
        <f aca="false">D64</f>
        <v>3709.29972</v>
      </c>
      <c r="E203" s="291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92"/>
      <c r="B204" s="293"/>
      <c r="C204" s="294"/>
      <c r="D204" s="293"/>
      <c r="E204" s="291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288" t="s">
        <v>229</v>
      </c>
      <c r="B205" s="290" t="n">
        <f aca="false">B213</f>
        <v>250</v>
      </c>
      <c r="C205" s="289" t="s">
        <v>230</v>
      </c>
      <c r="D205" s="320" t="n">
        <f aca="false">B219+E215+B215+B217</f>
        <v>510</v>
      </c>
      <c r="E205" s="291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288"/>
      <c r="B206" s="321"/>
      <c r="C206" s="290"/>
      <c r="D206" s="289"/>
      <c r="E206" s="291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292" t="s">
        <v>231</v>
      </c>
      <c r="B207" s="290" t="n">
        <f aca="false">E217</f>
        <v>3969.29972</v>
      </c>
      <c r="C207" s="294"/>
      <c r="D207" s="290"/>
      <c r="E207" s="291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305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13" t="s">
        <v>226</v>
      </c>
      <c r="B209" s="322" t="n">
        <v>0.065</v>
      </c>
      <c r="C209" s="215"/>
      <c r="D209" s="299"/>
      <c r="E209" s="200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302"/>
      <c r="B210" s="43"/>
      <c r="C210" s="199"/>
      <c r="D210" s="42"/>
      <c r="E210" s="200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04" t="s">
        <v>228</v>
      </c>
      <c r="B211" s="106" t="n">
        <f aca="false">D64</f>
        <v>3709.29972</v>
      </c>
      <c r="C211" s="223" t="s">
        <v>234</v>
      </c>
      <c r="D211" s="199"/>
      <c r="E211" s="270" t="n">
        <f aca="false">B66</f>
        <v>250</v>
      </c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171"/>
      <c r="B212" s="43"/>
      <c r="C212" s="205"/>
      <c r="D212" s="230"/>
      <c r="E212" s="200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113" t="s">
        <v>234</v>
      </c>
      <c r="B213" s="106" t="n">
        <f aca="false">B67</f>
        <v>250</v>
      </c>
      <c r="C213" s="205" t="s">
        <v>336</v>
      </c>
      <c r="D213" s="303"/>
      <c r="E213" s="88" t="n">
        <f aca="false">J15</f>
        <v>0.15</v>
      </c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13"/>
      <c r="B214" s="305"/>
      <c r="C214" s="205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113" t="s">
        <v>336</v>
      </c>
      <c r="B215" s="230" t="n">
        <f aca="false">B191*E213</f>
        <v>60</v>
      </c>
      <c r="C215" s="205" t="s">
        <v>236</v>
      </c>
      <c r="D215" s="199"/>
      <c r="E215" s="37" t="n">
        <f aca="false">A194</f>
        <v>250</v>
      </c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113"/>
      <c r="B216" s="43"/>
      <c r="C216" s="205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337</v>
      </c>
      <c r="B217" s="230" t="n">
        <f aca="false">B78-(B78*(E213))</f>
        <v>200</v>
      </c>
      <c r="C217" s="205" t="s">
        <v>231</v>
      </c>
      <c r="D217" s="199"/>
      <c r="E217" s="37" t="n">
        <f aca="false">(B211-B205+D205)</f>
        <v>3969.29972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323"/>
      <c r="B218" s="307"/>
      <c r="C218" s="42"/>
      <c r="D218" s="307"/>
      <c r="E218" s="15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323" t="s">
        <v>338</v>
      </c>
      <c r="B219" s="307" t="n">
        <f aca="false">D191/0.1</f>
        <v>0</v>
      </c>
      <c r="C219" s="42"/>
      <c r="D219" s="307"/>
      <c r="E219" s="15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323"/>
      <c r="B220" s="307"/>
      <c r="C220" s="42"/>
      <c r="D220" s="307"/>
      <c r="E220" s="15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313" t="s">
        <v>339</v>
      </c>
      <c r="B221" s="324"/>
      <c r="C221" s="315"/>
      <c r="D221" s="314"/>
      <c r="E221" s="316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311"/>
      <c r="B222" s="325"/>
      <c r="C222" s="199"/>
      <c r="D222" s="31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311" t="s">
        <v>238</v>
      </c>
      <c r="B223" s="106" t="n">
        <f aca="false">B71</f>
        <v>160</v>
      </c>
      <c r="C223" s="205" t="s">
        <v>239</v>
      </c>
      <c r="D223" s="312"/>
      <c r="E223" s="140" t="n">
        <f aca="false">B72</f>
        <v>4.5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11"/>
      <c r="B224" s="325"/>
      <c r="C224" s="205" t="s">
        <v>240</v>
      </c>
      <c r="D224" s="312"/>
      <c r="E224" s="37" t="n">
        <f aca="false">D73</f>
        <v>214</v>
      </c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11" t="s">
        <v>241</v>
      </c>
      <c r="B225" s="326" t="n">
        <f aca="false">B68</f>
        <v>0.0075</v>
      </c>
      <c r="C225" s="205" t="s">
        <v>242</v>
      </c>
      <c r="D225" s="312"/>
      <c r="E225" s="270" t="n">
        <f aca="false">B69</f>
        <v>0.15</v>
      </c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11"/>
      <c r="B226" s="325"/>
      <c r="C226" s="205" t="s">
        <v>243</v>
      </c>
      <c r="D226" s="312"/>
      <c r="E226" s="37" t="n">
        <f aca="false">B86</f>
        <v>96.0587016811173</v>
      </c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1" t="s">
        <v>244</v>
      </c>
      <c r="B227" s="106" t="n">
        <f aca="false">B79</f>
        <v>300</v>
      </c>
      <c r="C227" s="327" t="s">
        <v>340</v>
      </c>
      <c r="D227" s="328"/>
      <c r="E227" s="140" t="n">
        <f aca="false">B74</f>
        <v>0</v>
      </c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204"/>
      <c r="B228" s="305"/>
      <c r="C228" s="327"/>
      <c r="D228" s="329"/>
      <c r="E228" s="33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113" t="s">
        <v>245</v>
      </c>
      <c r="B229" s="106" t="n">
        <f aca="false">B80</f>
        <v>100</v>
      </c>
      <c r="C229" s="331" t="s">
        <v>341</v>
      </c>
      <c r="D229" s="331"/>
      <c r="E229" s="140" t="n">
        <f aca="false">B75</f>
        <v>0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198"/>
      <c r="B230" s="199"/>
      <c r="C230" s="199"/>
      <c r="D230" s="199"/>
      <c r="E230" s="200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198"/>
      <c r="B231" s="199"/>
      <c r="C231" s="199"/>
      <c r="D231" s="199"/>
      <c r="E231" s="200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113"/>
      <c r="B232" s="42"/>
      <c r="C232" s="42"/>
      <c r="D232" s="42"/>
      <c r="E232" s="10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198"/>
      <c r="B233" s="199"/>
      <c r="C233" s="199"/>
      <c r="D233" s="199"/>
      <c r="E233" s="200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198"/>
      <c r="B234" s="199"/>
      <c r="C234" s="199"/>
      <c r="D234" s="199"/>
      <c r="E234" s="20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/>
      <c r="B235" s="42"/>
      <c r="C235" s="199"/>
      <c r="D235" s="199"/>
      <c r="E235" s="200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262"/>
      <c r="B236" s="263"/>
      <c r="C236" s="263"/>
      <c r="D236" s="263"/>
      <c r="E236" s="264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5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A50:A51"/>
    <mergeCell ref="B50:C50"/>
    <mergeCell ref="B51:C51"/>
    <mergeCell ref="B52:C52"/>
    <mergeCell ref="A94:E94"/>
    <mergeCell ref="G94:K94"/>
    <mergeCell ref="A96:E96"/>
    <mergeCell ref="G96:K96"/>
    <mergeCell ref="B99:C99"/>
    <mergeCell ref="D99:E99"/>
    <mergeCell ref="H99:I99"/>
    <mergeCell ref="J99:K99"/>
    <mergeCell ref="B102:C102"/>
    <mergeCell ref="D102:E102"/>
    <mergeCell ref="H102:I102"/>
    <mergeCell ref="J102:K102"/>
    <mergeCell ref="B105:C105"/>
    <mergeCell ref="D105:E105"/>
    <mergeCell ref="H105:I105"/>
    <mergeCell ref="J105:K105"/>
    <mergeCell ref="A108:E108"/>
    <mergeCell ref="G108:K108"/>
    <mergeCell ref="A122:E122"/>
    <mergeCell ref="G122:K122"/>
    <mergeCell ref="H124:I124"/>
    <mergeCell ref="G150:G151"/>
    <mergeCell ref="H150:I150"/>
    <mergeCell ref="H151:I151"/>
    <mergeCell ref="H152:I152"/>
    <mergeCell ref="A159:A160"/>
    <mergeCell ref="B159:C159"/>
    <mergeCell ref="B160:C160"/>
    <mergeCell ref="B161:C161"/>
    <mergeCell ref="A165:E165"/>
    <mergeCell ref="A201:E201"/>
  </mergeCells>
  <dataValidations count="4">
    <dataValidation allowBlank="true" errorStyle="stop" operator="between" showDropDown="false" showErrorMessage="true" showInputMessage="false" sqref="A18:A20 H99 N99:O99 G105 M105 O107 H110 N110" type="list">
      <formula1>#ref!</formula1>
      <formula2>0</formula2>
    </dataValidation>
    <dataValidation allowBlank="true" errorStyle="stop" operator="between" showDropDown="false" showErrorMessage="true" showInputMessage="false" sqref="B38 A105 B110" type="list">
      <formula1>"NO,YES"</formula1>
      <formula2>0</formula2>
    </dataValidation>
    <dataValidation allowBlank="true" errorStyle="stop" operator="between" showDropDown="false" showErrorMessage="true" showInputMessage="false" sqref="A32" type="list">
      <formula1>"Monthly in advance ,Spread rentals initial payment ,Spread rentals with 3 down ,Spread rentals with 6 down ,Spread rentals with 9 down ,Spread rentals with 12 down ,Terminal pause with 3 down ,Terminal Pause with 6 down ,Terminal Pause with 9 dow"</formula1>
      <formula2>0</formula2>
    </dataValidation>
    <dataValidation allowBlank="true" errorStyle="stop" operator="between" showDropDown="false" showErrorMessage="true" showInputMessage="false" sqref="B99" type="list">
      <formula1>$Z$101:$Z$109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8" activeCellId="0" sqref="B218"/>
    </sheetView>
  </sheetViews>
  <sheetFormatPr defaultColWidth="10.87890625" defaultRowHeight="14.25" customHeight="true" zeroHeight="false" outlineLevelRow="0" outlineLevelCol="0"/>
  <cols>
    <col min="1" max="1" customWidth="true" hidden="false" style="1" width="40.0" collapsed="false" outlineLevel="0"/>
    <col min="2" max="5" customWidth="true" hidden="false" style="1" width="18.12" collapsed="false" outlineLevel="0"/>
    <col min="7" max="7" customWidth="true" hidden="false" style="1" width="40.0" collapsed="false" outlineLevel="0"/>
    <col min="8" max="11" customWidth="true" hidden="false" style="1" width="18.12" collapsed="false" outlineLevel="0"/>
    <col min="12" max="12" customWidth="true" hidden="false" style="1" width="8.0" collapsed="false" outlineLevel="0"/>
    <col min="13" max="13" customWidth="true" hidden="false" style="1" width="40.0" collapsed="false" outlineLevel="0"/>
    <col min="14" max="17" customWidth="true" hidden="false" style="1" width="18.12" collapsed="false" outlineLevel="0"/>
    <col min="18" max="26" customWidth="true" hidden="false" style="1" width="8.0" collapsed="false" outlineLevel="0"/>
  </cols>
  <sheetData>
    <row r="1" customFormat="false" ht="18.75" hidden="false" customHeight="true" outlineLevel="0" collapsed="false">
      <c r="A1" s="388" t="s">
        <v>393</v>
      </c>
      <c r="B1" s="388"/>
      <c r="C1" s="388"/>
      <c r="D1" s="388"/>
      <c r="E1" s="38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customFormat="false" ht="18.75" hidden="false" customHeight="true" outlineLevel="0" collapsed="false">
      <c r="A2" s="272"/>
      <c r="B2" s="389" t="s">
        <v>155</v>
      </c>
      <c r="C2" s="389" t="s">
        <v>156</v>
      </c>
      <c r="D2" s="389" t="s">
        <v>157</v>
      </c>
      <c r="E2" s="390" t="s">
        <v>158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customFormat="false" ht="18.75" hidden="false" customHeight="true" outlineLevel="0" collapsed="false">
      <c r="A3" s="198" t="s">
        <v>161</v>
      </c>
      <c r="B3" s="239" t="n">
        <v>44008.33</v>
      </c>
      <c r="C3" s="239" t="n">
        <v>0</v>
      </c>
      <c r="D3" s="239" t="n">
        <v>0</v>
      </c>
      <c r="E3" s="354" t="n">
        <v>0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customFormat="false" ht="18.75" hidden="false" customHeight="true" outlineLevel="0" collapsed="false">
      <c r="A4" s="198" t="s">
        <v>162</v>
      </c>
      <c r="B4" s="68" t="n">
        <v>2</v>
      </c>
      <c r="C4" s="68" t="n">
        <v>0</v>
      </c>
      <c r="D4" s="68" t="n">
        <v>0</v>
      </c>
      <c r="E4" s="2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customFormat="false" ht="18.75" hidden="false" customHeight="true" outlineLevel="0" collapsed="false">
      <c r="A5" s="198" t="s">
        <v>163</v>
      </c>
      <c r="B5" s="239" t="n">
        <v>0</v>
      </c>
      <c r="C5" s="239" t="n">
        <v>0</v>
      </c>
      <c r="D5" s="239" t="n">
        <v>0</v>
      </c>
      <c r="E5" s="3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customFormat="false" ht="18.75" hidden="false" customHeight="true" outlineLevel="0" collapsed="false">
      <c r="A6" s="198" t="s">
        <v>164</v>
      </c>
      <c r="B6" s="36" t="n">
        <f aca="false">(B3*B4/100)+B5</f>
        <v>4422.833</v>
      </c>
      <c r="C6" s="36" t="n">
        <f aca="false">(C3*C4/100)+C5</f>
        <v>0</v>
      </c>
      <c r="D6" s="36" t="n">
        <f aca="false">(D3*D4/100)+D5</f>
        <v>0</v>
      </c>
      <c r="E6" s="3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customFormat="false" ht="18.75" hidden="false" customHeight="true" outlineLevel="0" collapsed="false">
      <c r="A7" s="198" t="s">
        <v>165</v>
      </c>
      <c r="B7" s="36" t="n">
        <f aca="false">B3-B6</f>
        <v>39585.497</v>
      </c>
      <c r="C7" s="36" t="n">
        <f aca="false">C3-C6</f>
        <v>0</v>
      </c>
      <c r="D7" s="36" t="n">
        <f aca="false">D3-D6</f>
        <v>0</v>
      </c>
      <c r="E7" s="3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customFormat="false" ht="18.75" hidden="false" customHeight="true" outlineLevel="0" collapsed="false">
      <c r="A8" s="198"/>
      <c r="B8" s="199"/>
      <c r="C8" s="199"/>
      <c r="D8" s="199"/>
      <c r="E8" s="200"/>
      <c r="F8" s="67"/>
      <c r="G8" s="67"/>
      <c r="H8" s="67"/>
      <c r="I8" s="18" t="s">
        <v>17</v>
      </c>
      <c r="J8" s="14" t="n">
        <f aca="false">E13+E14</f>
        <v>1010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customFormat="false" ht="18.75" hidden="false" customHeight="true" outlineLevel="0" collapsed="false">
      <c r="A9" s="391" t="s">
        <v>173</v>
      </c>
      <c r="B9" s="391"/>
      <c r="C9" s="391"/>
      <c r="D9" s="391"/>
      <c r="E9" s="392" t="n">
        <f aca="false">B7+C7+D7+E3</f>
        <v>39585.497</v>
      </c>
      <c r="F9" s="67"/>
      <c r="G9" s="67"/>
      <c r="H9" s="67"/>
      <c r="I9" s="14"/>
      <c r="J9" s="14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customFormat="false" ht="18.75" hidden="false" customHeight="true" outlineLevel="0" collapsed="false">
      <c r="A10" s="393" t="s">
        <v>174</v>
      </c>
      <c r="B10" s="393"/>
      <c r="C10" s="393"/>
      <c r="D10" s="393"/>
      <c r="E10" s="354" t="n">
        <v>150</v>
      </c>
      <c r="F10" s="67"/>
      <c r="G10" s="67"/>
      <c r="H10" s="67"/>
      <c r="I10" s="20" t="s">
        <v>15</v>
      </c>
      <c r="J10" s="14" t="n">
        <f aca="false">E15-E11-J8</f>
        <v>40256.327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customFormat="false" ht="18.75" hidden="false" customHeight="true" outlineLevel="0" collapsed="false">
      <c r="A11" s="393" t="s">
        <v>175</v>
      </c>
      <c r="B11" s="393"/>
      <c r="C11" s="393"/>
      <c r="D11" s="393"/>
      <c r="E11" s="37" t="n">
        <f aca="false">(E9+E10)*20%</f>
        <v>8051.2654</v>
      </c>
      <c r="F11" s="67"/>
      <c r="G11" s="67"/>
      <c r="H11" s="67"/>
      <c r="I11" s="14"/>
      <c r="J11" s="1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customFormat="false" ht="18.75" hidden="false" customHeight="true" outlineLevel="0" collapsed="false">
      <c r="A12" s="393" t="s">
        <v>176</v>
      </c>
      <c r="B12" s="393"/>
      <c r="C12" s="393"/>
      <c r="D12" s="393"/>
      <c r="E12" s="354" t="n">
        <v>0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customFormat="false" ht="18.75" hidden="false" customHeight="true" outlineLevel="0" collapsed="false">
      <c r="A13" s="393" t="s">
        <v>177</v>
      </c>
      <c r="B13" s="393"/>
      <c r="C13" s="393"/>
      <c r="D13" s="393"/>
      <c r="E13" s="354" t="n">
        <v>1040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customFormat="false" ht="18.75" hidden="false" customHeight="true" outlineLevel="0" collapsed="false">
      <c r="A14" s="393" t="s">
        <v>178</v>
      </c>
      <c r="B14" s="393"/>
      <c r="C14" s="393"/>
      <c r="D14" s="393"/>
      <c r="E14" s="354" t="n">
        <v>55</v>
      </c>
      <c r="F14" s="67"/>
      <c r="G14" s="67" t="s">
        <v>24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customFormat="false" ht="18.75" hidden="false" customHeight="true" outlineLevel="0" collapsed="false">
      <c r="A15" s="393" t="s">
        <v>179</v>
      </c>
      <c r="B15" s="393"/>
      <c r="C15" s="393"/>
      <c r="D15" s="393"/>
      <c r="E15" s="356" t="n">
        <f aca="false">(E9+E10+E13+E14+E11)-E12</f>
        <v>49317.5924</v>
      </c>
      <c r="F15" s="67"/>
      <c r="G15" s="21" t="n">
        <f aca="false">E15</f>
        <v>49317.5924</v>
      </c>
      <c r="H15" s="67"/>
      <c r="I15" s="67" t="s">
        <v>283</v>
      </c>
      <c r="J15" s="67" t="n">
        <v>0.15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customFormat="false" ht="18.75" hidden="false" customHeight="true" outlineLevel="0" collapsed="false">
      <c r="A16" s="393" t="s">
        <v>180</v>
      </c>
      <c r="B16" s="393"/>
      <c r="C16" s="393"/>
      <c r="D16" s="393"/>
      <c r="E16" s="354" t="n">
        <v>0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253" t="s">
        <v>26</v>
      </c>
      <c r="Z16" s="67"/>
    </row>
    <row r="17" customFormat="false" ht="18.75" hidden="false" customHeight="true" outlineLevel="0" collapsed="false">
      <c r="A17" s="302" t="s">
        <v>181</v>
      </c>
      <c r="B17" s="302"/>
      <c r="C17" s="302"/>
      <c r="D17" s="302"/>
      <c r="E17" s="200"/>
      <c r="F17" s="67"/>
      <c r="G17" s="67" t="s">
        <v>27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253" t="s">
        <v>28</v>
      </c>
      <c r="Z17" s="67"/>
    </row>
    <row r="18" customFormat="false" ht="18.75" hidden="false" customHeight="true" outlineLevel="0" collapsed="false">
      <c r="A18" s="394" t="s">
        <v>26</v>
      </c>
      <c r="B18" s="395" t="s">
        <v>182</v>
      </c>
      <c r="C18" s="395"/>
      <c r="D18" s="395"/>
      <c r="E18" s="357" t="n">
        <v>0</v>
      </c>
      <c r="F18" s="67"/>
      <c r="G18" s="21" t="n">
        <f aca="false">(B3+C3+E10+D3+E3)*1.2</f>
        <v>53614.992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253" t="s">
        <v>29</v>
      </c>
      <c r="Z18" s="67"/>
    </row>
    <row r="19" customFormat="false" ht="18.75" hidden="false" customHeight="true" outlineLevel="0" collapsed="false">
      <c r="A19" s="394" t="s">
        <v>28</v>
      </c>
      <c r="B19" s="395" t="s">
        <v>182</v>
      </c>
      <c r="C19" s="395"/>
      <c r="D19" s="395"/>
      <c r="E19" s="357" t="n">
        <v>0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 t="s">
        <v>31</v>
      </c>
    </row>
    <row r="20" customFormat="false" ht="18.75" hidden="false" customHeight="true" outlineLevel="0" collapsed="false">
      <c r="A20" s="394" t="s">
        <v>29</v>
      </c>
      <c r="B20" s="395" t="s">
        <v>182</v>
      </c>
      <c r="C20" s="395"/>
      <c r="D20" s="395"/>
      <c r="E20" s="357" t="n">
        <v>0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 t="s">
        <v>32</v>
      </c>
    </row>
    <row r="21" customFormat="false" ht="18.75" hidden="false" customHeight="true" outlineLevel="0" collapsed="false">
      <c r="A21" s="396" t="s">
        <v>183</v>
      </c>
      <c r="B21" s="396"/>
      <c r="C21" s="396"/>
      <c r="D21" s="396"/>
      <c r="E21" s="359" t="n">
        <f aca="false">E15-((E18*1.2)+(E19*1.2)+(E20*1.2)+(E16*1.2))</f>
        <v>49301.9924</v>
      </c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customFormat="false" ht="18.75" hidden="false" customHeight="true" outlineLevel="0" collapsed="false">
      <c r="A22" s="199"/>
      <c r="B22" s="199"/>
      <c r="C22" s="199"/>
      <c r="D22" s="199"/>
      <c r="E22" s="199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customFormat="false" ht="18.75" hidden="false" customHeight="true" outlineLevel="0" collapsed="false">
      <c r="A23" s="199"/>
      <c r="B23" s="199"/>
      <c r="C23" s="199"/>
      <c r="D23" s="199"/>
      <c r="E23" s="199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customFormat="false" ht="45.75" hidden="false" customHeight="true" outlineLevel="0" collapsed="false">
      <c r="A24" s="197" t="s">
        <v>247</v>
      </c>
      <c r="B24" s="197"/>
      <c r="C24" s="197"/>
      <c r="D24" s="197"/>
      <c r="E24" s="19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customFormat="false" ht="18.75" hidden="false" customHeight="true" outlineLevel="0" collapsed="false">
      <c r="A25" s="198"/>
      <c r="B25" s="199"/>
      <c r="C25" s="199"/>
      <c r="D25" s="199"/>
      <c r="E25" s="200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customFormat="false" ht="18.75" hidden="false" customHeight="true" outlineLevel="0" collapsed="false">
      <c r="A26" s="201" t="s">
        <v>248</v>
      </c>
      <c r="B26" s="201"/>
      <c r="C26" s="201"/>
      <c r="D26" s="201"/>
      <c r="E26" s="201"/>
      <c r="F26" s="67"/>
      <c r="G26" s="202"/>
      <c r="H26" s="202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customFormat="false" ht="18.75" hidden="false" customHeight="true" outlineLevel="0" collapsed="false">
      <c r="A27" s="198"/>
      <c r="B27" s="199"/>
      <c r="C27" s="199"/>
      <c r="D27" s="199"/>
      <c r="E27" s="200"/>
      <c r="F27" s="67"/>
      <c r="G27" s="203" t="s">
        <v>97</v>
      </c>
      <c r="H27" s="203" t="n">
        <f aca="false">IF(A32=Z101,1,IF(A32=Z102,1,IF(A32=Z103,3,IF(A32=Z104,6,IF(A32=Z105,9,IF(A32=Z106,12,IF(A32=Z107,3,IF(A32=Z108,6,IF(A32=Z109,9,0)))))))))</f>
        <v>1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customFormat="false" ht="18.75" hidden="false" customHeight="true" outlineLevel="0" collapsed="false">
      <c r="A28" s="204" t="s">
        <v>42</v>
      </c>
      <c r="B28" s="205" t="s">
        <v>43</v>
      </c>
      <c r="C28" s="199"/>
      <c r="D28" s="205" t="s">
        <v>249</v>
      </c>
      <c r="E28" s="200"/>
      <c r="F28" s="67"/>
      <c r="G28" s="203" t="s">
        <v>98</v>
      </c>
      <c r="H28" s="203" t="n">
        <f aca="false">IF(A32=Z101,H29-H27,IF(A32=Z102,H29-H27,IF(A32=Z103,H29-1,IF(A32=Z104,H29-1,IF(A32=Z105,H29-1,IF(A32=Z106,H29-1,IF(A32=Z107,H29-H27,IF(A32=Z108,H29-H27,IF(A32=Z109,H29-H27,0)))))))))</f>
        <v>11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customFormat="false" ht="18.75" hidden="false" customHeight="true" outlineLevel="0" collapsed="false">
      <c r="A29" s="206" t="s">
        <v>250</v>
      </c>
      <c r="B29" s="207" t="n">
        <v>12345</v>
      </c>
      <c r="C29" s="207"/>
      <c r="D29" s="208" t="n">
        <f aca="true">TODAY()+1</f>
        <v>45916</v>
      </c>
      <c r="E29" s="208"/>
      <c r="F29" s="67"/>
      <c r="G29" s="202" t="s">
        <v>41</v>
      </c>
      <c r="H29" s="202" t="n">
        <f aca="false">B35</f>
        <v>12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customFormat="false" ht="18.75" hidden="false" customHeight="true" outlineLevel="0" collapsed="false">
      <c r="A30" s="198"/>
      <c r="B30" s="209"/>
      <c r="C30" s="209"/>
      <c r="D30" s="199"/>
      <c r="E30" s="200"/>
      <c r="F30" s="67"/>
      <c r="G30" s="202" t="s">
        <v>45</v>
      </c>
      <c r="H30" s="202" t="n">
        <f aca="false">D35</f>
        <v>5000</v>
      </c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customFormat="false" ht="18.75" hidden="false" customHeight="true" outlineLevel="0" collapsed="false">
      <c r="A31" s="204" t="s">
        <v>36</v>
      </c>
      <c r="B31" s="205" t="s">
        <v>251</v>
      </c>
      <c r="C31" s="199"/>
      <c r="D31" s="205" t="s">
        <v>252</v>
      </c>
      <c r="E31" s="200"/>
      <c r="F31" s="67"/>
      <c r="G31" s="202" t="s">
        <v>253</v>
      </c>
      <c r="H31" s="210" t="n">
        <f aca="false">D38</f>
        <v>500</v>
      </c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customFormat="false" ht="18.75" hidden="false" customHeight="true" outlineLevel="0" collapsed="false">
      <c r="A32" s="206" t="s">
        <v>141</v>
      </c>
      <c r="B32" s="211" t="n">
        <f aca="false">IF(A32=Z101,D38,IF(A32=Z102,D38,IF(A32=Z103,(D38*3),IF(A32=Z104,(D38*6),IF(A32=Z105,(D38*9),IF(A32=Z106,(D38*12),IF(A32=Z107,D38,IF(A32=Z108,D38,IF(A32=Z109,D38,0)))))))))</f>
        <v>500</v>
      </c>
      <c r="C32" s="211"/>
      <c r="D32" s="211" t="n">
        <f aca="false">IF(A32=Z101,A41,IF(A32=Z102,A41,IF(A32=Z103,(A41*3),IF(A32=Z104,(A41*6),IF(A32=Z105,(A41*9),IF(A32=Z106,(A41*12),IF(A32=Z107,A41,IF(A32=Z108,A41,IF(A32=Z109,A41,0)))))))))</f>
        <v>50</v>
      </c>
      <c r="E32" s="211"/>
      <c r="F32" s="67"/>
      <c r="G32" s="212" t="s">
        <v>254</v>
      </c>
      <c r="H32" s="210" t="n">
        <f aca="false">A41</f>
        <v>50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customFormat="false" ht="18.75" hidden="false" customHeight="true" outlineLevel="0" collapsed="false">
      <c r="A33" s="213"/>
      <c r="B33" s="214"/>
      <c r="C33" s="215"/>
      <c r="D33" s="168"/>
      <c r="E33" s="200"/>
      <c r="F33" s="67"/>
      <c r="G33" s="212"/>
      <c r="H33" s="202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customFormat="false" ht="18.75" hidden="false" customHeight="true" outlineLevel="0" collapsed="false">
      <c r="A34" s="213" t="s">
        <v>256</v>
      </c>
      <c r="B34" s="216" t="s">
        <v>257</v>
      </c>
      <c r="C34" s="215"/>
      <c r="D34" s="217" t="s">
        <v>53</v>
      </c>
      <c r="E34" s="200"/>
      <c r="F34" s="67"/>
      <c r="G34" s="212" t="s">
        <v>258</v>
      </c>
      <c r="H34" s="210" t="n">
        <f aca="false">D41</f>
        <v>12</v>
      </c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customFormat="false" ht="18.75" hidden="false" customHeight="true" outlineLevel="0" collapsed="false">
      <c r="A35" s="211" t="n">
        <f aca="false">B32+D32</f>
        <v>550</v>
      </c>
      <c r="B35" s="207" t="n">
        <v>12</v>
      </c>
      <c r="C35" s="207"/>
      <c r="D35" s="207" t="n">
        <v>5000</v>
      </c>
      <c r="E35" s="207"/>
      <c r="F35" s="67"/>
      <c r="G35" s="55"/>
      <c r="H35" s="218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customFormat="false" ht="18.75" hidden="false" customHeight="true" outlineLevel="0" collapsed="false">
      <c r="A36" s="198"/>
      <c r="B36" s="199"/>
      <c r="C36" s="199"/>
      <c r="D36" s="199"/>
      <c r="E36" s="200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customFormat="false" ht="18.75" hidden="false" customHeight="true" outlineLevel="0" collapsed="false">
      <c r="A37" s="204" t="s">
        <v>54</v>
      </c>
      <c r="B37" s="205" t="s">
        <v>260</v>
      </c>
      <c r="C37" s="199"/>
      <c r="D37" s="205" t="s">
        <v>261</v>
      </c>
      <c r="E37" s="200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customFormat="false" ht="18.75" hidden="false" customHeight="true" outlineLevel="0" collapsed="false">
      <c r="A38" s="219" t="n">
        <f aca="false">(B35/12)*D35</f>
        <v>5000</v>
      </c>
      <c r="B38" s="207" t="s">
        <v>32</v>
      </c>
      <c r="C38" s="207"/>
      <c r="D38" s="106" t="n">
        <v>500</v>
      </c>
      <c r="E38" s="106"/>
      <c r="F38" s="67"/>
      <c r="G38" s="67"/>
      <c r="H38" s="67"/>
      <c r="I38" s="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customFormat="false" ht="18.75" hidden="false" customHeight="true" outlineLevel="0" collapsed="false">
      <c r="A39" s="221"/>
      <c r="B39" s="215"/>
      <c r="C39" s="215"/>
      <c r="D39" s="199"/>
      <c r="E39" s="200"/>
      <c r="F39" s="67"/>
      <c r="G39" s="67"/>
      <c r="H39" s="7"/>
      <c r="I39" s="7"/>
      <c r="J39" s="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customFormat="false" ht="18.75" hidden="false" customHeight="true" outlineLevel="0" collapsed="false">
      <c r="A40" s="222" t="s">
        <v>262</v>
      </c>
      <c r="B40" s="223" t="s">
        <v>132</v>
      </c>
      <c r="C40" s="215"/>
      <c r="D40" s="170" t="s">
        <v>152</v>
      </c>
      <c r="E40" s="200"/>
      <c r="F40" s="67"/>
      <c r="G40" s="67"/>
      <c r="H40" s="7"/>
      <c r="I40" s="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customFormat="false" ht="18.75" hidden="false" customHeight="true" outlineLevel="0" collapsed="false">
      <c r="A41" s="106" t="n">
        <v>0</v>
      </c>
      <c r="B41" s="224" t="n">
        <f aca="false">IF(B38="YES",D38+A41,D38)</f>
        <v>550</v>
      </c>
      <c r="C41" s="224"/>
      <c r="D41" s="106" t="n">
        <v>12</v>
      </c>
      <c r="E41" s="106"/>
      <c r="F41" s="67"/>
      <c r="G41" s="67"/>
      <c r="H41" s="225"/>
      <c r="I41" s="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customFormat="false" ht="18.75" hidden="false" customHeight="true" outlineLevel="0" collapsed="false">
      <c r="A42" s="221"/>
      <c r="B42" s="215"/>
      <c r="C42" s="215"/>
      <c r="D42" s="215"/>
      <c r="E42" s="226"/>
      <c r="F42" s="67"/>
      <c r="G42" s="227" t="s">
        <v>65</v>
      </c>
      <c r="H42" s="227"/>
      <c r="I42" s="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customFormat="false" ht="18.75" hidden="false" customHeight="true" outlineLevel="0" collapsed="false">
      <c r="A43" s="222" t="s">
        <v>264</v>
      </c>
      <c r="B43" s="223" t="s">
        <v>265</v>
      </c>
      <c r="C43" s="215"/>
      <c r="D43" s="223" t="s">
        <v>269</v>
      </c>
      <c r="E43" s="226"/>
      <c r="F43" s="67"/>
      <c r="G43" s="67" t="s">
        <v>266</v>
      </c>
      <c r="H43" s="7" t="n">
        <f aca="false">(((D38*(B35-1))+B32)/B35)+(D41/B35)</f>
        <v>501</v>
      </c>
      <c r="I43" s="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customFormat="false" ht="18.75" hidden="false" customHeight="true" outlineLevel="0" collapsed="false">
      <c r="A44" s="106" t="n">
        <v>1</v>
      </c>
      <c r="B44" s="106" t="n">
        <v>0</v>
      </c>
      <c r="C44" s="106"/>
      <c r="D44" s="256" t="n">
        <f aca="false">A44+B44</f>
        <v>2</v>
      </c>
      <c r="E44" s="256"/>
      <c r="F44" s="67"/>
      <c r="G44" s="67" t="s">
        <v>267</v>
      </c>
      <c r="H44" s="7" t="n">
        <f aca="false">((A41*(B35-1))+D32)/B35</f>
        <v>50</v>
      </c>
      <c r="I44" s="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customFormat="false" ht="18.75" hidden="false" customHeight="true" outlineLevel="0" collapsed="false">
      <c r="A45" s="221"/>
      <c r="B45" s="215"/>
      <c r="C45" s="215"/>
      <c r="D45" s="215"/>
      <c r="E45" s="226"/>
      <c r="F45" s="67"/>
      <c r="G45" s="67" t="s">
        <v>268</v>
      </c>
      <c r="H45" s="229" t="n">
        <f aca="false">H43+H44</f>
        <v>551</v>
      </c>
      <c r="I45" s="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customFormat="false" ht="18.75" hidden="false" customHeight="true" outlineLevel="0" collapsed="false">
      <c r="A46" s="257" t="s">
        <v>284</v>
      </c>
      <c r="B46" s="215"/>
      <c r="C46" s="215"/>
      <c r="D46" s="215"/>
      <c r="E46" s="226"/>
      <c r="F46" s="67"/>
      <c r="G46" s="67" t="s">
        <v>272</v>
      </c>
      <c r="H46" s="7" t="n">
        <f aca="false">H43</f>
        <v>501</v>
      </c>
      <c r="I46" s="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customFormat="false" ht="18.75" hidden="false" customHeight="true" outlineLevel="0" collapsed="false">
      <c r="A47" s="221"/>
      <c r="B47" s="215"/>
      <c r="C47" s="215"/>
      <c r="D47" s="215"/>
      <c r="E47" s="226"/>
      <c r="F47" s="67"/>
      <c r="G47" s="67"/>
      <c r="H47" s="7"/>
      <c r="I47" s="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customFormat="false" ht="18.75" hidden="false" customHeight="true" outlineLevel="0" collapsed="false">
      <c r="A48" s="258" t="s">
        <v>94</v>
      </c>
      <c r="B48" s="199"/>
      <c r="C48" s="199"/>
      <c r="D48" s="259"/>
      <c r="E48" s="260"/>
      <c r="F48" s="67"/>
      <c r="G48" s="67"/>
      <c r="H48" s="7" t="n">
        <f aca="false">(A41*(B58+B57))</f>
        <v>600</v>
      </c>
      <c r="I48" s="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customFormat="false" ht="18.75" hidden="false" customHeight="true" outlineLevel="0" collapsed="false">
      <c r="A49" s="198"/>
      <c r="B49" s="232"/>
      <c r="C49" s="232"/>
      <c r="D49" s="199"/>
      <c r="E49" s="200"/>
      <c r="F49" s="67"/>
      <c r="G49" s="67"/>
      <c r="H49" s="261"/>
      <c r="I49" s="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customFormat="false" ht="18.75" hidden="false" customHeight="true" outlineLevel="0" collapsed="false">
      <c r="A50" s="233" t="s">
        <v>95</v>
      </c>
      <c r="B50" s="234" t="s">
        <v>96</v>
      </c>
      <c r="C50" s="234"/>
      <c r="D50" s="199"/>
      <c r="E50" s="200"/>
      <c r="F50" s="67"/>
      <c r="G50" s="67"/>
      <c r="H50" s="67"/>
      <c r="I50" s="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customFormat="false" ht="18.75" hidden="false" customHeight="true" outlineLevel="0" collapsed="false">
      <c r="A51" s="233"/>
      <c r="B51" s="235" t="n">
        <f aca="false">H30</f>
        <v>5000</v>
      </c>
      <c r="C51" s="235"/>
      <c r="D51" s="199"/>
      <c r="E51" s="200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customFormat="false" ht="18.75" hidden="false" customHeight="true" outlineLevel="0" collapsed="false">
      <c r="A52" s="237" t="n">
        <f aca="false">H29</f>
        <v>12</v>
      </c>
      <c r="B52" s="78" t="n">
        <f aca="false">H45</f>
        <v>551</v>
      </c>
      <c r="C52" s="78"/>
      <c r="D52" s="199"/>
      <c r="E52" s="200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customFormat="false" ht="18.75" hidden="false" customHeight="true" outlineLevel="0" collapsed="false">
      <c r="A53" s="198"/>
      <c r="B53" s="199"/>
      <c r="C53" s="199"/>
      <c r="D53" s="199"/>
      <c r="E53" s="200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customFormat="false" ht="18.75" hidden="false" customHeight="true" outlineLevel="0" collapsed="false">
      <c r="A54" s="262"/>
      <c r="B54" s="263"/>
      <c r="C54" s="263"/>
      <c r="D54" s="263"/>
      <c r="E54" s="264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customFormat="false" ht="18.75" hidden="false" customHeight="true" outlineLevel="0" collapsed="false">
      <c r="A55" s="199"/>
      <c r="B55" s="199"/>
      <c r="C55" s="199"/>
      <c r="D55" s="199"/>
      <c r="E55" s="199"/>
      <c r="F55" s="67"/>
      <c r="G55" s="199"/>
      <c r="H55" s="199"/>
      <c r="I55" s="199"/>
      <c r="J55" s="199"/>
      <c r="K55" s="199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customFormat="false" ht="18.75" hidden="false" customHeight="true" outlineLevel="0" collapsed="false">
      <c r="A56" s="265"/>
      <c r="B56" s="266"/>
      <c r="C56" s="266"/>
      <c r="D56" s="266"/>
      <c r="E56" s="267"/>
      <c r="F56" s="67"/>
      <c r="G56" s="265"/>
      <c r="H56" s="266"/>
      <c r="I56" s="266"/>
      <c r="J56" s="266"/>
      <c r="K56" s="2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customFormat="false" ht="18.75" hidden="false" customHeight="true" outlineLevel="0" collapsed="false">
      <c r="A57" s="198" t="s">
        <v>97</v>
      </c>
      <c r="B57" s="199" t="n">
        <f aca="false">IF(B99=Z101,1,IF(B99=Z102,1,IF(B99=Z103,3,IF(B99=Z104,6,IF(B99=Z105,9,IF(B99=Z106,12,IF(B99=Z107,3,IF(B99=Z108,6,IF(B99=Z109,9,0)))))))))</f>
        <v>1</v>
      </c>
      <c r="C57" s="199"/>
      <c r="D57" s="199"/>
      <c r="E57" s="200"/>
      <c r="F57" s="67"/>
      <c r="G57" s="198" t="s">
        <v>97</v>
      </c>
      <c r="H57" s="199" t="n">
        <f aca="false">IF(H99=Z101,1,IF(H99=Z102,1,IF(H99=Z103,3,IF(H99=Z104,6,IF(H99=Z105,9,IF(H99=Z106,12,IF(H99=Z107,3,IF(H99=Z108,6,IF(H99=Z109,9,0)))))))))</f>
        <v>1</v>
      </c>
      <c r="I57" s="199"/>
      <c r="J57" s="199"/>
      <c r="K57" s="200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customFormat="false" ht="18.75" hidden="false" customHeight="true" outlineLevel="0" collapsed="false">
      <c r="A58" s="198" t="s">
        <v>98</v>
      </c>
      <c r="B58" s="199" t="n">
        <f aca="false">IF(B99=Z101,H29-B57,IF(B99=Z102,H29-B57,IF(B99=Z103,H29-1,IF(B99=Z104,H29-1,IF(B99=Z105,H29-1,IF(B99=Z106,H29-1,IF(B99=Z107,H29-B57,IF(B99=Z108,H29-B57,IF(B99=Z109,H29-B57,0)))))))))</f>
        <v>11</v>
      </c>
      <c r="C58" s="199" t="s">
        <v>285</v>
      </c>
      <c r="D58" s="199"/>
      <c r="E58" s="200"/>
      <c r="F58" s="67"/>
      <c r="G58" s="198" t="s">
        <v>98</v>
      </c>
      <c r="H58" s="199" t="n">
        <f aca="false">IF(H99=Z101,H29-H57,IF(H99=Z102,H29-H57,IF(H99=Z103,H29-1,IF(H99=Z104,H29-1,IF(H99=Z105,H29-1,IF(H99=Z106,H29-1,IF(H99=Z107,H29-H57,IF(H99=Z108,H29-H57,IF(H99=Z109,H29-H57,0)))))))))</f>
        <v>11</v>
      </c>
      <c r="I58" s="199"/>
      <c r="J58" s="199"/>
      <c r="K58" s="200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customFormat="false" ht="18.75" hidden="false" customHeight="true" outlineLevel="0" collapsed="false">
      <c r="A59" s="198"/>
      <c r="B59" s="199"/>
      <c r="C59" s="199"/>
      <c r="D59" s="199"/>
      <c r="E59" s="200"/>
      <c r="F59" s="67"/>
      <c r="G59" s="198"/>
      <c r="H59" s="199"/>
      <c r="I59" s="199"/>
      <c r="J59" s="199"/>
      <c r="K59" s="200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customFormat="false" ht="18.75" hidden="false" customHeight="true" outlineLevel="0" collapsed="false">
      <c r="A60" s="198"/>
      <c r="B60" s="199"/>
      <c r="C60" s="199"/>
      <c r="D60" s="199"/>
      <c r="E60" s="200"/>
      <c r="F60" s="67"/>
      <c r="G60" s="198"/>
      <c r="H60" s="199"/>
      <c r="I60" s="199"/>
      <c r="J60" s="199"/>
      <c r="K60" s="200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customFormat="false" ht="18.75" hidden="false" customHeight="true" outlineLevel="0" collapsed="false">
      <c r="A61" s="198" t="s">
        <v>27</v>
      </c>
      <c r="B61" s="36" t="n">
        <f aca="false">G18</f>
        <v>53614.992</v>
      </c>
      <c r="C61" s="199"/>
      <c r="D61" s="199"/>
      <c r="E61" s="200"/>
      <c r="F61" s="67"/>
      <c r="G61" s="198" t="s">
        <v>27</v>
      </c>
      <c r="H61" s="36" t="n">
        <f aca="false">G18</f>
        <v>53614.992</v>
      </c>
      <c r="I61" s="199"/>
      <c r="J61" s="199"/>
      <c r="K61" s="200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customFormat="false" ht="18.75" hidden="false" customHeight="true" outlineLevel="0" collapsed="false">
      <c r="A62" s="268" t="s">
        <v>287</v>
      </c>
      <c r="B62" s="269" t="n">
        <v>0.07</v>
      </c>
      <c r="C62" s="199"/>
      <c r="D62" s="199"/>
      <c r="E62" s="200"/>
      <c r="F62" s="67"/>
      <c r="G62" s="268" t="s">
        <v>287</v>
      </c>
      <c r="H62" s="269" t="n">
        <v>0.07</v>
      </c>
      <c r="I62" s="199"/>
      <c r="J62" s="199"/>
      <c r="K62" s="200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customFormat="false" ht="18.75" hidden="false" customHeight="true" outlineLevel="0" collapsed="false">
      <c r="A63" s="198" t="s">
        <v>288</v>
      </c>
      <c r="B63" s="270" t="n">
        <f aca="false">ROUND((B62+(B62*0.25*((H29/12)-1))),4)</f>
        <v>0.07</v>
      </c>
      <c r="C63" s="199"/>
      <c r="D63" s="199"/>
      <c r="E63" s="200"/>
      <c r="F63" s="67"/>
      <c r="G63" s="198" t="s">
        <v>288</v>
      </c>
      <c r="H63" s="270" t="n">
        <f aca="false">H62+(H62*0.25*(H29/12-1))</f>
        <v>0.07</v>
      </c>
      <c r="I63" s="199"/>
      <c r="J63" s="199"/>
      <c r="K63" s="200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customFormat="false" ht="18.75" hidden="false" customHeight="true" outlineLevel="0" collapsed="false">
      <c r="A64" s="262" t="s">
        <v>103</v>
      </c>
      <c r="B64" s="69" t="n">
        <f aca="false">B61*B63</f>
        <v>3753.04944</v>
      </c>
      <c r="C64" s="199" t="n">
        <v>10000</v>
      </c>
      <c r="D64" s="36" t="n">
        <f aca="false">B64</f>
        <v>3753.04944</v>
      </c>
      <c r="E64" s="200"/>
      <c r="F64" s="67"/>
      <c r="G64" s="262" t="s">
        <v>103</v>
      </c>
      <c r="H64" s="69" t="n">
        <f aca="false">H61*H63</f>
        <v>3753.04944</v>
      </c>
      <c r="I64" s="199"/>
      <c r="J64" s="36" t="n">
        <f aca="false">H64</f>
        <v>3753.04944</v>
      </c>
      <c r="K64" s="200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customFormat="false" ht="18.75" hidden="false" customHeight="true" outlineLevel="0" collapsed="false">
      <c r="A65" s="268" t="s">
        <v>104</v>
      </c>
      <c r="B65" s="271" t="n">
        <v>250</v>
      </c>
      <c r="C65" s="199"/>
      <c r="D65" s="199"/>
      <c r="E65" s="200"/>
      <c r="F65" s="67"/>
      <c r="G65" s="268" t="s">
        <v>104</v>
      </c>
      <c r="H65" s="269" t="n">
        <v>0.005</v>
      </c>
      <c r="I65" s="199"/>
      <c r="J65" s="199"/>
      <c r="K65" s="200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customFormat="false" ht="18.75" hidden="false" customHeight="true" outlineLevel="0" collapsed="false">
      <c r="A66" s="198" t="s">
        <v>105</v>
      </c>
      <c r="B66" s="270"/>
      <c r="C66" s="199"/>
      <c r="D66" s="199"/>
      <c r="E66" s="200"/>
      <c r="F66" s="67"/>
      <c r="G66" s="198" t="s">
        <v>105</v>
      </c>
      <c r="H66" s="270" t="n">
        <f aca="false">H65+(H65*0.5*(H29/12-1))</f>
        <v>0.005</v>
      </c>
      <c r="I66" s="199"/>
      <c r="J66" s="199"/>
      <c r="K66" s="200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customFormat="false" ht="18.75" hidden="false" customHeight="true" outlineLevel="0" collapsed="false">
      <c r="A67" s="262" t="s">
        <v>106</v>
      </c>
      <c r="B67" s="69" t="n">
        <f aca="false">B65</f>
        <v>250</v>
      </c>
      <c r="C67" s="199"/>
      <c r="D67" s="36"/>
      <c r="E67" s="200"/>
      <c r="F67" s="67"/>
      <c r="G67" s="262" t="s">
        <v>106</v>
      </c>
      <c r="H67" s="69" t="n">
        <f aca="false">H61*H66</f>
        <v>268.07496</v>
      </c>
      <c r="I67" s="199"/>
      <c r="J67" s="36"/>
      <c r="K67" s="200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customFormat="false" ht="18.75" hidden="false" customHeight="true" outlineLevel="0" collapsed="false">
      <c r="A68" s="268" t="s">
        <v>107</v>
      </c>
      <c r="B68" s="269" t="n">
        <v>0.0075</v>
      </c>
      <c r="C68" s="199"/>
      <c r="D68" s="199"/>
      <c r="E68" s="200"/>
      <c r="F68" s="67"/>
      <c r="G68" s="268" t="s">
        <v>107</v>
      </c>
      <c r="H68" s="269" t="n">
        <v>0.0075</v>
      </c>
      <c r="I68" s="199"/>
      <c r="J68" s="199"/>
      <c r="K68" s="200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customFormat="false" ht="18.75" hidden="false" customHeight="true" outlineLevel="0" collapsed="false">
      <c r="A69" s="272" t="s">
        <v>108</v>
      </c>
      <c r="B69" s="273" t="n">
        <v>0.15</v>
      </c>
      <c r="C69" s="199"/>
      <c r="D69" s="199"/>
      <c r="E69" s="200"/>
      <c r="F69" s="67"/>
      <c r="G69" s="272" t="s">
        <v>108</v>
      </c>
      <c r="H69" s="273" t="n">
        <v>0.12</v>
      </c>
      <c r="I69" s="199"/>
      <c r="J69" s="199"/>
      <c r="K69" s="200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customFormat="false" ht="18.75" hidden="false" customHeight="true" outlineLevel="0" collapsed="false">
      <c r="A70" s="262" t="s">
        <v>109</v>
      </c>
      <c r="B70" s="274" t="n">
        <f aca="false">B68*(1+B69)</f>
        <v>0.0084</v>
      </c>
      <c r="C70" s="199"/>
      <c r="D70" s="199"/>
      <c r="E70" s="200"/>
      <c r="F70" s="67"/>
      <c r="G70" s="262" t="s">
        <v>109</v>
      </c>
      <c r="H70" s="274" t="n">
        <f aca="false">H68*(1+H69)</f>
        <v>0.0084</v>
      </c>
      <c r="I70" s="199"/>
      <c r="J70" s="199"/>
      <c r="K70" s="200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customFormat="false" ht="18.75" hidden="false" customHeight="true" outlineLevel="0" collapsed="false">
      <c r="A71" s="268" t="s">
        <v>110</v>
      </c>
      <c r="B71" s="90" t="n">
        <v>160</v>
      </c>
      <c r="C71" s="199"/>
      <c r="D71" s="199"/>
      <c r="E71" s="200"/>
      <c r="F71" s="67"/>
      <c r="G71" s="268" t="s">
        <v>110</v>
      </c>
      <c r="H71" s="90" t="n">
        <v>160</v>
      </c>
      <c r="I71" s="199"/>
      <c r="J71" s="199"/>
      <c r="K71" s="200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customFormat="false" ht="18.75" hidden="false" customHeight="true" outlineLevel="0" collapsed="false">
      <c r="A72" s="272" t="s">
        <v>111</v>
      </c>
      <c r="B72" s="81" t="n">
        <v>4.5</v>
      </c>
      <c r="C72" s="199"/>
      <c r="D72" s="199"/>
      <c r="E72" s="200"/>
      <c r="F72" s="67"/>
      <c r="G72" s="272" t="s">
        <v>111</v>
      </c>
      <c r="H72" s="81" t="n">
        <v>4.5</v>
      </c>
      <c r="I72" s="199"/>
      <c r="J72" s="199"/>
      <c r="K72" s="200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customFormat="false" ht="18.75" hidden="false" customHeight="true" outlineLevel="0" collapsed="false">
      <c r="A73" s="262" t="s">
        <v>112</v>
      </c>
      <c r="B73" s="69" t="n">
        <f aca="false">B72*H29</f>
        <v>54</v>
      </c>
      <c r="C73" s="199"/>
      <c r="D73" s="36" t="n">
        <f aca="false">B73+B71</f>
        <v>214</v>
      </c>
      <c r="E73" s="200"/>
      <c r="F73" s="67"/>
      <c r="G73" s="262" t="s">
        <v>112</v>
      </c>
      <c r="H73" s="69" t="n">
        <f aca="false">H72*H29</f>
        <v>54</v>
      </c>
      <c r="I73" s="199"/>
      <c r="J73" s="36" t="n">
        <f aca="false">H73+H71</f>
        <v>214</v>
      </c>
      <c r="K73" s="200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customFormat="false" ht="18.75" hidden="false" customHeight="true" outlineLevel="0" collapsed="false">
      <c r="A74" s="268" t="s">
        <v>289</v>
      </c>
      <c r="B74" s="90" t="n">
        <v>0</v>
      </c>
      <c r="C74" s="199"/>
      <c r="D74" s="199"/>
      <c r="E74" s="200"/>
      <c r="F74" s="67"/>
      <c r="G74" s="268" t="s">
        <v>289</v>
      </c>
      <c r="H74" s="90" t="n">
        <v>150</v>
      </c>
      <c r="I74" s="199"/>
      <c r="J74" s="199"/>
      <c r="K74" s="200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customFormat="false" ht="18.75" hidden="false" customHeight="true" outlineLevel="0" collapsed="false">
      <c r="A75" s="272" t="s">
        <v>290</v>
      </c>
      <c r="B75" s="81" t="n">
        <v>0</v>
      </c>
      <c r="C75" s="199"/>
      <c r="D75" s="199"/>
      <c r="E75" s="200"/>
      <c r="F75" s="67"/>
      <c r="G75" s="272" t="s">
        <v>290</v>
      </c>
      <c r="H75" s="81" t="n">
        <f aca="false">IF(G18&gt;40000,325,0)</f>
        <v>325</v>
      </c>
      <c r="I75" s="199"/>
      <c r="J75" s="199"/>
      <c r="K75" s="200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customFormat="false" ht="18.75" hidden="false" customHeight="true" outlineLevel="0" collapsed="false">
      <c r="A76" s="262" t="s">
        <v>291</v>
      </c>
      <c r="B76" s="69" t="n">
        <f aca="false">((B74+B75)/12)*(H29-11)</f>
        <v>0</v>
      </c>
      <c r="C76" s="199"/>
      <c r="D76" s="36" t="n">
        <f aca="false">B76</f>
        <v>0</v>
      </c>
      <c r="E76" s="200"/>
      <c r="F76" s="67"/>
      <c r="G76" s="262" t="s">
        <v>291</v>
      </c>
      <c r="H76" s="69" t="n">
        <f aca="false">((H74+H75)/12)*(H29-11)</f>
        <v>39.5833333333333</v>
      </c>
      <c r="I76" s="199"/>
      <c r="J76" s="36" t="n">
        <f aca="false">H76</f>
        <v>39.5833333333333</v>
      </c>
      <c r="K76" s="200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customFormat="false" ht="18.75" hidden="false" customHeight="true" outlineLevel="0" collapsed="false">
      <c r="A77" s="268" t="s">
        <v>292</v>
      </c>
      <c r="B77" s="90" t="n">
        <f aca="false">B102/(1-J15)</f>
        <v>444.444444444444</v>
      </c>
      <c r="C77" s="199"/>
      <c r="D77" s="36" t="n">
        <f aca="false">B77</f>
        <v>444.444444444444</v>
      </c>
      <c r="E77" s="200"/>
      <c r="F77" s="67"/>
      <c r="G77" s="268" t="s">
        <v>292</v>
      </c>
      <c r="H77" s="90" t="n">
        <f aca="false">H102</f>
        <v>1200</v>
      </c>
      <c r="I77" s="199"/>
      <c r="J77" s="36" t="n">
        <f aca="false">H77</f>
        <v>1200</v>
      </c>
      <c r="K77" s="200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customFormat="false" ht="18.75" hidden="false" customHeight="true" outlineLevel="0" collapsed="false">
      <c r="A78" s="198" t="s">
        <v>293</v>
      </c>
      <c r="B78" s="37" t="n">
        <f aca="false">D102/(1-J15)</f>
        <v>222.222222222222</v>
      </c>
      <c r="C78" s="199"/>
      <c r="D78" s="36" t="n">
        <f aca="false">B78</f>
        <v>222.222222222222</v>
      </c>
      <c r="E78" s="200"/>
      <c r="F78" s="67"/>
      <c r="G78" s="198" t="s">
        <v>293</v>
      </c>
      <c r="H78" s="37" t="n">
        <f aca="false">J102</f>
        <v>0</v>
      </c>
      <c r="I78" s="199"/>
      <c r="J78" s="36" t="n">
        <f aca="false">H78</f>
        <v>0</v>
      </c>
      <c r="K78" s="200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customFormat="false" ht="18.75" hidden="false" customHeight="true" outlineLevel="0" collapsed="false">
      <c r="A79" s="272" t="s">
        <v>113</v>
      </c>
      <c r="B79" s="81" t="n">
        <v>300</v>
      </c>
      <c r="C79" s="199"/>
      <c r="D79" s="36" t="n">
        <f aca="false">B79</f>
        <v>200</v>
      </c>
      <c r="E79" s="200"/>
      <c r="F79" s="67"/>
      <c r="G79" s="272" t="s">
        <v>113</v>
      </c>
      <c r="H79" s="81" t="n">
        <v>100</v>
      </c>
      <c r="I79" s="199"/>
      <c r="J79" s="36" t="n">
        <f aca="false">H79</f>
        <v>100</v>
      </c>
      <c r="K79" s="200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customFormat="false" ht="18.75" hidden="false" customHeight="true" outlineLevel="0" collapsed="false">
      <c r="A80" s="275" t="s">
        <v>114</v>
      </c>
      <c r="B80" s="91" t="n">
        <v>100</v>
      </c>
      <c r="C80" s="199"/>
      <c r="D80" s="36" t="n">
        <f aca="false">B80</f>
        <v>200</v>
      </c>
      <c r="E80" s="200"/>
      <c r="F80" s="67"/>
      <c r="G80" s="275" t="s">
        <v>114</v>
      </c>
      <c r="H80" s="91" t="n">
        <v>100</v>
      </c>
      <c r="I80" s="199"/>
      <c r="J80" s="36" t="n">
        <f aca="false">H80</f>
        <v>100</v>
      </c>
      <c r="K80" s="200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customFormat="false" ht="18.75" hidden="false" customHeight="true" outlineLevel="0" collapsed="false">
      <c r="A81" s="276" t="s">
        <v>115</v>
      </c>
      <c r="B81" s="277" t="n">
        <f aca="false">SUM(D64:D80)</f>
        <v>5033.71610666667</v>
      </c>
      <c r="C81" s="199"/>
      <c r="D81" s="199"/>
      <c r="E81" s="200"/>
      <c r="F81" s="67"/>
      <c r="G81" s="276" t="s">
        <v>115</v>
      </c>
      <c r="H81" s="277" t="n">
        <f aca="false">SUM(J64:J80)</f>
        <v>5406.63277333333</v>
      </c>
      <c r="I81" s="199"/>
      <c r="J81" s="199"/>
      <c r="K81" s="200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customFormat="false" ht="18.75" hidden="false" customHeight="true" outlineLevel="0" collapsed="false">
      <c r="A82" s="198" t="s">
        <v>116</v>
      </c>
      <c r="B82" s="37" t="n">
        <f aca="false">B81/H29</f>
        <v>419.476342222222</v>
      </c>
      <c r="C82" s="199"/>
      <c r="D82" s="199"/>
      <c r="E82" s="200"/>
      <c r="F82" s="67"/>
      <c r="G82" s="198" t="s">
        <v>116</v>
      </c>
      <c r="H82" s="37" t="n">
        <f aca="false">H81/H29</f>
        <v>450.552731111111</v>
      </c>
      <c r="I82" s="199"/>
      <c r="J82" s="199"/>
      <c r="K82" s="200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customFormat="false" ht="18.75" hidden="false" customHeight="true" outlineLevel="0" collapsed="false">
      <c r="A83" s="278" t="s">
        <v>117</v>
      </c>
      <c r="B83" s="63" t="n">
        <f aca="false">H46</f>
        <v>501</v>
      </c>
      <c r="C83" s="199"/>
      <c r="D83" s="199"/>
      <c r="E83" s="200"/>
      <c r="F83" s="67"/>
      <c r="G83" s="278" t="s">
        <v>117</v>
      </c>
      <c r="H83" s="63" t="n">
        <f aca="false">H46</f>
        <v>501</v>
      </c>
      <c r="I83" s="199"/>
      <c r="J83" s="199"/>
      <c r="K83" s="200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customFormat="false" ht="18.75" hidden="false" customHeight="true" outlineLevel="0" collapsed="false">
      <c r="A84" s="198"/>
      <c r="B84" s="36"/>
      <c r="C84" s="199"/>
      <c r="D84" s="199"/>
      <c r="E84" s="200"/>
      <c r="F84" s="67"/>
      <c r="G84" s="198"/>
      <c r="H84" s="36"/>
      <c r="I84" s="199"/>
      <c r="J84" s="199"/>
      <c r="K84" s="200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customFormat="false" ht="18.75" hidden="false" customHeight="true" outlineLevel="0" collapsed="false">
      <c r="A85" s="265" t="s">
        <v>127</v>
      </c>
      <c r="B85" s="31" t="n">
        <f aca="false">((B83*(H29)+B81))</f>
        <v>11045.7161066667</v>
      </c>
      <c r="C85" s="199"/>
      <c r="D85" s="199"/>
      <c r="E85" s="200"/>
      <c r="F85" s="67"/>
      <c r="G85" s="265" t="s">
        <v>127</v>
      </c>
      <c r="H85" s="31" t="n">
        <f aca="false">((H83*(H27+H28))+H81)*1.2</f>
        <v>13702.359328</v>
      </c>
      <c r="I85" s="199"/>
      <c r="J85" s="199"/>
      <c r="K85" s="200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customFormat="false" ht="18.75" hidden="false" customHeight="true" outlineLevel="0" collapsed="false">
      <c r="A86" s="198" t="s">
        <v>128</v>
      </c>
      <c r="B86" s="37" t="n">
        <f aca="false">(B85/(1-B70))*B70</f>
        <v>93.5700033239209</v>
      </c>
      <c r="C86" s="199"/>
      <c r="D86" s="199"/>
      <c r="E86" s="200"/>
      <c r="F86" s="67"/>
      <c r="G86" s="198" t="s">
        <v>128</v>
      </c>
      <c r="H86" s="37" t="n">
        <f aca="false">(((H83*(H27+H28))+H81)/(1-H70))*H70</f>
        <v>96.7290392254942</v>
      </c>
      <c r="I86" s="199"/>
      <c r="J86" s="199"/>
      <c r="K86" s="200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customFormat="false" ht="18.75" hidden="false" customHeight="true" outlineLevel="0" collapsed="false">
      <c r="A87" s="262" t="s">
        <v>129</v>
      </c>
      <c r="B87" s="69" t="n">
        <f aca="false">IF(B110="YES",((B85+B86)-E114),((B85+B86)))</f>
        <v>11139.2861099906</v>
      </c>
      <c r="C87" s="199"/>
      <c r="D87" s="199"/>
      <c r="E87" s="200"/>
      <c r="F87" s="67"/>
      <c r="G87" s="262" t="s">
        <v>129</v>
      </c>
      <c r="H87" s="69" t="n">
        <f aca="false">IF(H110="YES",((H85+H86)-A151-K114),((H85+H86)-A151))</f>
        <v>13549.0883672255</v>
      </c>
      <c r="I87" s="199"/>
      <c r="J87" s="199"/>
      <c r="K87" s="200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customFormat="false" ht="18.75" hidden="false" customHeight="true" outlineLevel="0" collapsed="false">
      <c r="A88" s="198"/>
      <c r="B88" s="36"/>
      <c r="C88" s="199"/>
      <c r="D88" s="199"/>
      <c r="E88" s="200"/>
      <c r="F88" s="67"/>
      <c r="G88" s="198"/>
      <c r="H88" s="36"/>
      <c r="I88" s="199"/>
      <c r="J88" s="199"/>
      <c r="K88" s="200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customFormat="false" ht="18.75" hidden="false" customHeight="true" outlineLevel="0" collapsed="false">
      <c r="A89" s="276" t="s">
        <v>130</v>
      </c>
      <c r="B89" s="279" t="n">
        <f aca="false">IF(B99=Z102,(((H44*B35)+(H44*B35)*(B105/100))/(B58)),(((H44*B35)+(H44*B35)*(B105/100))/(B57+B58)))</f>
        <v>60</v>
      </c>
      <c r="C89" s="199" t="s">
        <v>10</v>
      </c>
      <c r="D89" s="199"/>
      <c r="E89" s="200"/>
      <c r="F89" s="67"/>
      <c r="G89" s="276" t="s">
        <v>130</v>
      </c>
      <c r="H89" s="277" t="n">
        <f aca="false">(A41+(A41*H105))*1.2</f>
        <v>72</v>
      </c>
      <c r="I89" s="199"/>
      <c r="J89" s="199"/>
      <c r="K89" s="200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customFormat="false" ht="18.75" hidden="false" customHeight="true" outlineLevel="0" collapsed="false">
      <c r="A90" s="280" t="s">
        <v>131</v>
      </c>
      <c r="B90" s="281" t="n">
        <f aca="false">IF(B99=Z102,(B87-D105)/(B58),B87/(B57+B58))</f>
        <v>928.273842499216</v>
      </c>
      <c r="C90" s="199"/>
      <c r="D90" s="199"/>
      <c r="E90" s="200"/>
      <c r="F90" s="67"/>
      <c r="G90" s="280" t="s">
        <v>131</v>
      </c>
      <c r="H90" s="281" t="n">
        <f aca="false">IF(H99=AE98,(H87-J105)/(H58),H87/(H57+H58))</f>
        <v>1129.09069726879</v>
      </c>
      <c r="I90" s="199"/>
      <c r="K90" s="200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customFormat="false" ht="18.75" hidden="false" customHeight="true" outlineLevel="0" collapsed="false">
      <c r="A91" s="282" t="s">
        <v>132</v>
      </c>
      <c r="B91" s="283" t="n">
        <f aca="false">IF(A105="YES",B90+B89,B90)</f>
        <v>988.273842499216</v>
      </c>
      <c r="C91" s="199"/>
      <c r="D91" s="199"/>
      <c r="E91" s="200"/>
      <c r="F91" s="67"/>
      <c r="G91" s="282" t="s">
        <v>132</v>
      </c>
      <c r="H91" s="283" t="n">
        <f aca="false">IF(G105="YES",H90+H89,H90)</f>
        <v>1201.09069726879</v>
      </c>
      <c r="I91" s="199"/>
      <c r="J91" s="199"/>
      <c r="K91" s="200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customFormat="false" ht="18.75" hidden="false" customHeight="true" outlineLevel="0" collapsed="false">
      <c r="A92" s="262"/>
      <c r="B92" s="263"/>
      <c r="C92" s="263"/>
      <c r="D92" s="263"/>
      <c r="E92" s="264"/>
      <c r="F92" s="67"/>
      <c r="G92" s="262"/>
      <c r="H92" s="263"/>
      <c r="I92" s="263"/>
      <c r="J92" s="263"/>
      <c r="K92" s="264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customFormat="false" ht="18.75" hidden="false" customHeight="true" outlineLevel="0" collapsed="false">
      <c r="A93" s="199"/>
      <c r="B93" s="199"/>
      <c r="C93" s="199"/>
      <c r="D93" s="199"/>
      <c r="E93" s="199"/>
      <c r="F93" s="67"/>
      <c r="G93" s="199"/>
      <c r="H93" s="199"/>
      <c r="I93" s="199"/>
      <c r="J93" s="199"/>
      <c r="K93" s="199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customFormat="false" ht="46.5" hidden="false" customHeight="true" outlineLevel="0" collapsed="false">
      <c r="A94" s="197" t="s">
        <v>342</v>
      </c>
      <c r="B94" s="197"/>
      <c r="C94" s="197"/>
      <c r="D94" s="197"/>
      <c r="E94" s="197"/>
      <c r="F94" s="67"/>
      <c r="G94" s="197" t="s">
        <v>294</v>
      </c>
      <c r="H94" s="197"/>
      <c r="I94" s="197"/>
      <c r="J94" s="197"/>
      <c r="K94" s="19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customFormat="false" ht="18.75" hidden="false" customHeight="true" outlineLevel="0" collapsed="false">
      <c r="A95" s="198"/>
      <c r="B95" s="199"/>
      <c r="C95" s="199"/>
      <c r="D95" s="199"/>
      <c r="E95" s="200"/>
      <c r="F95" s="67"/>
      <c r="G95" s="198"/>
      <c r="H95" s="199"/>
      <c r="I95" s="199"/>
      <c r="J95" s="199"/>
      <c r="K95" s="200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customFormat="false" ht="18.75" hidden="false" customHeight="true" outlineLevel="0" collapsed="false">
      <c r="A96" s="201" t="s">
        <v>137</v>
      </c>
      <c r="B96" s="201"/>
      <c r="C96" s="201"/>
      <c r="D96" s="201"/>
      <c r="E96" s="201"/>
      <c r="F96" s="67"/>
      <c r="G96" s="201" t="s">
        <v>137</v>
      </c>
      <c r="H96" s="201"/>
      <c r="I96" s="201"/>
      <c r="J96" s="201"/>
      <c r="K96" s="201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customFormat="false" ht="18.75" hidden="false" customHeight="true" outlineLevel="0" collapsed="false">
      <c r="A97" s="198"/>
      <c r="B97" s="199"/>
      <c r="C97" s="199"/>
      <c r="D97" s="199"/>
      <c r="E97" s="200"/>
      <c r="F97" s="67"/>
      <c r="G97" s="198"/>
      <c r="H97" s="199"/>
      <c r="I97" s="199"/>
      <c r="J97" s="199"/>
      <c r="K97" s="200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customFormat="false" ht="18.75" hidden="false" customHeight="true" outlineLevel="0" collapsed="false">
      <c r="A98" s="198" t="s">
        <v>138</v>
      </c>
      <c r="B98" s="199" t="s">
        <v>36</v>
      </c>
      <c r="C98" s="199"/>
      <c r="D98" s="199" t="s">
        <v>295</v>
      </c>
      <c r="E98" s="200"/>
      <c r="F98" s="67"/>
      <c r="G98" s="198" t="s">
        <v>138</v>
      </c>
      <c r="H98" s="199" t="s">
        <v>36</v>
      </c>
      <c r="I98" s="199"/>
      <c r="J98" s="199" t="s">
        <v>295</v>
      </c>
      <c r="K98" s="200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customFormat="false" ht="18.75" hidden="false" customHeight="true" outlineLevel="0" collapsed="false">
      <c r="A99" s="204" t="s">
        <v>296</v>
      </c>
      <c r="B99" s="284" t="s">
        <v>362</v>
      </c>
      <c r="C99" s="284"/>
      <c r="D99" s="109" t="n">
        <v>1000</v>
      </c>
      <c r="E99" s="109"/>
      <c r="F99" s="67"/>
      <c r="G99" s="204" t="s">
        <v>296</v>
      </c>
      <c r="H99" s="284" t="s">
        <v>141</v>
      </c>
      <c r="I99" s="284"/>
      <c r="J99" s="109" t="n">
        <v>0</v>
      </c>
      <c r="K99" s="109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customFormat="false" ht="18.75" hidden="false" customHeight="true" outlineLevel="0" collapsed="false">
      <c r="A100" s="198"/>
      <c r="B100" s="199"/>
      <c r="C100" s="199"/>
      <c r="D100" s="199"/>
      <c r="E100" s="200"/>
      <c r="F100" s="67"/>
      <c r="G100" s="198"/>
      <c r="H100" s="199"/>
      <c r="I100" s="199"/>
      <c r="J100" s="199"/>
      <c r="K100" s="200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customFormat="false" ht="18.75" hidden="false" customHeight="true" outlineLevel="0" collapsed="false">
      <c r="A101" s="198" t="s">
        <v>297</v>
      </c>
      <c r="B101" s="199" t="s">
        <v>298</v>
      </c>
      <c r="C101" s="199"/>
      <c r="D101" s="199" t="s">
        <v>299</v>
      </c>
      <c r="E101" s="200"/>
      <c r="F101" s="67"/>
      <c r="G101" s="198" t="s">
        <v>297</v>
      </c>
      <c r="H101" s="199" t="s">
        <v>298</v>
      </c>
      <c r="I101" s="199"/>
      <c r="J101" s="199" t="s">
        <v>299</v>
      </c>
      <c r="K101" s="200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 t="s">
        <v>141</v>
      </c>
      <c r="AA101" s="67"/>
    </row>
    <row r="102" customFormat="false" ht="18.75" hidden="false" customHeight="true" outlineLevel="0" collapsed="false">
      <c r="A102" s="285" t="n">
        <v>199.991666666667</v>
      </c>
      <c r="B102" s="109" t="n">
        <v>400</v>
      </c>
      <c r="C102" s="109"/>
      <c r="D102" s="109" t="n">
        <v>200</v>
      </c>
      <c r="E102" s="109"/>
      <c r="F102" s="67"/>
      <c r="G102" s="285" t="n">
        <f aca="false">199.99*1.2</f>
        <v>239.988</v>
      </c>
      <c r="H102" s="109" t="n">
        <v>1200</v>
      </c>
      <c r="I102" s="109"/>
      <c r="J102" s="109" t="n">
        <v>0</v>
      </c>
      <c r="K102" s="109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 t="s">
        <v>273</v>
      </c>
      <c r="AA102" s="67"/>
    </row>
    <row r="103" customFormat="false" ht="18.75" hidden="false" customHeight="true" outlineLevel="0" collapsed="false">
      <c r="A103" s="198"/>
      <c r="B103" s="199"/>
      <c r="C103" s="199"/>
      <c r="D103" s="199"/>
      <c r="E103" s="200"/>
      <c r="F103" s="67"/>
      <c r="G103" s="198"/>
      <c r="H103" s="199"/>
      <c r="I103" s="199"/>
      <c r="J103" s="199"/>
      <c r="K103" s="200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Z103" s="67" t="s">
        <v>274</v>
      </c>
      <c r="AA103" s="67"/>
    </row>
    <row r="104" customFormat="false" ht="18.75" hidden="false" customHeight="true" outlineLevel="0" collapsed="false">
      <c r="A104" s="204" t="s">
        <v>139</v>
      </c>
      <c r="B104" s="67" t="s">
        <v>142</v>
      </c>
      <c r="C104" s="199"/>
      <c r="D104" s="199" t="s">
        <v>153</v>
      </c>
      <c r="E104" s="200"/>
      <c r="F104" s="67"/>
      <c r="G104" s="204" t="s">
        <v>139</v>
      </c>
      <c r="H104" s="67" t="s">
        <v>142</v>
      </c>
      <c r="I104" s="199"/>
      <c r="J104" s="199" t="s">
        <v>153</v>
      </c>
      <c r="K104" s="200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Z104" s="67" t="s">
        <v>275</v>
      </c>
      <c r="AA104" s="67"/>
    </row>
    <row r="105" customFormat="false" ht="18.75" hidden="false" customHeight="true" outlineLevel="0" collapsed="false">
      <c r="A105" s="206" t="s">
        <v>32</v>
      </c>
      <c r="B105" s="284" t="n">
        <v>0</v>
      </c>
      <c r="C105" s="284"/>
      <c r="D105" s="109" t="s">
        <v>363</v>
      </c>
      <c r="E105" s="109"/>
      <c r="F105" s="67"/>
      <c r="G105" s="206" t="s">
        <v>31</v>
      </c>
      <c r="H105" s="286" t="n">
        <v>0.2</v>
      </c>
      <c r="I105" s="286"/>
      <c r="J105" s="109" t="n">
        <v>0</v>
      </c>
      <c r="K105" s="109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Z105" s="67" t="s">
        <v>276</v>
      </c>
      <c r="AA105" s="67"/>
    </row>
    <row r="106" customFormat="false" ht="18.75" hidden="false" customHeight="true" outlineLevel="0" collapsed="false">
      <c r="A106" s="198"/>
      <c r="B106" s="199"/>
      <c r="C106" s="199"/>
      <c r="D106" s="199"/>
      <c r="E106" s="200"/>
      <c r="F106" s="67"/>
      <c r="G106" s="198"/>
      <c r="H106" s="199"/>
      <c r="I106" s="199"/>
      <c r="J106" s="199"/>
      <c r="K106" s="200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Z106" s="67" t="s">
        <v>277</v>
      </c>
      <c r="AA106" s="67"/>
    </row>
    <row r="107" customFormat="false" ht="18.75" hidden="false" customHeight="true" outlineLevel="0" collapsed="false">
      <c r="A107" s="198"/>
      <c r="B107" s="199"/>
      <c r="C107" s="199"/>
      <c r="D107" s="199"/>
      <c r="E107" s="200"/>
      <c r="F107" s="67"/>
      <c r="G107" s="198"/>
      <c r="H107" s="199"/>
      <c r="I107" s="199"/>
      <c r="J107" s="199"/>
      <c r="K107" s="200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Z107" s="67" t="s">
        <v>278</v>
      </c>
      <c r="AA107" s="67"/>
    </row>
    <row r="108" customFormat="false" ht="18.75" hidden="false" customHeight="true" outlineLevel="0" collapsed="false">
      <c r="A108" s="201" t="s">
        <v>300</v>
      </c>
      <c r="B108" s="201"/>
      <c r="C108" s="201"/>
      <c r="D108" s="201"/>
      <c r="E108" s="201"/>
      <c r="F108" s="67"/>
      <c r="G108" s="201" t="s">
        <v>300</v>
      </c>
      <c r="H108" s="201"/>
      <c r="I108" s="201"/>
      <c r="J108" s="201"/>
      <c r="K108" s="201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Z108" s="67" t="s">
        <v>279</v>
      </c>
      <c r="AA108" s="67"/>
    </row>
    <row r="109" customFormat="false" ht="18.75" hidden="false" customHeight="true" outlineLevel="0" collapsed="false">
      <c r="A109" s="198"/>
      <c r="B109" s="199"/>
      <c r="C109" s="199"/>
      <c r="D109" s="199"/>
      <c r="E109" s="200"/>
      <c r="F109" s="67"/>
      <c r="G109" s="198"/>
      <c r="H109" s="199"/>
      <c r="I109" s="199"/>
      <c r="J109" s="199"/>
      <c r="K109" s="200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Z109" s="67" t="s">
        <v>280</v>
      </c>
    </row>
    <row r="110" customFormat="false" ht="18.75" hidden="false" customHeight="true" outlineLevel="0" collapsed="false">
      <c r="A110" s="198" t="s">
        <v>301</v>
      </c>
      <c r="B110" s="206" t="s">
        <v>32</v>
      </c>
      <c r="C110" s="199"/>
      <c r="D110" s="199"/>
      <c r="E110" s="200"/>
      <c r="F110" s="67"/>
      <c r="G110" s="198" t="s">
        <v>301</v>
      </c>
      <c r="H110" s="206" t="s">
        <v>32</v>
      </c>
      <c r="I110" s="199"/>
      <c r="J110" s="199"/>
      <c r="K110" s="200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Z110" s="67"/>
    </row>
    <row r="111" customFormat="false" ht="18.75" hidden="false" customHeight="true" outlineLevel="0" collapsed="false">
      <c r="A111" s="198"/>
      <c r="B111" s="199"/>
      <c r="C111" s="199"/>
      <c r="D111" s="199"/>
      <c r="E111" s="200"/>
      <c r="F111" s="67"/>
      <c r="G111" s="198"/>
      <c r="H111" s="199"/>
      <c r="I111" s="199"/>
      <c r="J111" s="199"/>
      <c r="K111" s="200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Z111" s="67"/>
    </row>
    <row r="112" customFormat="false" ht="18.75" hidden="false" customHeight="true" outlineLevel="0" collapsed="false">
      <c r="A112" s="198" t="s">
        <v>186</v>
      </c>
      <c r="B112" s="199"/>
      <c r="C112" s="199"/>
      <c r="D112" s="285" t="n">
        <v>0</v>
      </c>
      <c r="E112" s="109" t="n">
        <v>0</v>
      </c>
      <c r="F112" s="67"/>
      <c r="G112" s="198" t="s">
        <v>186</v>
      </c>
      <c r="H112" s="199"/>
      <c r="I112" s="199"/>
      <c r="J112" s="285" t="n">
        <v>10000</v>
      </c>
      <c r="K112" s="109" t="n">
        <v>5000</v>
      </c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customFormat="false" ht="18.75" hidden="false" customHeight="true" outlineLevel="0" collapsed="false">
      <c r="A113" s="198" t="s">
        <v>187</v>
      </c>
      <c r="B113" s="199"/>
      <c r="C113" s="199"/>
      <c r="D113" s="43" t="n">
        <f aca="false">E113</f>
        <v>0</v>
      </c>
      <c r="E113" s="109" t="n">
        <v>0</v>
      </c>
      <c r="F113" s="67"/>
      <c r="G113" s="198" t="s">
        <v>187</v>
      </c>
      <c r="H113" s="199"/>
      <c r="I113" s="199"/>
      <c r="J113" s="43" t="n">
        <f aca="false">K113</f>
        <v>7000</v>
      </c>
      <c r="K113" s="109" t="n">
        <v>7000</v>
      </c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customFormat="false" ht="18.75" hidden="false" customHeight="true" outlineLevel="0" collapsed="false">
      <c r="A114" s="198" t="s">
        <v>188</v>
      </c>
      <c r="B114" s="199"/>
      <c r="C114" s="199"/>
      <c r="D114" s="43" t="n">
        <f aca="false">D112-D113</f>
        <v>0</v>
      </c>
      <c r="E114" s="157" t="n">
        <f aca="false">E112-E113</f>
        <v>0</v>
      </c>
      <c r="F114" s="67"/>
      <c r="G114" s="198" t="s">
        <v>188</v>
      </c>
      <c r="H114" s="199"/>
      <c r="I114" s="199"/>
      <c r="J114" s="43" t="n">
        <f aca="false">J112-J113</f>
        <v>3000</v>
      </c>
      <c r="K114" s="157" t="n">
        <f aca="false">K112-K113</f>
        <v>-2000</v>
      </c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customFormat="false" ht="18.75" hidden="false" customHeight="true" outlineLevel="0" collapsed="false">
      <c r="A115" s="198" t="s">
        <v>189</v>
      </c>
      <c r="B115" s="199"/>
      <c r="C115" s="199"/>
      <c r="D115" s="43" t="n">
        <f aca="false">D114-E114</f>
        <v>0</v>
      </c>
      <c r="E115" s="200"/>
      <c r="F115" s="67"/>
      <c r="G115" s="198" t="s">
        <v>189</v>
      </c>
      <c r="H115" s="199"/>
      <c r="I115" s="199"/>
      <c r="J115" s="43" t="n">
        <f aca="false">J114-K114</f>
        <v>5000</v>
      </c>
      <c r="K115" s="200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customFormat="false" ht="18.75" hidden="false" customHeight="true" outlineLevel="0" collapsed="false">
      <c r="A116" s="198"/>
      <c r="B116" s="199"/>
      <c r="C116" s="199"/>
      <c r="D116" s="199"/>
      <c r="E116" s="200"/>
      <c r="F116" s="67"/>
      <c r="G116" s="198"/>
      <c r="H116" s="199"/>
      <c r="I116" s="199"/>
      <c r="J116" s="199"/>
      <c r="K116" s="200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customFormat="false" ht="18.75" hidden="false" customHeight="true" outlineLevel="0" collapsed="false">
      <c r="A117" s="265" t="s">
        <v>149</v>
      </c>
      <c r="B117" s="266"/>
      <c r="C117" s="266"/>
      <c r="D117" s="266"/>
      <c r="E117" s="31" t="n">
        <f aca="false">D99</f>
        <v>1000</v>
      </c>
      <c r="F117" s="67"/>
      <c r="G117" s="265" t="s">
        <v>149</v>
      </c>
      <c r="H117" s="266"/>
      <c r="I117" s="266"/>
      <c r="J117" s="266"/>
      <c r="K117" s="31" t="n">
        <f aca="false">J99</f>
        <v>0</v>
      </c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customFormat="false" ht="18.75" hidden="false" customHeight="true" outlineLevel="0" collapsed="false">
      <c r="A118" s="198" t="s">
        <v>66</v>
      </c>
      <c r="B118" s="199"/>
      <c r="C118" s="199"/>
      <c r="D118" s="199"/>
      <c r="E118" s="37" t="n">
        <f aca="false">A102</f>
        <v>199.991666666667</v>
      </c>
      <c r="F118" s="67"/>
      <c r="G118" s="198" t="s">
        <v>66</v>
      </c>
      <c r="H118" s="199"/>
      <c r="I118" s="199"/>
      <c r="J118" s="199"/>
      <c r="K118" s="37" t="n">
        <f aca="false">G102</f>
        <v>239.988</v>
      </c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customFormat="false" ht="18.75" hidden="false" customHeight="true" outlineLevel="0" collapsed="false">
      <c r="A119" s="287" t="s">
        <v>302</v>
      </c>
      <c r="B119" s="263"/>
      <c r="C119" s="263"/>
      <c r="D119" s="263"/>
      <c r="E119" s="69" t="n">
        <f aca="false">((E118*1.2)+E117)-E114</f>
        <v>1239.99</v>
      </c>
      <c r="F119" s="67"/>
      <c r="G119" s="287" t="s">
        <v>302</v>
      </c>
      <c r="H119" s="263"/>
      <c r="I119" s="263"/>
      <c r="J119" s="263"/>
      <c r="K119" s="69" t="n">
        <f aca="false">(K118+K117)-J115</f>
        <v>-4760.012</v>
      </c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customFormat="false" ht="18.75" hidden="false" customHeight="true" outlineLevel="0" collapsed="false">
      <c r="A120" s="198"/>
      <c r="B120" s="199"/>
      <c r="C120" s="199"/>
      <c r="D120" s="199"/>
      <c r="E120" s="200"/>
      <c r="F120" s="67"/>
      <c r="G120" s="198"/>
      <c r="H120" s="199"/>
      <c r="I120" s="199"/>
      <c r="J120" s="199"/>
      <c r="K120" s="200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customFormat="false" ht="18.75" hidden="false" customHeight="true" outlineLevel="0" collapsed="false">
      <c r="A121" s="198"/>
      <c r="B121" s="199"/>
      <c r="C121" s="199"/>
      <c r="D121" s="199"/>
      <c r="E121" s="200"/>
      <c r="F121" s="67"/>
      <c r="G121" s="198"/>
      <c r="H121" s="199"/>
      <c r="I121" s="199"/>
      <c r="J121" s="199"/>
      <c r="K121" s="200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customFormat="false" ht="18.75" hidden="false" customHeight="true" outlineLevel="0" collapsed="false">
      <c r="A122" s="201" t="s">
        <v>303</v>
      </c>
      <c r="B122" s="201"/>
      <c r="C122" s="201"/>
      <c r="D122" s="201"/>
      <c r="E122" s="201"/>
      <c r="F122" s="67"/>
      <c r="G122" s="201" t="s">
        <v>303</v>
      </c>
      <c r="H122" s="201"/>
      <c r="I122" s="201"/>
      <c r="J122" s="201"/>
      <c r="K122" s="201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customFormat="false" ht="18.75" hidden="false" customHeight="true" outlineLevel="0" collapsed="false">
      <c r="A123" s="198"/>
      <c r="B123" s="199"/>
      <c r="C123" s="199"/>
      <c r="D123" s="199"/>
      <c r="E123" s="200"/>
      <c r="F123" s="67"/>
      <c r="G123" s="198"/>
      <c r="H123" s="199"/>
      <c r="I123" s="199"/>
      <c r="J123" s="199"/>
      <c r="K123" s="200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customFormat="false" ht="18.75" hidden="false" customHeight="true" outlineLevel="0" collapsed="false">
      <c r="A124" s="288" t="s">
        <v>138</v>
      </c>
      <c r="B124" s="289" t="n">
        <v>0</v>
      </c>
      <c r="C124" s="290"/>
      <c r="D124" s="289" t="s">
        <v>96</v>
      </c>
      <c r="E124" s="291"/>
      <c r="F124" s="67"/>
      <c r="G124" s="198" t="s">
        <v>194</v>
      </c>
      <c r="H124" s="162" t="n">
        <v>0</v>
      </c>
      <c r="I124" s="162"/>
      <c r="J124" s="199"/>
      <c r="K124" s="200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customFormat="false" ht="18.75" hidden="false" customHeight="true" outlineLevel="0" collapsed="false">
      <c r="A125" s="292" t="s">
        <v>296</v>
      </c>
      <c r="B125" s="293" t="n">
        <f aca="false">A161</f>
        <v>12</v>
      </c>
      <c r="C125" s="294"/>
      <c r="D125" s="293" t="n">
        <f aca="false">B160</f>
        <v>5000</v>
      </c>
      <c r="E125" s="291"/>
      <c r="F125" s="67"/>
      <c r="G125" s="198"/>
      <c r="H125" s="199"/>
      <c r="I125" s="199"/>
      <c r="J125" s="199"/>
      <c r="K125" s="200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customFormat="false" ht="18.75" hidden="false" customHeight="true" outlineLevel="0" collapsed="false">
      <c r="A126" s="288"/>
      <c r="B126" s="289"/>
      <c r="C126" s="289"/>
      <c r="D126" s="289"/>
      <c r="E126" s="291"/>
      <c r="F126" s="67"/>
      <c r="G126" s="198" t="s">
        <v>95</v>
      </c>
      <c r="H126" s="199" t="s">
        <v>96</v>
      </c>
      <c r="I126" s="199"/>
      <c r="J126" s="199" t="s">
        <v>98</v>
      </c>
      <c r="K126" s="200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customFormat="false" ht="18.75" hidden="false" customHeight="true" outlineLevel="0" collapsed="false">
      <c r="A127" s="288" t="s">
        <v>131</v>
      </c>
      <c r="B127" s="289" t="s">
        <v>304</v>
      </c>
      <c r="C127" s="290"/>
      <c r="D127" s="289" t="s">
        <v>305</v>
      </c>
      <c r="E127" s="291"/>
      <c r="F127" s="67"/>
      <c r="G127" s="213" t="n">
        <f aca="false">G152</f>
        <v>12</v>
      </c>
      <c r="H127" s="214" t="n">
        <f aca="false">A152</f>
        <v>0</v>
      </c>
      <c r="I127" s="215"/>
      <c r="J127" s="168" t="n">
        <f aca="false">B151</f>
        <v>0</v>
      </c>
      <c r="K127" s="200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customFormat="false" ht="18.75" hidden="false" customHeight="true" outlineLevel="0" collapsed="false">
      <c r="A128" s="292" t="n">
        <f aca="false">B90</f>
        <v>928.273842499216</v>
      </c>
      <c r="B128" s="290" t="n">
        <f aca="false">IF(A105="YES",B89,0)</f>
        <v>60</v>
      </c>
      <c r="C128" s="295"/>
      <c r="D128" s="290" t="n">
        <f aca="false">B91</f>
        <v>988.273842499216</v>
      </c>
      <c r="E128" s="291"/>
      <c r="F128" s="67"/>
      <c r="G128" s="198"/>
      <c r="H128" s="199"/>
      <c r="I128" s="199"/>
      <c r="J128" s="199"/>
      <c r="K128" s="200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customFormat="false" ht="18.75" hidden="false" customHeight="true" outlineLevel="0" collapsed="false">
      <c r="A129" s="198"/>
      <c r="B129" s="199"/>
      <c r="C129" s="199"/>
      <c r="D129" s="199"/>
      <c r="E129" s="200"/>
      <c r="F129" s="67"/>
      <c r="G129" s="296" t="s">
        <v>306</v>
      </c>
      <c r="H129" s="297" t="s">
        <v>307</v>
      </c>
      <c r="I129" s="297"/>
      <c r="J129" s="297" t="s">
        <v>308</v>
      </c>
      <c r="K129" s="200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customFormat="false" ht="18.75" hidden="false" customHeight="true" outlineLevel="0" collapsed="false">
      <c r="A130" s="298" t="s">
        <v>36</v>
      </c>
      <c r="B130" s="299" t="s">
        <v>309</v>
      </c>
      <c r="C130" s="215"/>
      <c r="D130" s="299" t="s">
        <v>310</v>
      </c>
      <c r="E130" s="200"/>
      <c r="F130" s="67"/>
      <c r="G130" s="300" t="n">
        <f aca="false">H90</f>
        <v>1129.09069726879</v>
      </c>
      <c r="H130" s="166" t="n">
        <f aca="false">IF(G105="YES",H89*H57,0)</f>
        <v>72</v>
      </c>
      <c r="I130" s="166"/>
      <c r="J130" s="301" t="n">
        <f aca="false">H91</f>
        <v>1201.09069726879</v>
      </c>
      <c r="K130" s="10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customFormat="false" ht="18.75" hidden="false" customHeight="true" outlineLevel="0" collapsed="false">
      <c r="A131" s="302" t="str">
        <f aca="false">B99</f>
        <v> Monthly in advance </v>
      </c>
      <c r="B131" s="42" t="n">
        <f aca="false">B90*B57</f>
        <v>928.273842499216</v>
      </c>
      <c r="C131" s="199"/>
      <c r="D131" s="42" t="n">
        <f aca="false">IF(A105="YES",B89*B57,0)</f>
        <v>60</v>
      </c>
      <c r="E131" s="200"/>
      <c r="F131" s="67"/>
      <c r="G131" s="198"/>
      <c r="H131" s="199"/>
      <c r="I131" s="199"/>
      <c r="J131" s="199"/>
      <c r="K131" s="200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customFormat="false" ht="18.75" hidden="false" customHeight="true" outlineLevel="0" collapsed="false">
      <c r="A132" s="198"/>
      <c r="B132" s="199"/>
      <c r="C132" s="199"/>
      <c r="D132" s="199"/>
      <c r="E132" s="200"/>
      <c r="F132" s="67"/>
      <c r="G132" s="198" t="s">
        <v>311</v>
      </c>
      <c r="H132" s="199" t="s">
        <v>312</v>
      </c>
      <c r="I132" s="199"/>
      <c r="J132" s="199" t="s">
        <v>313</v>
      </c>
      <c r="K132" s="200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customFormat="false" ht="18.75" hidden="false" customHeight="true" outlineLevel="0" collapsed="false">
      <c r="A133" s="112" t="s">
        <v>314</v>
      </c>
      <c r="B133" s="43" t="s">
        <v>315</v>
      </c>
      <c r="C133" s="205"/>
      <c r="D133" s="230" t="s">
        <v>219</v>
      </c>
      <c r="E133" s="200"/>
      <c r="F133" s="67"/>
      <c r="G133" s="171" t="n">
        <f aca="false">H90*H57</f>
        <v>1129.09069726879</v>
      </c>
      <c r="H133" s="42" t="n">
        <f aca="false">IF(G105="YES",H89*H57,0)</f>
        <v>72</v>
      </c>
      <c r="I133" s="205"/>
      <c r="J133" s="170" t="n">
        <f aca="false">H91*H57</f>
        <v>1201.09069726879</v>
      </c>
      <c r="K133" s="200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customFormat="false" ht="18.75" hidden="false" customHeight="true" outlineLevel="0" collapsed="false">
      <c r="A134" s="113" t="n">
        <f aca="false">B91*B57</f>
        <v>988.273842499216</v>
      </c>
      <c r="B134" s="42" t="n">
        <f aca="false">E114</f>
        <v>0</v>
      </c>
      <c r="C134" s="199"/>
      <c r="D134" s="303" t="n">
        <f aca="false">B58</f>
        <v>11</v>
      </c>
      <c r="E134" s="200"/>
      <c r="F134" s="67"/>
      <c r="G134" s="198"/>
      <c r="H134" s="199"/>
      <c r="I134" s="199"/>
      <c r="J134" s="199"/>
      <c r="K134" s="200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customFormat="false" ht="18.75" hidden="false" customHeight="true" outlineLevel="0" collapsed="false">
      <c r="A135" s="113"/>
      <c r="B135" s="304"/>
      <c r="C135" s="199"/>
      <c r="D135" s="199"/>
      <c r="E135" s="200"/>
      <c r="F135" s="67"/>
      <c r="G135" s="198" t="s">
        <v>316</v>
      </c>
      <c r="H135" s="199" t="s">
        <v>317</v>
      </c>
      <c r="I135" s="199"/>
      <c r="J135" s="199" t="s">
        <v>318</v>
      </c>
      <c r="K135" s="200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customFormat="false" ht="18.75" hidden="false" customHeight="true" outlineLevel="0" collapsed="false">
      <c r="A136" s="64" t="s">
        <v>131</v>
      </c>
      <c r="B136" s="305" t="s">
        <v>304</v>
      </c>
      <c r="C136" s="199"/>
      <c r="D136" s="199" t="s">
        <v>305</v>
      </c>
      <c r="E136" s="200"/>
      <c r="F136" s="67"/>
      <c r="G136" s="113" t="n">
        <f aca="false">E15*0.000006</f>
        <v>0.2959055544</v>
      </c>
      <c r="H136" s="42" t="n">
        <f aca="false">IF(G105="YES",E15*0.000002,0)</f>
        <v>0.0986351848</v>
      </c>
      <c r="I136" s="42"/>
      <c r="J136" s="42" t="n">
        <f aca="false">G136+H136</f>
        <v>0.3945407392</v>
      </c>
      <c r="K136" s="10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customFormat="false" ht="18.75" hidden="false" customHeight="true" outlineLevel="0" collapsed="false">
      <c r="A137" s="113" t="n">
        <f aca="false">B90</f>
        <v>928.273842499216</v>
      </c>
      <c r="B137" s="42" t="n">
        <f aca="false">IF(A105="YES",B89,0)</f>
        <v>60</v>
      </c>
      <c r="C137" s="199"/>
      <c r="D137" s="42" t="n">
        <f aca="false">B91</f>
        <v>988.273842499216</v>
      </c>
      <c r="E137" s="200"/>
      <c r="F137" s="67"/>
      <c r="G137" s="198"/>
      <c r="H137" s="199"/>
      <c r="I137" s="199"/>
      <c r="J137" s="199"/>
      <c r="K137" s="200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customFormat="false" ht="18.75" hidden="false" customHeight="true" outlineLevel="0" collapsed="false">
      <c r="A138" s="198"/>
      <c r="B138" s="199"/>
      <c r="C138" s="199"/>
      <c r="D138" s="199"/>
      <c r="E138" s="200"/>
      <c r="F138" s="67"/>
      <c r="G138" s="198" t="s">
        <v>319</v>
      </c>
      <c r="H138" s="199" t="s">
        <v>320</v>
      </c>
      <c r="I138" s="199"/>
      <c r="J138" s="199" t="s">
        <v>321</v>
      </c>
      <c r="K138" s="200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customFormat="false" ht="18.75" hidden="false" customHeight="true" outlineLevel="0" collapsed="false">
      <c r="A139" s="306" t="s">
        <v>80</v>
      </c>
      <c r="B139" s="307" t="s">
        <v>322</v>
      </c>
      <c r="C139" s="42"/>
      <c r="D139" s="307" t="s">
        <v>85</v>
      </c>
      <c r="E139" s="107"/>
      <c r="F139" s="67"/>
      <c r="G139" s="113" t="n">
        <f aca="false">G102</f>
        <v>239.988</v>
      </c>
      <c r="H139" s="42" t="n">
        <f aca="false">H67</f>
        <v>268.07496</v>
      </c>
      <c r="I139" s="42"/>
      <c r="J139" s="42" t="n">
        <f aca="false">H102*0.9</f>
        <v>1080</v>
      </c>
      <c r="K139" s="10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customFormat="false" ht="18.75" hidden="false" customHeight="true" outlineLevel="0" collapsed="false">
      <c r="A140" s="308" t="n">
        <f aca="false">(G18*0.000006)*100</f>
        <v>32.1689952</v>
      </c>
      <c r="B140" s="309" t="n">
        <f aca="false">G18*0.000002*100</f>
        <v>10.7229984</v>
      </c>
      <c r="C140" s="310"/>
      <c r="D140" s="309" t="n">
        <f aca="false">A140+B140</f>
        <v>42.8919936</v>
      </c>
      <c r="E140" s="200"/>
      <c r="F140" s="67"/>
      <c r="G140" s="198"/>
      <c r="H140" s="199"/>
      <c r="I140" s="199"/>
      <c r="J140" s="199"/>
      <c r="K140" s="200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customFormat="false" ht="18.75" hidden="false" customHeight="true" outlineLevel="0" collapsed="false">
      <c r="A141" s="311"/>
      <c r="B141" s="312"/>
      <c r="C141" s="199"/>
      <c r="D141" s="312"/>
      <c r="E141" s="200"/>
      <c r="F141" s="67"/>
      <c r="G141" s="198" t="s">
        <v>323</v>
      </c>
      <c r="H141" s="199" t="s">
        <v>324</v>
      </c>
      <c r="I141" s="199"/>
      <c r="J141" s="199" t="s">
        <v>325</v>
      </c>
      <c r="K141" s="200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customFormat="false" ht="18.75" hidden="false" customHeight="true" outlineLevel="0" collapsed="false">
      <c r="A142" s="306" t="s">
        <v>326</v>
      </c>
      <c r="B142" s="307" t="s">
        <v>66</v>
      </c>
      <c r="C142" s="42"/>
      <c r="D142" s="307" t="s">
        <v>292</v>
      </c>
      <c r="E142" s="200"/>
      <c r="F142" s="67"/>
      <c r="G142" s="113" t="n">
        <f aca="false">IF(G105="YES",H89*0.1,0)</f>
        <v>7.2</v>
      </c>
      <c r="H142" s="42" t="n">
        <f aca="false">G102-100</f>
        <v>139.988</v>
      </c>
      <c r="I142" s="42"/>
      <c r="J142" s="42" t="n">
        <f aca="false">(H139+J139+G142+H142)-H145</f>
        <v>1495.26296</v>
      </c>
      <c r="K142" s="10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customFormat="false" ht="18.75" hidden="false" customHeight="true" outlineLevel="0" collapsed="false">
      <c r="A143" s="113" t="n">
        <v>0</v>
      </c>
      <c r="B143" s="42" t="n">
        <f aca="false">E118</f>
        <v>199.991666666667</v>
      </c>
      <c r="C143" s="199"/>
      <c r="D143" s="142" t="n">
        <f aca="false">B102</f>
        <v>400</v>
      </c>
      <c r="E143" s="200"/>
      <c r="F143" s="67"/>
      <c r="G143" s="198"/>
      <c r="H143" s="199"/>
      <c r="I143" s="199"/>
      <c r="J143" s="199"/>
      <c r="K143" s="200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customFormat="false" ht="18.75" hidden="false" customHeight="true" outlineLevel="0" collapsed="false">
      <c r="A144" s="113"/>
      <c r="B144" s="42"/>
      <c r="C144" s="199"/>
      <c r="D144" s="42"/>
      <c r="E144" s="200"/>
      <c r="F144" s="67"/>
      <c r="G144" s="198" t="s">
        <v>327</v>
      </c>
      <c r="H144" s="199" t="s">
        <v>328</v>
      </c>
      <c r="I144" s="199"/>
      <c r="J144" s="199"/>
      <c r="K144" s="200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customFormat="false" ht="18.75" hidden="false" customHeight="true" outlineLevel="0" collapsed="false">
      <c r="A145" s="313" t="s">
        <v>329</v>
      </c>
      <c r="B145" s="314"/>
      <c r="C145" s="315"/>
      <c r="D145" s="314"/>
      <c r="E145" s="316"/>
      <c r="F145" s="67"/>
      <c r="G145" s="113" t="n">
        <f aca="false">IF((1200-H102)&lt;=0,0,(1200-H102))</f>
        <v>0</v>
      </c>
      <c r="H145" s="42" t="n">
        <f aca="false">(H139+J139+G142+H142)*(G145/H64)</f>
        <v>0</v>
      </c>
      <c r="I145" s="199"/>
      <c r="J145" s="199"/>
      <c r="K145" s="200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customFormat="false" ht="18.75" hidden="false" customHeight="true" outlineLevel="0" collapsed="false">
      <c r="A146" s="311"/>
      <c r="B146" s="312"/>
      <c r="C146" s="199"/>
      <c r="D146" s="312"/>
      <c r="E146" s="200"/>
      <c r="F146" s="67"/>
      <c r="G146" s="198"/>
      <c r="H146" s="199"/>
      <c r="I146" s="199"/>
      <c r="J146" s="199"/>
      <c r="K146" s="200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customFormat="false" ht="18.75" hidden="false" customHeight="true" outlineLevel="0" collapsed="false">
      <c r="A147" s="198" t="s">
        <v>330</v>
      </c>
      <c r="B147" s="199" t="s">
        <v>331</v>
      </c>
      <c r="C147" s="199"/>
      <c r="D147" s="199" t="s">
        <v>332</v>
      </c>
      <c r="E147" s="200"/>
      <c r="F147" s="67"/>
      <c r="G147" s="198"/>
      <c r="H147" s="199"/>
      <c r="I147" s="199"/>
      <c r="J147" s="199"/>
      <c r="K147" s="200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customFormat="false" ht="18.75" hidden="false" customHeight="true" outlineLevel="0" collapsed="false">
      <c r="A148" s="113" t="n">
        <f aca="false">B67</f>
        <v>250</v>
      </c>
      <c r="B148" s="42" t="n">
        <f aca="false">B102</f>
        <v>400</v>
      </c>
      <c r="C148" s="42"/>
      <c r="D148" s="42" t="n">
        <f aca="false">IF(A105="YES",(A38/100*B105)*B125,0)*0.001</f>
        <v>12</v>
      </c>
      <c r="E148" s="107"/>
      <c r="F148" s="67"/>
      <c r="G148" s="258" t="s">
        <v>333</v>
      </c>
      <c r="H148" s="199"/>
      <c r="I148" s="199"/>
      <c r="J148" s="259"/>
      <c r="K148" s="260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customFormat="false" ht="18.75" hidden="false" customHeight="true" outlineLevel="0" collapsed="false">
      <c r="A149" s="198"/>
      <c r="B149" s="199"/>
      <c r="C149" s="199"/>
      <c r="D149" s="199"/>
      <c r="E149" s="200"/>
      <c r="F149" s="67"/>
      <c r="G149" s="198"/>
      <c r="H149" s="232"/>
      <c r="I149" s="232"/>
      <c r="J149" s="199"/>
      <c r="K149" s="200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customFormat="false" ht="18.75" hidden="false" customHeight="true" outlineLevel="0" collapsed="false">
      <c r="A150" s="198" t="s">
        <v>334</v>
      </c>
      <c r="B150" s="199" t="s">
        <v>328</v>
      </c>
      <c r="C150" s="199"/>
      <c r="D150" s="199" t="s">
        <v>325</v>
      </c>
      <c r="E150" s="200"/>
      <c r="F150" s="67"/>
      <c r="G150" s="233" t="s">
        <v>95</v>
      </c>
      <c r="H150" s="234" t="s">
        <v>96</v>
      </c>
      <c r="I150" s="234"/>
      <c r="J150" s="199"/>
      <c r="K150" s="200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customFormat="false" ht="18.75" hidden="false" customHeight="true" outlineLevel="0" collapsed="false">
      <c r="A151" s="113" t="n">
        <v>250</v>
      </c>
      <c r="B151" s="42" t="n">
        <f aca="false">(A148+B148+D148+A151)*(A143/B64)</f>
        <v>0</v>
      </c>
      <c r="C151" s="42"/>
      <c r="D151" s="42" t="n">
        <f aca="false">(A148+B148+D148+A151)-B151-A154</f>
        <v>712</v>
      </c>
      <c r="E151" s="107"/>
      <c r="F151" s="67"/>
      <c r="G151" s="233"/>
      <c r="H151" s="235" t="n">
        <f aca="false">B51</f>
        <v>5000</v>
      </c>
      <c r="I151" s="235"/>
      <c r="J151" s="199"/>
      <c r="K151" s="200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customFormat="false" ht="18.75" hidden="false" customHeight="true" outlineLevel="0" collapsed="false">
      <c r="A152" s="198"/>
      <c r="B152" s="199"/>
      <c r="C152" s="199"/>
      <c r="D152" s="199"/>
      <c r="E152" s="200"/>
      <c r="F152" s="67"/>
      <c r="G152" s="237" t="n">
        <f aca="false">A52</f>
        <v>12</v>
      </c>
      <c r="H152" s="78" t="n">
        <f aca="false">H91</f>
        <v>1201.09069726879</v>
      </c>
      <c r="I152" s="78"/>
      <c r="J152" s="199"/>
      <c r="K152" s="200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customFormat="false" ht="18.75" hidden="false" customHeight="true" outlineLevel="0" collapsed="false">
      <c r="A153" s="198" t="s">
        <v>335</v>
      </c>
      <c r="B153" s="199"/>
      <c r="C153" s="199"/>
      <c r="D153" s="199"/>
      <c r="E153" s="200"/>
      <c r="F153" s="67"/>
      <c r="G153" s="198"/>
      <c r="H153" s="199"/>
      <c r="I153" s="199"/>
      <c r="J153" s="199"/>
      <c r="K153" s="200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customFormat="false" ht="19.5" hidden="false" customHeight="true" outlineLevel="0" collapsed="false">
      <c r="A154" s="113" t="n">
        <f aca="false">D102</f>
        <v>200</v>
      </c>
      <c r="B154" s="42"/>
      <c r="C154" s="199"/>
      <c r="D154" s="199"/>
      <c r="E154" s="200"/>
      <c r="F154" s="67"/>
      <c r="G154" s="198"/>
      <c r="H154" s="199"/>
      <c r="I154" s="199"/>
      <c r="J154" s="199"/>
      <c r="K154" s="200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customFormat="false" ht="18.75" hidden="false" customHeight="true" outlineLevel="0" collapsed="false">
      <c r="A155" s="198"/>
      <c r="B155" s="199"/>
      <c r="C155" s="199"/>
      <c r="D155" s="199"/>
      <c r="E155" s="200"/>
      <c r="F155" s="67"/>
      <c r="G155" s="198"/>
      <c r="H155" s="199"/>
      <c r="I155" s="199"/>
      <c r="J155" s="199"/>
      <c r="K155" s="200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customFormat="false" ht="18.75" hidden="false" customHeight="true" outlineLevel="0" collapsed="false">
      <c r="A156" s="198"/>
      <c r="B156" s="199"/>
      <c r="C156" s="199"/>
      <c r="D156" s="199"/>
      <c r="E156" s="200"/>
      <c r="F156" s="67"/>
      <c r="G156" s="198"/>
      <c r="H156" s="199"/>
      <c r="I156" s="199"/>
      <c r="J156" s="199"/>
      <c r="K156" s="200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customFormat="false" ht="18.75" hidden="false" customHeight="true" outlineLevel="0" collapsed="false">
      <c r="A157" s="258" t="s">
        <v>333</v>
      </c>
      <c r="B157" s="199"/>
      <c r="C157" s="199"/>
      <c r="D157" s="259"/>
      <c r="E157" s="260"/>
      <c r="F157" s="67"/>
      <c r="G157" s="262"/>
      <c r="H157" s="263"/>
      <c r="I157" s="263"/>
      <c r="J157" s="263"/>
      <c r="K157" s="264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customFormat="false" ht="18.75" hidden="false" customHeight="true" outlineLevel="0" collapsed="false">
      <c r="A158" s="198"/>
      <c r="B158" s="232"/>
      <c r="C158" s="232"/>
      <c r="D158" s="199"/>
      <c r="E158" s="200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customFormat="false" ht="18.75" hidden="false" customHeight="true" outlineLevel="0" collapsed="false">
      <c r="A159" s="233" t="s">
        <v>95</v>
      </c>
      <c r="B159" s="234" t="s">
        <v>96</v>
      </c>
      <c r="C159" s="234"/>
      <c r="D159" s="199"/>
      <c r="E159" s="200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customFormat="false" ht="18.75" hidden="false" customHeight="true" outlineLevel="0" collapsed="false">
      <c r="A160" s="233"/>
      <c r="B160" s="235" t="n">
        <f aca="false">B51</f>
        <v>5000</v>
      </c>
      <c r="C160" s="235"/>
      <c r="D160" s="199"/>
      <c r="E160" s="200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customFormat="false" ht="18.75" hidden="false" customHeight="true" outlineLevel="0" collapsed="false">
      <c r="A161" s="237" t="n">
        <f aca="false">A52</f>
        <v>12</v>
      </c>
      <c r="B161" s="78" t="n">
        <f aca="false">B91</f>
        <v>988.273842499216</v>
      </c>
      <c r="C161" s="78"/>
      <c r="D161" s="199"/>
      <c r="E161" s="200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customFormat="false" ht="18.75" hidden="false" customHeight="true" outlineLevel="0" collapsed="false">
      <c r="A162" s="198"/>
      <c r="B162" s="199"/>
      <c r="C162" s="199"/>
      <c r="D162" s="199"/>
      <c r="E162" s="200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customFormat="false" ht="18.75" hidden="false" customHeight="true" outlineLevel="0" collapsed="false">
      <c r="A163" s="198"/>
      <c r="B163" s="199"/>
      <c r="C163" s="199"/>
      <c r="D163" s="199"/>
      <c r="E163" s="200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customFormat="false" ht="18.75" hidden="false" customHeight="true" outlineLevel="0" collapsed="false">
      <c r="A164" s="198"/>
      <c r="B164" s="199"/>
      <c r="C164" s="199"/>
      <c r="D164" s="199"/>
      <c r="E164" s="200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customFormat="false" ht="18.75" hidden="false" customHeight="true" outlineLevel="0" collapsed="false">
      <c r="A165" s="317" t="s">
        <v>303</v>
      </c>
      <c r="B165" s="317"/>
      <c r="C165" s="317"/>
      <c r="D165" s="317"/>
      <c r="E165" s="31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customFormat="false" ht="18.75" hidden="false" customHeight="true" outlineLevel="0" collapsed="false">
      <c r="A166" s="198"/>
      <c r="B166" s="199"/>
      <c r="C166" s="199"/>
      <c r="D166" s="199"/>
      <c r="E166" s="200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customFormat="false" ht="18.75" hidden="false" customHeight="true" outlineLevel="0" collapsed="false">
      <c r="A167" s="288" t="s">
        <v>138</v>
      </c>
      <c r="B167" s="289" t="s">
        <v>52</v>
      </c>
      <c r="C167" s="290"/>
      <c r="D167" s="289" t="s">
        <v>96</v>
      </c>
      <c r="E167" s="291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customFormat="false" ht="18.75" hidden="false" customHeight="true" outlineLevel="0" collapsed="false">
      <c r="A168" s="292" t="s">
        <v>296</v>
      </c>
      <c r="B168" s="318" t="n">
        <f aca="false">A161</f>
        <v>12</v>
      </c>
      <c r="C168" s="294"/>
      <c r="D168" s="290" t="n">
        <f aca="false">B160</f>
        <v>5000</v>
      </c>
      <c r="E168" s="291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customFormat="false" ht="18.75" hidden="false" customHeight="true" outlineLevel="0" collapsed="false">
      <c r="A169" s="288"/>
      <c r="B169" s="289"/>
      <c r="C169" s="289"/>
      <c r="D169" s="289"/>
      <c r="E169" s="291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customFormat="false" ht="18.75" hidden="false" customHeight="true" outlineLevel="0" collapsed="false">
      <c r="A170" s="288" t="s">
        <v>131</v>
      </c>
      <c r="B170" s="289" t="s">
        <v>304</v>
      </c>
      <c r="C170" s="290"/>
      <c r="D170" s="289" t="s">
        <v>305</v>
      </c>
      <c r="E170" s="291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customFormat="false" ht="18.75" hidden="false" customHeight="true" outlineLevel="0" collapsed="false">
      <c r="A171" s="292" t="n">
        <f aca="false">B90</f>
        <v>928.273842499216</v>
      </c>
      <c r="B171" s="290" t="n">
        <f aca="false">IF(A105="YES",B89,0)</f>
        <v>60</v>
      </c>
      <c r="C171" s="295"/>
      <c r="D171" s="290" t="n">
        <f aca="false">B91</f>
        <v>988.273842499216</v>
      </c>
      <c r="E171" s="291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customFormat="false" ht="18.75" hidden="false" customHeight="true" outlineLevel="0" collapsed="false">
      <c r="A172" s="198"/>
      <c r="B172" s="199"/>
      <c r="C172" s="199"/>
      <c r="D172" s="199"/>
      <c r="E172" s="200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customFormat="false" ht="18.75" hidden="false" customHeight="true" outlineLevel="0" collapsed="false">
      <c r="A173" s="298" t="s">
        <v>36</v>
      </c>
      <c r="B173" s="299" t="s">
        <v>309</v>
      </c>
      <c r="C173" s="215"/>
      <c r="D173" s="299" t="s">
        <v>310</v>
      </c>
      <c r="E173" s="200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customFormat="false" ht="18.75" hidden="false" customHeight="true" outlineLevel="0" collapsed="false">
      <c r="A174" s="302" t="str">
        <f aca="false">B99</f>
        <v> Monthly in advance </v>
      </c>
      <c r="B174" s="42" t="n">
        <f aca="false">B90*B57</f>
        <v>928.273842499216</v>
      </c>
      <c r="C174" s="199"/>
      <c r="D174" s="42" t="n">
        <f aca="false">IF(A105="YES",B89*B57,0)</f>
        <v>60</v>
      </c>
      <c r="E174" s="200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customFormat="false" ht="18.75" hidden="false" customHeight="true" outlineLevel="0" collapsed="false">
      <c r="A175" s="198"/>
      <c r="B175" s="199"/>
      <c r="C175" s="199"/>
      <c r="D175" s="199"/>
      <c r="E175" s="200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customFormat="false" ht="18.75" hidden="false" customHeight="true" outlineLevel="0" collapsed="false">
      <c r="A176" s="112" t="s">
        <v>314</v>
      </c>
      <c r="B176" s="43" t="s">
        <v>315</v>
      </c>
      <c r="C176" s="205"/>
      <c r="D176" s="230" t="s">
        <v>219</v>
      </c>
      <c r="E176" s="200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customFormat="false" ht="18.75" hidden="false" customHeight="true" outlineLevel="0" collapsed="false">
      <c r="A177" s="113" t="n">
        <f aca="false">B91*B57</f>
        <v>988.273842499216</v>
      </c>
      <c r="B177" s="42" t="n">
        <f aca="false">E114</f>
        <v>0</v>
      </c>
      <c r="C177" s="199"/>
      <c r="D177" s="303" t="n">
        <f aca="false">B58</f>
        <v>11</v>
      </c>
      <c r="E177" s="200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customFormat="false" ht="18.75" hidden="false" customHeight="true" outlineLevel="0" collapsed="false">
      <c r="A178" s="113"/>
      <c r="B178" s="304"/>
      <c r="C178" s="199"/>
      <c r="D178" s="199"/>
      <c r="E178" s="200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customFormat="false" ht="18.75" hidden="false" customHeight="true" outlineLevel="0" collapsed="false">
      <c r="A179" s="64" t="s">
        <v>131</v>
      </c>
      <c r="B179" s="305" t="s">
        <v>304</v>
      </c>
      <c r="C179" s="199"/>
      <c r="D179" s="199" t="s">
        <v>305</v>
      </c>
      <c r="E179" s="200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customFormat="false" ht="18.75" hidden="false" customHeight="true" outlineLevel="0" collapsed="false">
      <c r="A180" s="113" t="n">
        <f aca="false">B90</f>
        <v>928.273842499216</v>
      </c>
      <c r="B180" s="42" t="n">
        <f aca="false">IF(A105="YES",B89,0)</f>
        <v>60</v>
      </c>
      <c r="C180" s="199"/>
      <c r="D180" s="42" t="n">
        <f aca="false">B91</f>
        <v>988.273842499216</v>
      </c>
      <c r="E180" s="200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customFormat="false" ht="18.75" hidden="false" customHeight="true" outlineLevel="0" collapsed="false">
      <c r="A181" s="198"/>
      <c r="B181" s="199"/>
      <c r="C181" s="199"/>
      <c r="D181" s="199"/>
      <c r="E181" s="200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customFormat="false" ht="18.75" hidden="false" customHeight="true" outlineLevel="0" collapsed="false">
      <c r="A182" s="306" t="s">
        <v>80</v>
      </c>
      <c r="B182" s="307" t="s">
        <v>322</v>
      </c>
      <c r="C182" s="42"/>
      <c r="D182" s="307" t="s">
        <v>85</v>
      </c>
      <c r="E182" s="10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customFormat="false" ht="18.75" hidden="false" customHeight="true" outlineLevel="0" collapsed="false">
      <c r="A183" s="308" t="n">
        <f aca="false">(G18*0.000006)*100</f>
        <v>32.1689952</v>
      </c>
      <c r="B183" s="309" t="n">
        <f aca="false">G18*0.000002*100</f>
        <v>10.7229984</v>
      </c>
      <c r="C183" s="310"/>
      <c r="D183" s="309" t="n">
        <f aca="false">A183+B183</f>
        <v>42.8919936</v>
      </c>
      <c r="E183" s="200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customFormat="false" ht="18.75" hidden="false" customHeight="true" outlineLevel="0" collapsed="false">
      <c r="A184" s="311"/>
      <c r="B184" s="312"/>
      <c r="C184" s="199"/>
      <c r="D184" s="312"/>
      <c r="E184" s="200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customFormat="false" ht="18.75" hidden="false" customHeight="true" outlineLevel="0" collapsed="false">
      <c r="A185" s="306" t="s">
        <v>326</v>
      </c>
      <c r="B185" s="307" t="s">
        <v>66</v>
      </c>
      <c r="C185" s="42"/>
      <c r="D185" s="307" t="s">
        <v>292</v>
      </c>
      <c r="E185" s="200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customFormat="false" ht="18.75" hidden="false" customHeight="true" outlineLevel="0" collapsed="false">
      <c r="A186" s="113" t="n">
        <v>0</v>
      </c>
      <c r="B186" s="42" t="n">
        <f aca="false">E118</f>
        <v>199.991666666667</v>
      </c>
      <c r="C186" s="199"/>
      <c r="D186" s="142" t="n">
        <f aca="false">B102</f>
        <v>400</v>
      </c>
      <c r="E186" s="200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customFormat="false" ht="18.75" hidden="false" customHeight="true" outlineLevel="0" collapsed="false">
      <c r="A187" s="113"/>
      <c r="B187" s="42"/>
      <c r="C187" s="199"/>
      <c r="D187" s="42"/>
      <c r="E187" s="200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customFormat="false" ht="18.75" hidden="false" customHeight="true" outlineLevel="0" collapsed="false">
      <c r="A188" s="313" t="s">
        <v>329</v>
      </c>
      <c r="B188" s="314"/>
      <c r="C188" s="315"/>
      <c r="D188" s="314"/>
      <c r="E188" s="316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customFormat="false" ht="18.75" hidden="false" customHeight="true" outlineLevel="0" collapsed="false">
      <c r="A189" s="311"/>
      <c r="B189" s="312"/>
      <c r="C189" s="199"/>
      <c r="D189" s="312"/>
      <c r="E189" s="200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customFormat="false" ht="18.75" hidden="false" customHeight="true" outlineLevel="0" collapsed="false">
      <c r="A190" s="198" t="s">
        <v>330</v>
      </c>
      <c r="B190" s="199" t="s">
        <v>331</v>
      </c>
      <c r="C190" s="199"/>
      <c r="D190" s="199" t="s">
        <v>332</v>
      </c>
      <c r="E190" s="200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customFormat="false" ht="18.75" hidden="false" customHeight="true" outlineLevel="0" collapsed="false">
      <c r="A191" s="113" t="n">
        <f aca="false">B67</f>
        <v>250</v>
      </c>
      <c r="B191" s="42" t="n">
        <f aca="false">B102</f>
        <v>400</v>
      </c>
      <c r="C191" s="42"/>
      <c r="D191" s="42" t="n">
        <f aca="false">IF(A105="YES",(A38/100*B105)*B125,0)*0.001</f>
        <v>12</v>
      </c>
      <c r="E191" s="10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customFormat="false" ht="18.75" hidden="false" customHeight="true" outlineLevel="0" collapsed="false">
      <c r="A192" s="198"/>
      <c r="B192" s="199"/>
      <c r="C192" s="199"/>
      <c r="D192" s="199"/>
      <c r="E192" s="200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customFormat="false" ht="18.75" hidden="false" customHeight="true" outlineLevel="0" collapsed="false">
      <c r="A193" s="198" t="s">
        <v>334</v>
      </c>
      <c r="B193" s="199" t="s">
        <v>328</v>
      </c>
      <c r="C193" s="199"/>
      <c r="D193" s="199" t="s">
        <v>325</v>
      </c>
      <c r="E193" s="200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customFormat="false" ht="18.75" hidden="false" customHeight="true" outlineLevel="0" collapsed="false">
      <c r="A194" s="113" t="n">
        <f aca="false">A151</f>
        <v>250</v>
      </c>
      <c r="B194" s="42" t="n">
        <f aca="false">(A148+B148+D148+A151)*(A143/B64)</f>
        <v>0</v>
      </c>
      <c r="C194" s="42"/>
      <c r="D194" s="42" t="n">
        <f aca="false">D151</f>
        <v>712</v>
      </c>
      <c r="E194" s="10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customFormat="false" ht="18.75" hidden="false" customHeight="true" outlineLevel="0" collapsed="false">
      <c r="A195" s="198"/>
      <c r="B195" s="199"/>
      <c r="C195" s="199"/>
      <c r="D195" s="199"/>
      <c r="E195" s="200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customFormat="false" ht="18.75" hidden="false" customHeight="true" outlineLevel="0" collapsed="false">
      <c r="A196" s="198" t="s">
        <v>335</v>
      </c>
      <c r="B196" s="199"/>
      <c r="C196" s="199"/>
      <c r="D196" s="199"/>
      <c r="E196" s="200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customFormat="false" ht="18.75" hidden="false" customHeight="true" outlineLevel="0" collapsed="false">
      <c r="A197" s="113" t="n">
        <f aca="false">D102</f>
        <v>200</v>
      </c>
      <c r="B197" s="42"/>
      <c r="C197" s="199"/>
      <c r="D197" s="199"/>
      <c r="E197" s="200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customFormat="false" ht="18.75" hidden="false" customHeight="true" outlineLevel="0" collapsed="false">
      <c r="A198" s="262"/>
      <c r="B198" s="263"/>
      <c r="C198" s="263"/>
      <c r="D198" s="263"/>
      <c r="E198" s="264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customFormat="false" ht="18.75" hidden="false" customHeight="true" outlineLevel="0" collapsed="false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customFormat="false" ht="18.75" hidden="false" customHeight="true" outlineLevel="0" collapsed="false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customFormat="false" ht="18.75" hidden="false" customHeight="true" outlineLevel="0" collapsed="false">
      <c r="A201" s="317" t="s">
        <v>225</v>
      </c>
      <c r="B201" s="317"/>
      <c r="C201" s="317"/>
      <c r="D201" s="317"/>
      <c r="E201" s="31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customFormat="false" ht="18.75" hidden="false" customHeight="true" outlineLevel="0" collapsed="false">
      <c r="A202" s="198"/>
      <c r="B202" s="199"/>
      <c r="C202" s="199"/>
      <c r="D202" s="199"/>
      <c r="E202" s="200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customFormat="false" ht="18.75" hidden="false" customHeight="true" outlineLevel="0" collapsed="false">
      <c r="A203" s="288" t="s">
        <v>226</v>
      </c>
      <c r="B203" s="319" t="n">
        <f aca="false">B209</f>
        <v>0.065</v>
      </c>
      <c r="C203" s="290" t="s">
        <v>228</v>
      </c>
      <c r="D203" s="320" t="n">
        <f aca="false">D64</f>
        <v>3753.04944</v>
      </c>
      <c r="E203" s="291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customFormat="false" ht="18.75" hidden="false" customHeight="true" outlineLevel="0" collapsed="false">
      <c r="A204" s="292"/>
      <c r="B204" s="293"/>
      <c r="C204" s="294"/>
      <c r="D204" s="293"/>
      <c r="E204" s="291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customFormat="false" ht="18.75" hidden="false" customHeight="true" outlineLevel="0" collapsed="false">
      <c r="A205" s="288" t="s">
        <v>229</v>
      </c>
      <c r="B205" s="290" t="n">
        <f aca="false">B213</f>
        <v>250</v>
      </c>
      <c r="C205" s="289" t="s">
        <v>230</v>
      </c>
      <c r="D205" s="320" t="n">
        <f aca="false">B219+E215+B215+B217</f>
        <v>610</v>
      </c>
      <c r="E205" s="291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customFormat="false" ht="18.75" hidden="false" customHeight="true" outlineLevel="0" collapsed="false">
      <c r="A206" s="288"/>
      <c r="B206" s="321"/>
      <c r="C206" s="290"/>
      <c r="D206" s="289"/>
      <c r="E206" s="291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customFormat="false" ht="18.75" hidden="false" customHeight="true" outlineLevel="0" collapsed="false">
      <c r="A207" s="292" t="s">
        <v>231</v>
      </c>
      <c r="B207" s="290" t="n">
        <f aca="false">E217</f>
        <v>4113.04944</v>
      </c>
      <c r="C207" s="294"/>
      <c r="D207" s="290"/>
      <c r="E207" s="291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customFormat="false" ht="18.75" hidden="false" customHeight="true" outlineLevel="0" collapsed="false">
      <c r="A208" s="198"/>
      <c r="B208" s="305"/>
      <c r="C208" s="199"/>
      <c r="D208" s="199"/>
      <c r="E208" s="200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customFormat="false" ht="18.75" hidden="false" customHeight="true" outlineLevel="0" collapsed="false">
      <c r="A209" s="213" t="s">
        <v>226</v>
      </c>
      <c r="B209" s="322" t="n">
        <v>0.065</v>
      </c>
      <c r="C209" s="215"/>
      <c r="D209" s="299"/>
      <c r="E209" s="200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customFormat="false" ht="18.75" hidden="false" customHeight="true" outlineLevel="0" collapsed="false">
      <c r="A210" s="302"/>
      <c r="B210" s="43"/>
      <c r="C210" s="199"/>
      <c r="D210" s="42"/>
      <c r="E210" s="200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customFormat="false" ht="18.75" hidden="false" customHeight="true" outlineLevel="0" collapsed="false">
      <c r="A211" s="204" t="s">
        <v>228</v>
      </c>
      <c r="B211" s="106" t="n">
        <f aca="false">D64</f>
        <v>3753.04944</v>
      </c>
      <c r="C211" s="223" t="s">
        <v>234</v>
      </c>
      <c r="D211" s="199"/>
      <c r="E211" s="270" t="n">
        <f aca="false">B66</f>
        <v>0</v>
      </c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customFormat="false" ht="18.75" hidden="false" customHeight="true" outlineLevel="0" collapsed="false">
      <c r="A212" s="171"/>
      <c r="B212" s="43"/>
      <c r="C212" s="205"/>
      <c r="D212" s="230"/>
      <c r="E212" s="200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customFormat="false" ht="18.75" hidden="false" customHeight="true" outlineLevel="0" collapsed="false">
      <c r="A213" s="113" t="s">
        <v>234</v>
      </c>
      <c r="B213" s="106" t="n">
        <f aca="false">B67</f>
        <v>250</v>
      </c>
      <c r="C213" s="205" t="s">
        <v>336</v>
      </c>
      <c r="D213" s="303"/>
      <c r="E213" s="88" t="n">
        <f aca="false">J15</f>
        <v>0.1</v>
      </c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customFormat="false" ht="18.75" hidden="false" customHeight="true" outlineLevel="0" collapsed="false">
      <c r="A214" s="113"/>
      <c r="B214" s="305"/>
      <c r="C214" s="205"/>
      <c r="D214" s="199"/>
      <c r="E214" s="200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customFormat="false" ht="18.75" hidden="false" customHeight="true" outlineLevel="0" collapsed="false">
      <c r="A215" s="113" t="s">
        <v>336</v>
      </c>
      <c r="B215" s="230" t="n">
        <f aca="false">B191*E213</f>
        <v>40</v>
      </c>
      <c r="C215" s="205" t="s">
        <v>236</v>
      </c>
      <c r="D215" s="199"/>
      <c r="E215" s="37" t="n">
        <f aca="false">A194</f>
        <v>250</v>
      </c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customFormat="false" ht="18.75" hidden="false" customHeight="true" outlineLevel="0" collapsed="false">
      <c r="A216" s="113"/>
      <c r="B216" s="43"/>
      <c r="C216" s="205"/>
      <c r="D216" s="42"/>
      <c r="E216" s="200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customFormat="false" ht="18.75" hidden="false" customHeight="true" outlineLevel="0" collapsed="false">
      <c r="A217" s="204" t="s">
        <v>337</v>
      </c>
      <c r="B217" s="230" t="n">
        <f aca="false">B78-(B78*(E213))</f>
        <v>200</v>
      </c>
      <c r="C217" s="205" t="s">
        <v>231</v>
      </c>
      <c r="D217" s="199"/>
      <c r="E217" s="37" t="n">
        <f aca="false">(B211-B205+D205)</f>
        <v>4113.04944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customFormat="false" ht="18.75" hidden="false" customHeight="true" outlineLevel="0" collapsed="false">
      <c r="A218" s="323"/>
      <c r="B218" s="307"/>
      <c r="C218" s="42"/>
      <c r="D218" s="307"/>
      <c r="E218" s="15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customFormat="false" ht="18.75" hidden="false" customHeight="true" outlineLevel="0" collapsed="false">
      <c r="A219" s="323" t="s">
        <v>338</v>
      </c>
      <c r="B219" s="307" t="n">
        <f aca="false">D191/0.1</f>
        <v>120</v>
      </c>
      <c r="C219" s="42"/>
      <c r="D219" s="307"/>
      <c r="E219" s="15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customFormat="false" ht="18.75" hidden="false" customHeight="true" outlineLevel="0" collapsed="false">
      <c r="A220" s="323"/>
      <c r="B220" s="307"/>
      <c r="C220" s="42"/>
      <c r="D220" s="307"/>
      <c r="E220" s="15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customFormat="false" ht="18.75" hidden="false" customHeight="true" outlineLevel="0" collapsed="false">
      <c r="A221" s="313" t="s">
        <v>339</v>
      </c>
      <c r="B221" s="324"/>
      <c r="C221" s="315"/>
      <c r="D221" s="314"/>
      <c r="E221" s="316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customFormat="false" ht="18.75" hidden="false" customHeight="true" outlineLevel="0" collapsed="false">
      <c r="A222" s="311"/>
      <c r="B222" s="325"/>
      <c r="C222" s="199"/>
      <c r="D222" s="312"/>
      <c r="E222" s="200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customFormat="false" ht="18.75" hidden="false" customHeight="true" outlineLevel="0" collapsed="false">
      <c r="A223" s="311" t="s">
        <v>238</v>
      </c>
      <c r="B223" s="106" t="n">
        <f aca="false">B71</f>
        <v>160</v>
      </c>
      <c r="C223" s="205" t="s">
        <v>239</v>
      </c>
      <c r="D223" s="312"/>
      <c r="E223" s="140" t="n">
        <f aca="false">B72</f>
        <v>4.5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customFormat="false" ht="18.75" hidden="false" customHeight="true" outlineLevel="0" collapsed="false">
      <c r="A224" s="311"/>
      <c r="B224" s="325"/>
      <c r="C224" s="205" t="s">
        <v>240</v>
      </c>
      <c r="D224" s="312"/>
      <c r="E224" s="37" t="n">
        <f aca="false">D73</f>
        <v>214</v>
      </c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customFormat="false" ht="18.75" hidden="false" customHeight="true" outlineLevel="0" collapsed="false">
      <c r="A225" s="311" t="s">
        <v>241</v>
      </c>
      <c r="B225" s="326" t="n">
        <f aca="false">B68</f>
        <v>0.0075</v>
      </c>
      <c r="C225" s="205" t="s">
        <v>242</v>
      </c>
      <c r="D225" s="312"/>
      <c r="E225" s="270" t="n">
        <f aca="false">B69</f>
        <v>0.12</v>
      </c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customFormat="false" ht="18.75" hidden="false" customHeight="true" outlineLevel="0" collapsed="false">
      <c r="A226" s="311"/>
      <c r="B226" s="325"/>
      <c r="C226" s="205" t="s">
        <v>243</v>
      </c>
      <c r="D226" s="312"/>
      <c r="E226" s="37" t="n">
        <f aca="false">B86</f>
        <v>93.5700033239209</v>
      </c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customFormat="false" ht="18.75" hidden="false" customHeight="true" outlineLevel="0" collapsed="false">
      <c r="A227" s="311" t="s">
        <v>244</v>
      </c>
      <c r="B227" s="106" t="n">
        <f aca="false">B79</f>
        <v>200</v>
      </c>
      <c r="C227" s="327" t="s">
        <v>340</v>
      </c>
      <c r="D227" s="328"/>
      <c r="E227" s="140" t="n">
        <f aca="false">B74</f>
        <v>0</v>
      </c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customFormat="false" ht="18.75" hidden="false" customHeight="true" outlineLevel="0" collapsed="false">
      <c r="A228" s="204"/>
      <c r="B228" s="305"/>
      <c r="C228" s="327"/>
      <c r="D228" s="329"/>
      <c r="E228" s="330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customFormat="false" ht="18.75" hidden="false" customHeight="true" outlineLevel="0" collapsed="false">
      <c r="A229" s="113" t="s">
        <v>245</v>
      </c>
      <c r="B229" s="106" t="n">
        <f aca="false">B80</f>
        <v>200</v>
      </c>
      <c r="C229" s="331" t="s">
        <v>341</v>
      </c>
      <c r="D229" s="331"/>
      <c r="E229" s="140" t="n">
        <f aca="false">B75</f>
        <v>0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customFormat="false" ht="18.75" hidden="false" customHeight="true" outlineLevel="0" collapsed="false">
      <c r="A230" s="198"/>
      <c r="B230" s="199"/>
      <c r="C230" s="199"/>
      <c r="D230" s="199"/>
      <c r="E230" s="200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customFormat="false" ht="18.75" hidden="false" customHeight="true" outlineLevel="0" collapsed="false">
      <c r="A231" s="198"/>
      <c r="B231" s="199"/>
      <c r="C231" s="199"/>
      <c r="D231" s="199"/>
      <c r="E231" s="200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customFormat="false" ht="18.75" hidden="false" customHeight="true" outlineLevel="0" collapsed="false">
      <c r="A232" s="113"/>
      <c r="B232" s="42"/>
      <c r="C232" s="42"/>
      <c r="D232" s="42"/>
      <c r="E232" s="10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customFormat="false" ht="18.75" hidden="false" customHeight="true" outlineLevel="0" collapsed="false">
      <c r="A233" s="198"/>
      <c r="B233" s="199"/>
      <c r="C233" s="199"/>
      <c r="D233" s="199"/>
      <c r="E233" s="200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customFormat="false" ht="18.75" hidden="false" customHeight="true" outlineLevel="0" collapsed="false">
      <c r="A234" s="198"/>
      <c r="B234" s="199"/>
      <c r="C234" s="199"/>
      <c r="D234" s="199"/>
      <c r="E234" s="200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customFormat="false" ht="18.75" hidden="false" customHeight="true" outlineLevel="0" collapsed="false">
      <c r="A235" s="113"/>
      <c r="B235" s="42"/>
      <c r="C235" s="199"/>
      <c r="D235" s="199"/>
      <c r="E235" s="200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customFormat="false" ht="18.75" hidden="false" customHeight="true" outlineLevel="0" collapsed="false">
      <c r="A236" s="262"/>
      <c r="B236" s="263"/>
      <c r="C236" s="263"/>
      <c r="D236" s="263"/>
      <c r="E236" s="264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customFormat="false" ht="18.75" hidden="false" customHeight="true" outlineLevel="0" collapsed="false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customFormat="false" ht="18.75" hidden="false" customHeight="true" outlineLevel="0" collapsed="false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customFormat="false" ht="18.75" hidden="false" customHeight="true" outlineLevel="0" collapsed="false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customFormat="false" ht="18.75" hidden="false" customHeight="true" outlineLevel="0" collapsed="false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customFormat="false" ht="18.75" hidden="false" customHeight="true" outlineLevel="0" collapsed="false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customFormat="false" ht="18.75" hidden="false" customHeight="true" outlineLevel="0" collapsed="false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customFormat="false" ht="18.75" hidden="false" customHeight="true" outlineLevel="0" collapsed="false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customFormat="false" ht="18.75" hidden="false" customHeight="true" outlineLevel="0" collapsed="false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customFormat="false" ht="18.75" hidden="false" customHeight="true" outlineLevel="0" collapsed="false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customFormat="false" ht="18.75" hidden="false" customHeight="true" outlineLevel="0" collapsed="false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customFormat="false" ht="18.75" hidden="false" customHeight="true" outlineLevel="0" collapsed="false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customFormat="false" ht="18.75" hidden="false" customHeight="true" outlineLevel="0" collapsed="false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customFormat="false" ht="18.75" hidden="false" customHeight="true" outlineLevel="0" collapsed="false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customFormat="false" ht="18.75" hidden="false" customHeight="true" outlineLevel="0" collapsed="false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customFormat="false" ht="18.75" hidden="false" customHeight="true" outlineLevel="0" collapsed="false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customFormat="false" ht="18.75" hidden="false" customHeight="true" outlineLevel="0" collapsed="false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customFormat="false" ht="18.75" hidden="false" customHeight="true" outlineLevel="0" collapsed="false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customFormat="false" ht="18.75" hidden="false" customHeight="true" outlineLevel="0" collapsed="false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customFormat="false" ht="18.75" hidden="false" customHeight="true" outlineLevel="0" collapsed="false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customFormat="false" ht="18.75" hidden="false" customHeight="true" outlineLevel="0" collapsed="false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customFormat="false" ht="18.75" hidden="false" customHeight="true" outlineLevel="0" collapsed="false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customFormat="false" ht="18.75" hidden="false" customHeight="true" outlineLevel="0" collapsed="false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customFormat="false" ht="18.75" hidden="false" customHeight="true" outlineLevel="0" collapsed="false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customFormat="false" ht="18.75" hidden="false" customHeight="true" outlineLevel="0" collapsed="false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customFormat="false" ht="18.75" hidden="false" customHeight="true" outlineLevel="0" collapsed="false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customFormat="false" ht="18.75" hidden="false" customHeight="true" outlineLevel="0" collapsed="false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customFormat="false" ht="18.75" hidden="false" customHeight="true" outlineLevel="0" collapsed="false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customFormat="false" ht="18.75" hidden="false" customHeight="true" outlineLevel="0" collapsed="false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customFormat="false" ht="18.75" hidden="false" customHeight="true" outlineLevel="0" collapsed="false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customFormat="false" ht="18.75" hidden="false" customHeight="true" outlineLevel="0" collapsed="false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customFormat="false" ht="18.75" hidden="false" customHeight="true" outlineLevel="0" collapsed="false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customFormat="false" ht="18.75" hidden="false" customHeight="true" outlineLevel="0" collapsed="false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customFormat="false" ht="18.75" hidden="false" customHeight="true" outlineLevel="0" collapsed="false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customFormat="false" ht="18.75" hidden="false" customHeight="true" outlineLevel="0" collapsed="false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customFormat="false" ht="18.75" hidden="false" customHeight="true" outlineLevel="0" collapsed="false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customFormat="false" ht="18.75" hidden="false" customHeight="true" outlineLevel="0" collapsed="false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customFormat="false" ht="18.75" hidden="false" customHeight="true" outlineLevel="0" collapsed="false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customFormat="false" ht="18.75" hidden="false" customHeight="true" outlineLevel="0" collapsed="false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customFormat="false" ht="18.75" hidden="false" customHeight="true" outlineLevel="0" collapsed="false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customFormat="false" ht="18.75" hidden="false" customHeight="true" outlineLevel="0" collapsed="false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customFormat="false" ht="18.75" hidden="false" customHeight="true" outlineLevel="0" collapsed="false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customFormat="false" ht="18.75" hidden="false" customHeight="true" outlineLevel="0" collapsed="false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customFormat="false" ht="18.75" hidden="false" customHeight="true" outlineLevel="0" collapsed="false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customFormat="false" ht="18.75" hidden="false" customHeight="true" outlineLevel="0" collapsed="false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customFormat="false" ht="18.75" hidden="false" customHeight="true" outlineLevel="0" collapsed="false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customFormat="false" ht="18.75" hidden="false" customHeight="true" outlineLevel="0" collapsed="false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customFormat="false" ht="18.75" hidden="false" customHeight="true" outlineLevel="0" collapsed="false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customFormat="false" ht="18.75" hidden="false" customHeight="true" outlineLevel="0" collapsed="false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customFormat="false" ht="18.75" hidden="false" customHeight="true" outlineLevel="0" collapsed="false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customFormat="false" ht="18.75" hidden="false" customHeight="true" outlineLevel="0" collapsed="false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customFormat="false" ht="18.75" hidden="false" customHeight="true" outlineLevel="0" collapsed="false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customFormat="false" ht="18.75" hidden="false" customHeight="true" outlineLevel="0" collapsed="false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customFormat="false" ht="18.75" hidden="false" customHeight="true" outlineLevel="0" collapsed="false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customFormat="false" ht="18.75" hidden="false" customHeight="true" outlineLevel="0" collapsed="false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customFormat="false" ht="18.75" hidden="false" customHeight="true" outlineLevel="0" collapsed="false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customFormat="false" ht="18.75" hidden="false" customHeight="true" outlineLevel="0" collapsed="false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customFormat="false" ht="18.75" hidden="false" customHeight="true" outlineLevel="0" collapsed="false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customFormat="false" ht="18.75" hidden="false" customHeight="true" outlineLevel="0" collapsed="false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customFormat="false" ht="18.75" hidden="false" customHeight="true" outlineLevel="0" collapsed="false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customFormat="false" ht="18.75" hidden="false" customHeight="true" outlineLevel="0" collapsed="false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customFormat="false" ht="18.75" hidden="false" customHeight="true" outlineLevel="0" collapsed="false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customFormat="false" ht="18.75" hidden="false" customHeight="true" outlineLevel="0" collapsed="false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customFormat="false" ht="18.75" hidden="false" customHeight="true" outlineLevel="0" collapsed="false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customFormat="false" ht="18.75" hidden="false" customHeight="true" outlineLevel="0" collapsed="false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customFormat="false" ht="18.75" hidden="false" customHeight="true" outlineLevel="0" collapsed="false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customFormat="false" ht="18.75" hidden="false" customHeight="true" outlineLevel="0" collapsed="false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customFormat="false" ht="18.75" hidden="false" customHeight="true" outlineLevel="0" collapsed="false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customFormat="false" ht="18.75" hidden="false" customHeight="true" outlineLevel="0" collapsed="false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customFormat="false" ht="18.75" hidden="false" customHeight="true" outlineLevel="0" collapsed="false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customFormat="false" ht="18.75" hidden="false" customHeight="true" outlineLevel="0" collapsed="false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customFormat="false" ht="18.75" hidden="false" customHeight="true" outlineLevel="0" collapsed="false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customFormat="false" ht="18.75" hidden="false" customHeight="true" outlineLevel="0" collapsed="false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customFormat="false" ht="18.75" hidden="false" customHeight="true" outlineLevel="0" collapsed="false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customFormat="false" ht="18.75" hidden="false" customHeight="true" outlineLevel="0" collapsed="false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customFormat="false" ht="18.75" hidden="false" customHeight="true" outlineLevel="0" collapsed="false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customFormat="false" ht="18.75" hidden="false" customHeight="true" outlineLevel="0" collapsed="false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customFormat="false" ht="18.75" hidden="false" customHeight="true" outlineLevel="0" collapsed="false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customFormat="false" ht="18.75" hidden="false" customHeight="true" outlineLevel="0" collapsed="false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customFormat="false" ht="18.75" hidden="false" customHeight="true" outlineLevel="0" collapsed="false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customFormat="false" ht="18.75" hidden="false" customHeight="true" outlineLevel="0" collapsed="false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customFormat="false" ht="18.75" hidden="false" customHeight="true" outlineLevel="0" collapsed="false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customFormat="false" ht="18.75" hidden="false" customHeight="true" outlineLevel="0" collapsed="false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customFormat="false" ht="18.75" hidden="false" customHeight="true" outlineLevel="0" collapsed="false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customFormat="false" ht="18.75" hidden="false" customHeight="true" outlineLevel="0" collapsed="false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customFormat="false" ht="18.75" hidden="false" customHeight="true" outlineLevel="0" collapsed="false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customFormat="false" ht="18.75" hidden="false" customHeight="true" outlineLevel="0" collapsed="false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customFormat="false" ht="18.75" hidden="false" customHeight="true" outlineLevel="0" collapsed="false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customFormat="false" ht="18.75" hidden="false" customHeight="true" outlineLevel="0" collapsed="false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customFormat="false" ht="18.75" hidden="false" customHeight="true" outlineLevel="0" collapsed="false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customFormat="false" ht="18.75" hidden="false" customHeight="true" outlineLevel="0" collapsed="false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customFormat="false" ht="18.75" hidden="false" customHeight="true" outlineLevel="0" collapsed="false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customFormat="false" ht="18.75" hidden="false" customHeight="true" outlineLevel="0" collapsed="false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customFormat="false" ht="18.75" hidden="false" customHeight="true" outlineLevel="0" collapsed="false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customFormat="false" ht="18.75" hidden="false" customHeight="true" outlineLevel="0" collapsed="false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customFormat="false" ht="18.75" hidden="false" customHeight="true" outlineLevel="0" collapsed="false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customFormat="false" ht="18.75" hidden="false" customHeight="true" outlineLevel="0" collapsed="false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customFormat="false" ht="18.75" hidden="false" customHeight="true" outlineLevel="0" collapsed="false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customFormat="false" ht="18.75" hidden="false" customHeight="true" outlineLevel="0" collapsed="false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customFormat="false" ht="18.75" hidden="false" customHeight="true" outlineLevel="0" collapsed="false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customFormat="false" ht="18.75" hidden="false" customHeight="true" outlineLevel="0" collapsed="false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customFormat="false" ht="18.75" hidden="false" customHeight="true" outlineLevel="0" collapsed="false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customFormat="false" ht="18.75" hidden="false" customHeight="true" outlineLevel="0" collapsed="false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customFormat="false" ht="18.75" hidden="false" customHeight="true" outlineLevel="0" collapsed="false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customFormat="false" ht="18.75" hidden="false" customHeight="true" outlineLevel="0" collapsed="false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customFormat="false" ht="18.75" hidden="false" customHeight="true" outlineLevel="0" collapsed="false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customFormat="false" ht="18.75" hidden="false" customHeight="true" outlineLevel="0" collapsed="false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customFormat="false" ht="18.75" hidden="false" customHeight="true" outlineLevel="0" collapsed="false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customFormat="false" ht="18.75" hidden="false" customHeight="true" outlineLevel="0" collapsed="false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customFormat="false" ht="18.75" hidden="false" customHeight="true" outlineLevel="0" collapsed="false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customFormat="false" ht="18.75" hidden="false" customHeight="true" outlineLevel="0" collapsed="false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customFormat="false" ht="18.75" hidden="false" customHeight="true" outlineLevel="0" collapsed="false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customFormat="false" ht="18.75" hidden="false" customHeight="true" outlineLevel="0" collapsed="false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customFormat="false" ht="18.75" hidden="false" customHeight="true" outlineLevel="0" collapsed="false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customFormat="false" ht="18.75" hidden="false" customHeight="true" outlineLevel="0" collapsed="false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customFormat="false" ht="18.75" hidden="false" customHeight="true" outlineLevel="0" collapsed="false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customFormat="false" ht="18.75" hidden="false" customHeight="true" outlineLevel="0" collapsed="false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5">
    <mergeCell ref="A1:E1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B18:D18"/>
    <mergeCell ref="B19:D19"/>
    <mergeCell ref="B20:D20"/>
    <mergeCell ref="A21:D21"/>
    <mergeCell ref="A24:E24"/>
    <mergeCell ref="A26:E26"/>
    <mergeCell ref="B29:C29"/>
    <mergeCell ref="D29:E29"/>
    <mergeCell ref="B30:C30"/>
    <mergeCell ref="B32:C32"/>
    <mergeCell ref="D32:E32"/>
    <mergeCell ref="B35:C35"/>
    <mergeCell ref="D35:E35"/>
    <mergeCell ref="B38:C38"/>
    <mergeCell ref="D38:E38"/>
    <mergeCell ref="B41:C41"/>
    <mergeCell ref="D41:E41"/>
    <mergeCell ref="G42:H42"/>
    <mergeCell ref="B44:C44"/>
    <mergeCell ref="D44:E44"/>
    <mergeCell ref="A50:A51"/>
    <mergeCell ref="B50:C50"/>
    <mergeCell ref="B51:C51"/>
    <mergeCell ref="B52:C52"/>
    <mergeCell ref="A94:E94"/>
    <mergeCell ref="G94:K94"/>
    <mergeCell ref="A96:E96"/>
    <mergeCell ref="G96:K96"/>
    <mergeCell ref="B99:C99"/>
    <mergeCell ref="D99:E99"/>
    <mergeCell ref="H99:I99"/>
    <mergeCell ref="J99:K99"/>
    <mergeCell ref="B102:C102"/>
    <mergeCell ref="D102:E102"/>
    <mergeCell ref="H102:I102"/>
    <mergeCell ref="J102:K102"/>
    <mergeCell ref="B105:C105"/>
    <mergeCell ref="D105:E105"/>
    <mergeCell ref="H105:I105"/>
    <mergeCell ref="J105:K105"/>
    <mergeCell ref="A108:E108"/>
    <mergeCell ref="G108:K108"/>
    <mergeCell ref="A122:E122"/>
    <mergeCell ref="G122:K122"/>
    <mergeCell ref="H124:I124"/>
    <mergeCell ref="G150:G151"/>
    <mergeCell ref="H150:I150"/>
    <mergeCell ref="H151:I151"/>
    <mergeCell ref="H152:I152"/>
    <mergeCell ref="A159:A160"/>
    <mergeCell ref="B159:C159"/>
    <mergeCell ref="B160:C160"/>
    <mergeCell ref="B161:C161"/>
    <mergeCell ref="A165:E165"/>
    <mergeCell ref="A201:E201"/>
  </mergeCells>
  <dataValidations count="3">
    <dataValidation allowBlank="true" errorStyle="stop" operator="between" showDropDown="false" showErrorMessage="true" showInputMessage="false" sqref="A18:A20 H99 N99:O99 G105 M105 O107 H110 N110" type="list">
      <formula1>#ref!</formula1>
      <formula2>0</formula2>
    </dataValidation>
    <dataValidation allowBlank="true" errorStyle="stop" operator="between" showDropDown="false" showErrorMessage="true" showInputMessage="false" sqref="B38 A105 B110" type="list">
      <formula1>"NO,YES"</formula1>
      <formula2>0</formula2>
    </dataValidation>
    <dataValidation allowBlank="true" errorStyle="stop" operator="between" showDropDown="false" showErrorMessage="true" showInputMessage="false" sqref="A32 B99" type="list">
      <formula1>$Z$101:$Z$109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2020-12-02T11:02:00Z</dcterms:created>
  <dc:creator>Kushal Panchal</dc:creator>
  <dc:language>en-US</dc:language>
  <dcterms:modified xsi:type="dcterms:W3CDTF">2025-09-15T15:42:14Z</dcterms:modified>
  <cp:revision>1031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CV">
    <vt:lpwstr>CE3AEC47E53A4CF5B6673284C36DFA3F_12</vt:lpwstr>
  </property>
  <property fmtid="{D5CDD505-2E9C-101B-9397-08002B2CF9AE}" pid="4" name="KSOProductBuildVer">
    <vt:lpwstr>1033-12.2.0.13489</vt:lpwstr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