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4"/>
  </bookViews>
  <sheets>
    <sheet name="Default Broker Margin Values" sheetId="1" state="visible" r:id="rId2"/>
    <sheet name="CP(F2)-PCP_Used_LCV" sheetId="2" state="visible" r:id="rId3"/>
    <sheet name="CP(F2)-CP_Used_LCV" sheetId="3" state="visible" r:id="rId4"/>
    <sheet name="HPNR(F3)-PCP_Used_LCV" sheetId="4" state="visible" r:id="rId5"/>
    <sheet name="HPNR(F3)-CP_Used_LCV" sheetId="5" state="visible" r:id="rId6"/>
    <sheet name="HPNR(F3)-HPR_Used_LCV" sheetId="6" state="visible" r:id="rId7"/>
    <sheet name="HPNR(F3)-HPNR_Used_LCV" sheetId="7" state="visible" r:id="rId8"/>
    <sheet name="BCH-F3-PCH_Used_LCV" sheetId="8" state="visible" r:id="rId9"/>
    <sheet name="BCH-F3-BCH_Used_LCV" sheetId="9" state="visible" r:id="rId10"/>
    <sheet name="CP(F3)-PCH_Used_LCV" sheetId="10" state="visible" r:id="rId11"/>
    <sheet name="CP(F3)-BCH_Used_LCV" sheetId="11" state="visible" r:id="rId12"/>
    <sheet name="FL(F3)-FL_Used_LCV" sheetId="12" state="visible" r:id="rId13"/>
    <sheet name="FL(F3)-PCH_Used_LCV" sheetId="13" state="visible" r:id="rId14"/>
    <sheet name="FL(F3)-BCH_Used_LCV" sheetId="14" state="visible" r:id="rId15"/>
    <sheet name="HPNR (F3)-FL_Used_LCV" sheetId="15" state="visible" r:id="rId16"/>
    <sheet name="HPNR (F3)-PCH_Used_LCV" sheetId="16" state="visible" r:id="rId17"/>
    <sheet name="HPNR (F3)-BCH_Used_LCV" sheetId="17" state="visible" r:id="rId18"/>
    <sheet name="PCP_used_LCV" sheetId="18" state="visible" r:id="rId19"/>
    <sheet name="CP_used_LCV" sheetId="19" state="visible" r:id="rId20"/>
    <sheet name="HPR_used_LCV" sheetId="20" state="visible" r:id="rId21"/>
    <sheet name="HPNR_used_LCV" sheetId="21" state="visible" r:id="rId22"/>
    <sheet name="Formula1-FL_Used_LCV" sheetId="22" state="visible" r:id="rId23"/>
    <sheet name="Formula1-PCH_Used_LCV" sheetId="23" state="visible" r:id="rId24"/>
    <sheet name="Formula1-BCH_Used_LCV" sheetId="24" state="visible" r:id="rId25"/>
    <sheet name="CP(F2)-PCP_Used_car" sheetId="25" state="visible" r:id="rId26"/>
    <sheet name="CP(F2)-CP_Used_car" sheetId="26" state="visible" r:id="rId27"/>
    <sheet name="HPNR(F3)-PCP_Used_car" sheetId="27" state="visible" r:id="rId28"/>
    <sheet name="HPNR(F3)-CP_Used_car" sheetId="28" state="visible" r:id="rId29"/>
    <sheet name="HPNR(F3)-HPR_Used_car" sheetId="29" state="visible" r:id="rId30"/>
    <sheet name="HPNR(F3)-HPNR_Used_car" sheetId="30" state="visible" r:id="rId31"/>
    <sheet name="CP(F3)-PCH_Used_car" sheetId="31" state="visible" r:id="rId32"/>
    <sheet name="CP(F3)-BCH_Used_car" sheetId="32" state="visible" r:id="rId33"/>
    <sheet name="FL(F3)-FL_Used_car" sheetId="33" state="visible" r:id="rId34"/>
    <sheet name="FL(F3)-PCH_Used_car" sheetId="34" state="visible" r:id="rId35"/>
    <sheet name="FL(F3)-BCH_Used_car" sheetId="35" state="visible" r:id="rId36"/>
    <sheet name="HPNR (F3)-FL_Used_car" sheetId="36" state="visible" r:id="rId37"/>
    <sheet name="HPNR (F3)-PCH_Used_car" sheetId="37" state="visible" r:id="rId38"/>
    <sheet name="HPNR (F3)-BCH_Used_car" sheetId="38" state="visible" r:id="rId39"/>
    <sheet name="PCP_used_car" sheetId="39" state="visible" r:id="rId40"/>
    <sheet name="CP_used_car" sheetId="40" state="visible" r:id="rId41"/>
    <sheet name="HPR_used_car" sheetId="41" state="visible" r:id="rId42"/>
    <sheet name="HPNR_used_car" sheetId="42" state="visible" r:id="rId43"/>
    <sheet name="BCH-F3-PCH_Used_car" sheetId="43" state="visible" r:id="rId44"/>
    <sheet name="BCH-F3-BCH_Used_car" sheetId="44" state="visible" r:id="rId45"/>
    <sheet name="Formula1-FL_Used_car" sheetId="45" state="visible" r:id="rId46"/>
    <sheet name="Formula1-PCH_Used_car" sheetId="46" state="visible" r:id="rId47"/>
    <sheet name="CP (Formula 3) - PCH" sheetId="47" state="visible" r:id="rId48"/>
    <sheet name="CP (Formula 3) - BCH" sheetId="48" state="visible" r:id="rId49"/>
    <sheet name="CP (Formula 2) - CP" sheetId="49" state="visible" r:id="rId50"/>
    <sheet name="CP (Formula 2) - PCP" sheetId="50" state="visible" r:id="rId51"/>
    <sheet name="Formula1-BCH_Used_car" sheetId="51" state="visible" r:id="rId52"/>
    <sheet name="HPNR (Formula 3) - PCP" sheetId="52" state="visible" r:id="rId53"/>
    <sheet name="HPNR (Formula 3) - CP" sheetId="53" state="visible" r:id="rId54"/>
    <sheet name="HPNR (Formula 3) - HPR" sheetId="54" state="visible" r:id="rId55"/>
    <sheet name="HPNR (Formula 3) - FL" sheetId="55" state="visible" r:id="rId56"/>
    <sheet name="HPNR (Formula 3) - PCH" sheetId="56" state="visible" r:id="rId57"/>
    <sheet name="HPNR (Formula 3) - BCH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PNR (Formula 3) - HPNR" sheetId="61" state="visible" r:id="rId62"/>
    <sheet name="HirePurchaseNonRegulated" sheetId="62" state="visible" r:id="rId63"/>
    <sheet name="HirePurchaseRegulated" sheetId="63" state="visible" r:id="rId64"/>
    <sheet name="PersonalContractPurchase" sheetId="64" state="visible" r:id="rId65"/>
    <sheet name="ContractPurchase" sheetId="65" state="visible" r:id="rId66"/>
    <sheet name="Formula1-FL" sheetId="66" state="visible" r:id="rId67"/>
    <sheet name="Formula1-PCH" sheetId="67" state="visible" r:id="rId68"/>
    <sheet name="Formula1-BCH" sheetId="68" state="visible" r:id="rId69"/>
    <sheet name="FL (Formula 3) - BCH, PCH, FL" sheetId="69" state="visible" r:id="rId70"/>
    <sheet name="BCH (Formula 3) - PCH" sheetId="70" state="visible" r:id="rId71"/>
    <sheet name="BCH (Formula 3) - BCH" sheetId="71" state="visible" r:id="rId7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<sst xmlns="http://schemas.openxmlformats.org/spreadsheetml/2006/main" count="32325" uniqueCount="408">
  <si>
    <t xml:space="preserve">Hire Default Broker Margin Values</t>
  </si>
  <si>
    <t xml:space="preserve">Min </t>
  </si>
  <si>
    <t xml:space="preserve">Max</t>
  </si>
  <si>
    <t xml:space="preserve">Values</t>
  </si>
  <si>
    <t xml:space="preserve">Purchase Default Broker Margin Percentage</t>
  </si>
  <si>
    <t xml:space="preserve">A1 Credit</t>
  </si>
  <si>
    <t xml:space="preserve"> </t>
  </si>
  <si>
    <t xml:space="preserve">Percentage Values</t>
  </si>
  <si>
    <t xml:space="preserve">Limited Credit</t>
  </si>
  <si>
    <t xml:space="preserve">Premium Credit</t>
  </si>
  <si>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</si>
  <si>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</si>
  <si>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</si>
  <si>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</si>
  <si>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</si>
  <si>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</si>
  <si>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</si>
  <si>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</si>
  <si>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</si>
  <si>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</si>
  <si>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</si>
  <si>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</si>
  <si>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</si>
  <si>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</si>
  <si>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</si>
  <si>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</si>
  <si>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</si>
  <si>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</si>
  <si>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</si>
  <si>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</si>
  <si>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</si>
  <si>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</si>
  <si>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</si>
  <si>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</si>
  <si>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</si>
  <si>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</si>
  <si>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</si>
  <si>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</si>
  <si>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</si>
  <si>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</si>
  <si>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</si>
  <si>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</si>
  <si>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</si>
  <si>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</si>
  <si>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</si>
  <si>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</si>
  <si>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</si>
  <si>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</si>
  <si>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</si>
  <si>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</si>
  <si>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</si>
  <si>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</si>
  <si>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</si>
  <si>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</si>
  <si>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</si>
  <si>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</si>
  <si>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</si>
  <si>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</si>
  <si>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</si>
  <si>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</si>
  <si>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</si>
  <si>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</si>
  <si>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</si>
  <si>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</si>
  <si>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</si>
  <si>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</si>
  <si>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</si>
  <si>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</si>
  <si>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</si>
  <si>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</si>
  <si>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</si>
  <si>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</si>
  <si>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</si>
  <si>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</si>
  <si>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</si>
  <si>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</si>
  <si>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</si>
  <si>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</si>
  <si>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</si>
  <si>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</si>
  <si>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</si>
  <si>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</si>
  <si>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</si>
  <si>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</si>
  <si>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</si>
  <si>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</si>
  <si>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</si>
  <si>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</si>
  <si>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</si>
  <si>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</si>
  <si>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</si>
  <si>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</si>
  <si>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</si>
  <si>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</si>
  <si>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</si>
  <si>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</si>
  <si>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</si>
  <si>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</si>
  <si>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</si>
  <si>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</si>
  <si>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</si>
  <si>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</si>
  <si>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</si>
  <si>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</si>
  <si>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</si>
  <si>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</si>
  <si>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</si>
  <si>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</si>
  <si>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</si>
  <si>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</si>
  <si>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</si>
  <si>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</si>
  <si>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</si>
  <si>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</si>
  <si>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</si>
  <si>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</si>
  <si>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</si>
  <si>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</si>
  <si>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</si>
  <si>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</si>
  <si>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</si>
  <si>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</si>
  <si>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</si>
  <si>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</si>
  <si>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</si>
  <si>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</si>
  <si>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</si>
  <si>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</si>
  <si>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</si>
  <si>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</si>
  <si>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</si>
  <si>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</si>
  <si>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</si>
  <si>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</si>
  <si>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</si>
  <si>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</si>
  <si>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</si>
  <si>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</si>
  <si>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</si>
  <si>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</si>
  <si>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</si>
  <si>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</si>
  <si>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</si>
  <si>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</si>
  <si>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</si>
  <si>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</si>
  <si>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</si>
  <si>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</si>
  <si>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</si>
  <si>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</si>
  <si>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</si>
  <si>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</si>
  <si>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</si>
  <si>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</si>
  <si>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</si>
  <si>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</si>
  <si>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</si>
  <si>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</si>
  <si>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</si>
  <si>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</si>
  <si>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</si>
  <si>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</si>
  <si>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</si>
  <si>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</si>
  <si>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</si>
  <si>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</si>
  <si>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</si>
  <si>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</si>
  <si>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</si>
  <si>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</si>
  <si>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</si>
  <si>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</si>
  <si>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</si>
  <si>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</si>
  <si>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</si>
  <si>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</si>
  <si>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</si>
  <si>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</si>
  <si>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</si>
  <si>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</si>
  <si>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</si>
  <si>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</si>
  <si>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</si>
  <si>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</si>
  <si>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</si>
  <si>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</si>
  <si>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</si>
  <si>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</si>
  <si>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Referrer Commission 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</si>
  <si>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</si>
  <si>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</si>
  <si>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</si>
  <si>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</si>
  <si>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</si>
  <si>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</si>
  <si>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</si>
  <si>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</si>
  <si>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</si>
  <si>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</si>
  <si>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</si>
  <si>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</si>
  <si>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</si>
  <si>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</si>
  <si>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</si>
  <si>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</si>
  <si>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</si>
  <si>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</si>
  <si>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</si>
  <si>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</si>
  <si>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</si>
  <si>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</si>
  <si>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</si>
  <si>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</si>
  <si>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</si>
  <si>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</si>
  <si>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</si>
  <si>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</si>
  <si>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</si>
  <si>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</si>
  <si>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</si>
  <si>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</si>
  <si>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</si>
  <si>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</si>
  <si>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</si>
  <si>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</si>
  <si>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</si>
  <si>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</si>
  <si>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</si>
  <si>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</si>
  <si>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</si>
  <si>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</si>
  <si>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</si>
  <si>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</si>
  <si>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</si>
  <si>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</si>
  <si>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</si>
  <si>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</si>
  <si>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</si>
  <si>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</si>
  <si>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</si>
  <si>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</si>
  <si>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</si>
  <si>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</si>
  <si>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</si>
  <si>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436.00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</si>
  <si>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</si>
  <si>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</si>
  <si>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</si>
  <si>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</si>
  <si>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</si>
  <si>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</si>
  <si>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</si>
  <si>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</si>
  <si>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</si>
  <si>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18850.00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</si>
  <si>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</si>
  <si>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</si>
  <si>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</si>
  <si>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</si>
  <si>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</si>
  <si>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</si>
  <si>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</si>
  <si>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</si>
  <si>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</si>
  <si>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</si>
  <si>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</si>
  <si>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</si>
  <si>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</si>
  <si>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</si>
  <si>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</si>
  <si>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</si>
  <si>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</si>
  <si>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</si>
  <si>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</si>
  <si>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</si>
  <si>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</si>
  <si>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</si>
  <si>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</si>
  <si>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</si>
  <si>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</si>
  <si>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</si>
  <si>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</si>
  <si>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</si>
  <si>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</si>
  <si>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</si>
  <si>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</si>
  <si>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</si>
  <si>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</si>
  <si>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</si>
  <si>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</si>
  <si>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</si>
  <si>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</si>
  <si>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</si>
  <si>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</si>
  <si>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</si>
  <si>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</si>
  <si>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</si>
  <si>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</si>
  <si>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</si>
  <si>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</si>
  <si>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</si>
  <si>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</si>
  <si>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</si>
  <si>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</si>
  <si>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</si>
  <si>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</si>
  <si>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</si>
  <si>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</si>
  <si>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</si>
  <si>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</si>
  <si>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</si>
  <si>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</si>
  <si>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</si>
  <si>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</si>
  <si>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</si>
  <si>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</si>
  <si>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</si>
  <si>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</si>
  <si>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</si>
  <si>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</si>
  <si>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</si>
  <si>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</si>
  <si>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</si>
  <si>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</si>
  <si>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</si>
  <si>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</si>
  <si>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</si>
  <si>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</si>
  <si>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</si>
  <si>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</si>
  <si>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</si>
  <si>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</si>
  <si>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</si>
  <si>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</si>
  <si>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</si>
  <si>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</si>
  <si>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</si>
  <si>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</si>
  <si>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</si>
  <si>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</si>
  <si>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</si>
  <si>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</si>
  <si>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</si>
  <si>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</si>
  <si>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</si>
  <si>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</si>
  <si>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</si>
  <si>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</si>
  <si>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</si>
  <si>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</si>
  <si>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</si>
  <si>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</si>
  <si>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</si>
  <si>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</si>
  <si>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</si>
  <si>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</si>
  <si>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</si>
  <si>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</si>
  <si>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</si>
  <si>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</si>
  <si>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</si>
  <si>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</si>
  <si>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36.33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</si>
  <si>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</si>
  <si>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</si>
  <si>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</si>
  <si>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</si>
  <si>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</si>
  <si>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</si>
  <si>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</si>
  <si>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</si>
  <si>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</si>
  <si>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</si>
  <si>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</si>
  <si>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</si>
  <si>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</si>
  <si>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</si>
  <si>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</si>
  <si>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</si>
  <si>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</si>
  <si>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</si>
  <si>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</si>
  <si>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</si>
  <si>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</si>
  <si>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</si>
  <si>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</si>
  <si>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</si>
  <si>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</si>
  <si>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</si>
  <si>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</si>
  <si>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60</t>
  </si>
  <si>
    <t xml:space="preserve">2</t>
  </si>
  <si>
    <t xml:space="preserve">Minimum Margin </t>
  </si>
  <si>
    <t xml:space="preserve">Margin Required </t>
  </si>
  <si>
    <t xml:space="preserve">OTR Calculation</t>
  </si>
  <si>
    <t xml:space="preserve">609.18</t>
  </si>
  <si>
    <t xml:space="preserve">69019.99</t>
  </si>
  <si>
    <t xml:space="preserve">8.19</t>
  </si>
  <si>
    <t xml:space="preserve">Default Broker Margin </t>
  </si>
  <si>
    <t xml:space="preserve">RFL included?</t>
  </si>
  <si>
    <t>YES</t>
  </si>
  <si>
    <t>0</t>
  </si>
  <si>
    <t>A1 Credit</t>
  </si>
  <si>
    <t>199.99</t>
  </si>
  <si>
    <t>NO</t>
  </si>
  <si>
    <t>40</t>
  </si>
  <si>
    <t>60</t>
  </si>
  <si>
    <t>239.99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</si>
</sst>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&quot;TRUE&quot;;&quot;TRUE&quot;;&quot;FALSE&quot;"/>
    <numFmt numFmtId="166" formatCode="\£#,##0.00"/>
    <numFmt numFmtId="167" formatCode="General"/>
    <numFmt numFmtId="168" formatCode="0%"/>
    <numFmt numFmtId="169" formatCode="0.00%"/>
    <numFmt numFmtId="170" formatCode="#,##0.00"/>
    <numFmt numFmtId="171" formatCode="[$-409]m/d/yyyy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8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7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5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9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7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0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6" fontId="5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7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9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9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worksheets/sheet71.xml" Type="http://schemas.openxmlformats.org/officeDocument/2006/relationships/worksheet"/><Relationship Id="rId73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3" activeCellId="0" sqref="B13"/>
    </sheetView>
  </sheetViews>
  <sheetFormatPr defaultColWidth="10.328125" defaultRowHeight="12.8" zeroHeight="false" outlineLevelRow="0" outlineLevelCol="0"/>
  <cols>
    <col min="1" max="1" customWidth="true" hidden="false" style="0" width="15.33" collapsed="false" outlineLevel="0"/>
    <col min="2" max="2" customWidth="true" hidden="false" style="0" width="22.29" collapsed="false" outlineLevel="0"/>
    <col min="3" max="3" customWidth="true" hidden="false" style="0" width="24.32" collapsed="false" outlineLevel="0"/>
  </cols>
  <sheetData>
    <row r="1" customFormat="false" ht="13.8" hidden="false" customHeight="false" outlineLevel="0" collapsed="false">
      <c r="A1" s="1" t="s">
        <v>0</v>
      </c>
      <c r="B1" s="1"/>
      <c r="C1" s="1"/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</row>
    <row r="3" customFormat="false" ht="12.8" hidden="false" customHeight="false" outlineLevel="0" collapsed="false">
      <c r="A3" s="0" t="n">
        <v>12</v>
      </c>
      <c r="B3" s="0" t="n">
        <v>24</v>
      </c>
      <c r="C3" s="0" t="n">
        <v>100</v>
      </c>
    </row>
    <row r="4" customFormat="false" ht="12.8" hidden="false" customHeight="false" outlineLevel="0" collapsed="false">
      <c r="A4" s="0" t="n">
        <v>26</v>
      </c>
      <c r="B4" s="0" t="n">
        <v>36</v>
      </c>
      <c r="C4" s="0" t="n">
        <v>300</v>
      </c>
    </row>
    <row r="5" customFormat="false" ht="12.8" hidden="false" customHeight="false" outlineLevel="0" collapsed="false">
      <c r="A5" s="0" t="n">
        <v>38</v>
      </c>
      <c r="B5" s="0" t="n">
        <v>48</v>
      </c>
      <c r="C5" s="0" t="n">
        <v>400</v>
      </c>
    </row>
    <row r="6" customFormat="false" ht="12.8" hidden="false" customHeight="false" outlineLevel="0" collapsed="false">
      <c r="A6" s="0" t="n">
        <v>50</v>
      </c>
      <c r="B6" s="0" t="n">
        <v>84</v>
      </c>
      <c r="C6" s="0" t="n">
        <v>500</v>
      </c>
    </row>
    <row r="10" customFormat="false" ht="14.15" hidden="false" customHeight="false" outlineLevel="0" collapsed="false">
      <c r="A10" s="1" t="s">
        <v>4</v>
      </c>
      <c r="B10" s="1"/>
      <c r="C10" s="1"/>
    </row>
    <row r="11" customFormat="false" ht="13.8" hidden="false" customHeight="false" outlineLevel="0" collapsed="false">
      <c r="A11" s="2" t="s">
        <v>5</v>
      </c>
      <c r="B11" s="3"/>
      <c r="C11" s="3"/>
      <c r="D11" s="4" t="s">
        <v>6</v>
      </c>
    </row>
    <row r="12" customFormat="false" ht="13.8" hidden="false" customHeight="false" outlineLevel="0" collapsed="false">
      <c r="A12" s="5" t="s">
        <v>1</v>
      </c>
      <c r="B12" s="5" t="s">
        <v>2</v>
      </c>
      <c r="C12" s="5" t="s">
        <v>7</v>
      </c>
    </row>
    <row r="13" customFormat="false" ht="12.8" hidden="false" customHeight="false" outlineLevel="0" collapsed="false">
      <c r="A13" s="0" t="n">
        <v>12</v>
      </c>
      <c r="B13" s="0" t="n">
        <v>36</v>
      </c>
      <c r="C13" s="0" t="n">
        <v>5</v>
      </c>
    </row>
    <row r="14" customFormat="false" ht="13.8" hidden="false" customHeight="false" outlineLevel="0" collapsed="false">
      <c r="A14" s="0" t="n">
        <v>37</v>
      </c>
      <c r="B14" s="0" t="n">
        <v>48</v>
      </c>
      <c r="C14" s="0" t="n">
        <v>2</v>
      </c>
    </row>
    <row r="15" customFormat="false" ht="13.8" hidden="false" customHeight="false" outlineLevel="0" collapsed="false">
      <c r="A15" s="0" t="n">
        <v>49</v>
      </c>
      <c r="B15" s="0" t="n">
        <v>55</v>
      </c>
      <c r="C15" s="0" t="n">
        <v>3</v>
      </c>
    </row>
    <row r="16" customFormat="false" ht="12.8" hidden="false" customHeight="false" outlineLevel="0" collapsed="false">
      <c r="A16" s="0" t="n">
        <v>0</v>
      </c>
      <c r="B16" s="0" t="n">
        <v>0</v>
      </c>
      <c r="C16" s="0" t="n">
        <v>0</v>
      </c>
    </row>
    <row r="17" customFormat="false" ht="12.8" hidden="false" customHeight="false" outlineLevel="0" collapsed="false">
      <c r="A17" s="0" t="n">
        <v>0</v>
      </c>
      <c r="B17" s="0" t="n">
        <v>0</v>
      </c>
      <c r="C17" s="0" t="n">
        <v>0</v>
      </c>
    </row>
    <row r="19" customFormat="false" ht="13.8" hidden="false" customHeight="false" outlineLevel="0" collapsed="false">
      <c r="A19" s="2" t="s">
        <v>8</v>
      </c>
      <c r="B19" s="3"/>
      <c r="C19" s="3"/>
    </row>
    <row r="20" customFormat="false" ht="13.8" hidden="false" customHeight="false" outlineLevel="0" collapsed="false">
      <c r="A20" s="5" t="s">
        <v>1</v>
      </c>
      <c r="B20" s="5" t="s">
        <v>2</v>
      </c>
      <c r="C20" s="5" t="s">
        <v>7</v>
      </c>
    </row>
    <row r="21" customFormat="false" ht="13.8" hidden="false" customHeight="false" outlineLevel="0" collapsed="false">
      <c r="A21" s="0" t="n">
        <v>6</v>
      </c>
      <c r="B21" s="0" t="n">
        <v>7</v>
      </c>
      <c r="C21" s="0" t="n">
        <v>0.5</v>
      </c>
    </row>
    <row r="22" customFormat="false" ht="13.8" hidden="false" customHeight="false" outlineLevel="0" collapsed="false">
      <c r="A22" s="0" t="n">
        <v>12</v>
      </c>
      <c r="B22" s="0" t="n">
        <v>23</v>
      </c>
      <c r="C22" s="0" t="n">
        <v>2</v>
      </c>
    </row>
    <row r="23" customFormat="false" ht="13.8" hidden="false" customHeight="false" outlineLevel="0" collapsed="false">
      <c r="A23" s="0" t="n">
        <v>24</v>
      </c>
      <c r="B23" s="0" t="n">
        <v>55</v>
      </c>
      <c r="C23" s="0" t="n">
        <v>3</v>
      </c>
    </row>
    <row r="24" customFormat="false" ht="12.8" hidden="false" customHeight="false" outlineLevel="0" collapsed="false">
      <c r="A24" s="0" t="n">
        <v>0</v>
      </c>
      <c r="B24" s="0" t="n">
        <v>0</v>
      </c>
      <c r="C24" s="0" t="n">
        <v>0</v>
      </c>
    </row>
    <row r="25" customFormat="false" ht="12.8" hidden="false" customHeight="false" outlineLevel="0" collapsed="false">
      <c r="A25" s="0" t="n">
        <v>0</v>
      </c>
      <c r="B25" s="0" t="n">
        <v>0</v>
      </c>
      <c r="C25" s="0" t="n">
        <v>0</v>
      </c>
    </row>
    <row r="27" customFormat="false" ht="13.8" hidden="false" customHeight="false" outlineLevel="0" collapsed="false">
      <c r="A27" s="2" t="s">
        <v>9</v>
      </c>
      <c r="B27" s="3"/>
      <c r="C27" s="3"/>
    </row>
    <row r="28" customFormat="false" ht="13.8" hidden="false" customHeight="false" outlineLevel="0" collapsed="false">
      <c r="A28" s="5" t="s">
        <v>1</v>
      </c>
      <c r="B28" s="5" t="s">
        <v>2</v>
      </c>
      <c r="C28" s="5" t="s">
        <v>7</v>
      </c>
    </row>
    <row r="29" customFormat="false" ht="13.8" hidden="false" customHeight="false" outlineLevel="0" collapsed="false">
      <c r="A29" s="0" t="n">
        <v>12</v>
      </c>
      <c r="B29" s="0" t="n">
        <v>23</v>
      </c>
      <c r="C29" s="0" t="n">
        <v>1</v>
      </c>
    </row>
    <row r="30" customFormat="false" ht="13.8" hidden="false" customHeight="false" outlineLevel="0" collapsed="false">
      <c r="A30" s="0" t="n">
        <v>24</v>
      </c>
      <c r="B30" s="0" t="n">
        <v>35</v>
      </c>
      <c r="C30" s="0" t="n">
        <v>2</v>
      </c>
    </row>
    <row r="31" customFormat="false" ht="13.8" hidden="false" customHeight="false" outlineLevel="0" collapsed="false">
      <c r="A31" s="0" t="n">
        <v>37</v>
      </c>
      <c r="B31" s="0" t="n">
        <v>47</v>
      </c>
      <c r="C31" s="0" t="n">
        <v>3</v>
      </c>
    </row>
    <row r="32" customFormat="false" ht="13.8" hidden="false" customHeight="false" outlineLevel="0" collapsed="false">
      <c r="A32" s="0" t="n">
        <v>48</v>
      </c>
      <c r="B32" s="0" t="n">
        <v>50</v>
      </c>
      <c r="C32" s="0" t="n">
        <v>4</v>
      </c>
    </row>
    <row r="33" customFormat="false" ht="13.8" hidden="false" customHeight="false" outlineLevel="0" collapsed="false">
      <c r="A33" s="0" t="n">
        <v>51</v>
      </c>
      <c r="B33" s="0" t="n">
        <v>84</v>
      </c>
      <c r="C33" s="0" t="n">
        <v>5</v>
      </c>
    </row>
  </sheetData>
  <mergeCells count="2">
    <mergeCell ref="A1:C1"/>
    <mergeCell ref="A10:C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2.47" collapsed="false" outlineLevel="0"/>
    <col min="14" max="14" customWidth="true" hidden="false" style="6" width="20.93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15083.33</v>
      </c>
      <c r="C2" s="9" t="s">
        <v>12</v>
      </c>
      <c r="D2" s="10" t="n">
        <f aca="false">C9</f>
        <v>3016.666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18099.996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15083.33</v>
      </c>
      <c r="C9" s="14" t="n">
        <f aca="false">B9*0.2</f>
        <v>3016.666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15083.33</v>
      </c>
      <c r="C15" s="14" t="n">
        <f aca="false">SUM(C9:C13)</f>
        <v>3016.666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18099.996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15083.33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18099.996</v>
      </c>
      <c r="B37" s="36"/>
      <c r="C37" s="45" t="s">
        <v>54</v>
      </c>
      <c r="D37" s="45"/>
      <c r="E37" s="36"/>
      <c r="F37" s="47" t="n">
        <f aca="false">A37-C37</f>
        <v>17099.996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3016.666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168.0555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381.9445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384.611166666667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334.611166666667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89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384.611166666667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11418.9953372019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113.75002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384.611166666667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384.611166666667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384.611166666667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17099.996</v>
      </c>
      <c r="C90" s="36"/>
      <c r="D90" s="36"/>
      <c r="E90" s="27"/>
      <c r="F90" s="29" t="s">
        <v>115</v>
      </c>
      <c r="G90" s="31" t="n">
        <f aca="false">F37</f>
        <v>17099.996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10745.0542001204</v>
      </c>
      <c r="C97" s="36"/>
      <c r="D97" s="36"/>
      <c r="E97" s="27"/>
      <c r="F97" s="35" t="s">
        <v>122</v>
      </c>
      <c r="G97" s="37" t="n">
        <f aca="false">G90-G95</f>
        <v>10351.926698559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1039.18139429109</v>
      </c>
      <c r="C98" s="36"/>
      <c r="D98" s="36"/>
      <c r="E98" s="27"/>
      <c r="F98" s="35" t="s">
        <v>123</v>
      </c>
      <c r="G98" s="37" t="n">
        <f aca="false">(G97/G96)</f>
        <v>971.944838563291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11430.9953372019</v>
      </c>
      <c r="C99" s="36"/>
      <c r="D99" s="36"/>
      <c r="E99" s="27"/>
      <c r="F99" s="35" t="s">
        <v>124</v>
      </c>
      <c r="G99" s="37" t="n">
        <f aca="false">((G98*(G94))+G86)</f>
        <v>10691.3932241962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11430.9953372019</v>
      </c>
      <c r="C101" s="36"/>
      <c r="D101" s="36"/>
      <c r="E101" s="27"/>
      <c r="F101" s="60" t="s">
        <v>126</v>
      </c>
      <c r="G101" s="69" t="n">
        <f aca="false">(G99+G100)</f>
        <v>10691.3932241962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1039.18139429109</v>
      </c>
      <c r="C104" s="36"/>
      <c r="D104" s="36"/>
      <c r="E104" s="27"/>
      <c r="F104" s="99" t="s">
        <v>128</v>
      </c>
      <c r="G104" s="100" t="n">
        <f aca="false">G101/(G94)</f>
        <v>971.944838563291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1124.272303382</v>
      </c>
      <c r="C105" s="36"/>
      <c r="D105" s="36"/>
      <c r="E105" s="27" t="s">
        <v>27</v>
      </c>
      <c r="F105" s="101" t="s">
        <v>129</v>
      </c>
      <c r="G105" s="102" t="n">
        <f aca="false">G103+G104</f>
        <v>971.944838563291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27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0.3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18099.996</v>
      </c>
      <c r="C130" s="125" t="n">
        <v>17291.67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18099.996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18099.996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18099.996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18099.996</v>
      </c>
      <c r="C134" s="137" t="n">
        <f aca="false">C130-C133</f>
        <v>17291.67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15083.33</v>
      </c>
      <c r="H144" s="157" t="n">
        <f aca="false">C134+E134+G134+H137</f>
        <v>17291.67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3016.666</v>
      </c>
      <c r="H146" s="37" t="n">
        <f aca="false">(H144+H145)*20%</f>
        <v>3458.334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18099.996</v>
      </c>
      <c r="H150" s="161" t="n">
        <f aca="false">(H144+H145+H148+H149+H146)-H147</f>
        <v>20750.004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18099.996</v>
      </c>
      <c r="H156" s="168" t="n">
        <f aca="false">H150-((H153*1.2)+(H154*1.2)+(H155*1.2)+(H151*1.2))</f>
        <v>20750.004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2208.34</v>
      </c>
      <c r="I157" s="6" t="n">
        <f aca="false">(H157-G90)/1.2</f>
        <v>-12409.7133333333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35" t="s">
        <v>188</v>
      </c>
      <c r="B165" s="36"/>
      <c r="C165" s="36"/>
      <c r="D165" s="27"/>
      <c r="E165" s="36"/>
      <c r="F165" s="27"/>
      <c r="G165" s="27"/>
      <c r="H165" s="44" t="n">
        <v>2000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22750.004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1039.18139429109</v>
      </c>
      <c r="B176" s="181" t="n">
        <f aca="false">B103</f>
        <v>85.0909090909091</v>
      </c>
      <c r="C176" s="178"/>
      <c r="D176" s="178"/>
      <c r="E176" s="181" t="n">
        <f aca="false">B105</f>
        <v>1124.272303382</v>
      </c>
      <c r="F176" s="27"/>
      <c r="G176" s="27" t="n">
        <f aca="false">ROUND(G104,2)</f>
        <v>971.94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17291.67</v>
      </c>
      <c r="B182" s="107" t="n">
        <f aca="false">H146</f>
        <v>3458.334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20750.004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22750.004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-4119.00866279805</v>
      </c>
      <c r="B191" s="107" t="str">
        <f aca="false">B123</f>
        <v>239.99</v>
      </c>
      <c r="C191" s="107"/>
      <c r="D191" s="27"/>
      <c r="E191" s="107" t="n">
        <f aca="false">E188+A191+B191+A194</f>
        <v>18880.985337202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9.72624</v>
      </c>
      <c r="B197" s="107" t="n">
        <f aca="false">(G167*B76)/1.2</f>
        <v>94.7916833333333</v>
      </c>
      <c r="C197" s="97"/>
      <c r="D197" s="97"/>
      <c r="E197" s="107" t="n">
        <f aca="false">IF(E114="YES",(K55*A117*0.1),0)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212.78335</v>
      </c>
      <c r="C200" s="97"/>
      <c r="D200" s="97"/>
      <c r="E200" s="107" t="n">
        <f aca="false">H157</f>
        <v>2208.34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1124.272303382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-4858.664</v>
      </c>
      <c r="B210" s="190" t="n">
        <f aca="false">E188+A210+B191+A194</f>
        <v>18141.33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1039.18139429109</v>
      </c>
      <c r="B221" s="181" t="n">
        <f aca="false">B176</f>
        <v>85.0909090909091</v>
      </c>
      <c r="C221" s="178"/>
      <c r="D221" s="178"/>
      <c r="E221" s="181" t="n">
        <f aca="false">E176</f>
        <v>1124.272303382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17291.67</v>
      </c>
      <c r="B224" s="107" t="n">
        <f aca="false">B182</f>
        <v>3458.334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20750.004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22750.004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-4119.00866279805</v>
      </c>
      <c r="B233" s="107" t="str">
        <f aca="false">B191</f>
        <v>239.99</v>
      </c>
      <c r="C233" s="107"/>
      <c r="D233" s="117"/>
      <c r="E233" s="107" t="n">
        <f aca="false">E191</f>
        <v>18880.985337202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1039.18139429109</v>
      </c>
      <c r="B239" s="107" t="n">
        <f aca="false">B176</f>
        <v>85.0909090909091</v>
      </c>
      <c r="C239" s="190"/>
      <c r="D239" s="190"/>
      <c r="E239" s="107" t="n">
        <f aca="false">E176</f>
        <v>1124.272303382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J18*0.000006*100*1.2</f>
        <v>29.17872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9.72624</v>
      </c>
      <c r="B245" s="107" t="n">
        <f aca="false">E242+A245</f>
        <v>38.90496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2208.34</v>
      </c>
      <c r="B249" s="107" t="n">
        <f aca="false">B197</f>
        <v>94.7916833333333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2421.12335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3" t="n">
        <f aca="false">(E191-B191)-(B210-B191-A194)</f>
        <v>749.655337201948</v>
      </c>
      <c r="C263" s="201"/>
      <c r="D263" s="202" t="s">
        <v>227</v>
      </c>
      <c r="E263" s="202"/>
      <c r="F263" s="204" t="n">
        <f aca="false">F270+F276+F278+B279+B280</f>
        <v>113.75002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279.991666666667</v>
      </c>
      <c r="C264" s="201"/>
      <c r="D264" s="202" t="s">
        <v>229</v>
      </c>
      <c r="E264" s="202"/>
      <c r="F264" s="204" t="n">
        <f aca="false">(B263-F263)+B264</f>
        <v>915.896983868615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(B98*B68)-(C98*B68)</f>
        <v>11430.9953372019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113.75002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0.3</v>
      </c>
      <c r="C271" s="36"/>
      <c r="D271" s="170" t="s">
        <v>233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99.9916666666667</v>
      </c>
      <c r="C272" s="36"/>
      <c r="D272" s="43" t="s">
        <v>229</v>
      </c>
      <c r="E272" s="43"/>
      <c r="F272" s="150" t="n">
        <f aca="false">(B263-F263)+B264</f>
        <v>915.896983868615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4.24" collapsed="false" outlineLevel="0"/>
    <col min="14" max="14" customWidth="true" hidden="false" style="6" width="16.72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18849.996</v>
      </c>
      <c r="B37" s="36"/>
      <c r="C37" s="45" t="s">
        <v>54</v>
      </c>
      <c r="D37" s="45"/>
      <c r="E37" s="36"/>
      <c r="F37" s="47" t="n">
        <f aca="false">A37-C37</f>
        <v>17849.996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3141.666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178.472166666667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321.527833333333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324.1945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324.1945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244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324.1945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12216.8737232231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116.24998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324.1945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324.1945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324.1945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17849.996</v>
      </c>
      <c r="C90" s="36"/>
      <c r="D90" s="36"/>
      <c r="E90" s="27"/>
      <c r="F90" s="29" t="s">
        <v>115</v>
      </c>
      <c r="G90" s="31" t="n">
        <f aca="false">F37</f>
        <v>17849.996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11495.0542001204</v>
      </c>
      <c r="C97" s="36"/>
      <c r="D97" s="36"/>
      <c r="E97" s="27"/>
      <c r="F97" s="35" t="s">
        <v>122</v>
      </c>
      <c r="G97" s="37" t="n">
        <f aca="false">G90-G95</f>
        <v>11101.926698559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1111.71579302028</v>
      </c>
      <c r="C98" s="36"/>
      <c r="D98" s="36"/>
      <c r="E98" s="27"/>
      <c r="F98" s="35" t="s">
        <v>123</v>
      </c>
      <c r="G98" s="37" t="n">
        <f aca="false">(G97/G96)</f>
        <v>1042.36251540252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12228.8737232231</v>
      </c>
      <c r="C99" s="36"/>
      <c r="D99" s="36"/>
      <c r="E99" s="27"/>
      <c r="F99" s="35" t="s">
        <v>124</v>
      </c>
      <c r="G99" s="37" t="n">
        <f aca="false">((G98*(G94))+G86)</f>
        <v>11465.9876694277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12228.8737232231</v>
      </c>
      <c r="C101" s="36"/>
      <c r="D101" s="36"/>
      <c r="E101" s="27"/>
      <c r="F101" s="60" t="s">
        <v>126</v>
      </c>
      <c r="G101" s="69" t="n">
        <f aca="false">(G99+G100)</f>
        <v>11465.9876694277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1111.71579302028</v>
      </c>
      <c r="C104" s="36"/>
      <c r="D104" s="36"/>
      <c r="E104" s="27"/>
      <c r="F104" s="99" t="s">
        <v>128</v>
      </c>
      <c r="G104" s="100" t="n">
        <f aca="false">G101/(G94)</f>
        <v>1042.36251540252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1111.71579302028</v>
      </c>
      <c r="C105" s="36"/>
      <c r="D105" s="36"/>
      <c r="E105" s="27" t="s">
        <v>27</v>
      </c>
      <c r="F105" s="101" t="s">
        <v>129</v>
      </c>
      <c r="G105" s="102" t="n">
        <f aca="false">G103+G104</f>
        <v>1042.36251540252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245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245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18849.996</v>
      </c>
      <c r="C130" s="125" t="n">
        <v>17708.33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18849.996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18849.996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18849.996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18849.996</v>
      </c>
      <c r="C134" s="137" t="n">
        <f aca="false">C130-C133</f>
        <v>17708.33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15708.33</v>
      </c>
      <c r="H144" s="157" t="n">
        <f aca="false">C134+E134+G134+H137</f>
        <v>17708.33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3141.666</v>
      </c>
      <c r="H146" s="37" t="n">
        <f aca="false">(H144+H145)*20%</f>
        <v>3541.666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18849.996</v>
      </c>
      <c r="H150" s="161" t="n">
        <f aca="false">(H144+H145+H148+H149+H146)-H147</f>
        <v>21249.996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18849.996</v>
      </c>
      <c r="H156" s="168" t="n">
        <f aca="false">H150-((H153*1.2)+(H154*1.2)+(H155*1.2)+(H151*1.2))</f>
        <v>21249.996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2000</v>
      </c>
      <c r="I157" s="6" t="n">
        <f aca="false">(H157-G90)/1.2</f>
        <v>-13208.33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35" t="s">
        <v>188</v>
      </c>
      <c r="B165" s="36"/>
      <c r="C165" s="36"/>
      <c r="D165" s="27"/>
      <c r="E165" s="36"/>
      <c r="F165" s="27"/>
      <c r="G165" s="27"/>
      <c r="H165" s="44" t="n">
        <v>2000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23249.996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1111.71579302028</v>
      </c>
      <c r="B176" s="181" t="n">
        <f aca="false">B103</f>
        <v>0</v>
      </c>
      <c r="C176" s="178"/>
      <c r="D176" s="178"/>
      <c r="E176" s="181" t="n">
        <f aca="false">B105</f>
        <v>1111.71579302028</v>
      </c>
      <c r="F176" s="27"/>
      <c r="G176" s="27" t="n">
        <f aca="false">ROUND(G104,2)</f>
        <v>1042.36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17708.33</v>
      </c>
      <c r="B182" s="107" t="n">
        <f aca="false">H146</f>
        <v>3541.666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21249.996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23249.996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-3821.12227677694</v>
      </c>
      <c r="B191" s="107" t="str">
        <f aca="false">B123</f>
        <v>199.99</v>
      </c>
      <c r="C191" s="107"/>
      <c r="D191" s="27"/>
      <c r="E191" s="107" t="n">
        <f aca="false">E188+A191+(B191*1.2)+A194</f>
        <v>19678.8617232231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8.1052</v>
      </c>
      <c r="B197" s="107" t="n">
        <f aca="false">(G167*B76)/1.2</f>
        <v>96.8749833333334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196.864983333333</v>
      </c>
      <c r="C200" s="97"/>
      <c r="D200" s="97"/>
      <c r="E200" s="107" t="n">
        <f aca="false">H157</f>
        <v>2000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1111.71579302028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-4584.036</v>
      </c>
      <c r="B210" s="190" t="n">
        <f aca="false">E188+A210+(B191*1.2)+A194</f>
        <v>18915.948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1111.71579302028</v>
      </c>
      <c r="B221" s="181" t="n">
        <f aca="false">B176</f>
        <v>0</v>
      </c>
      <c r="C221" s="178"/>
      <c r="D221" s="178"/>
      <c r="E221" s="181" t="n">
        <f aca="false">E176</f>
        <v>1111.71579302028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17708.33</v>
      </c>
      <c r="B224" s="107" t="n">
        <f aca="false">B182</f>
        <v>3541.666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21249.996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23249.996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-3821.12227677694</v>
      </c>
      <c r="B233" s="107" t="str">
        <f aca="false">B191</f>
        <v>199.99</v>
      </c>
      <c r="C233" s="107"/>
      <c r="D233" s="117"/>
      <c r="E233" s="107" t="n">
        <f aca="false">E191</f>
        <v>19678.8617232231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1111.71579302028</v>
      </c>
      <c r="B239" s="107" t="n">
        <f aca="false">B176</f>
        <v>0</v>
      </c>
      <c r="C239" s="190"/>
      <c r="D239" s="190"/>
      <c r="E239" s="107" t="n">
        <f aca="false">E176</f>
        <v>1111.71579302028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</f>
        <v>24.3156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8.1052</v>
      </c>
      <c r="B245" s="107" t="n">
        <f aca="false">E242+A245</f>
        <v>32.4208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2000</v>
      </c>
      <c r="B249" s="107" t="n">
        <f aca="false">B197</f>
        <v>96.8749833333334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2196.86498333334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4" t="n">
        <f aca="false">(E191-B191)-(B210-B191-A194)</f>
        <v>772.913723223064</v>
      </c>
      <c r="C263" s="201"/>
      <c r="D263" s="202" t="s">
        <v>227</v>
      </c>
      <c r="E263" s="202"/>
      <c r="F263" s="204" t="n">
        <f aca="false">F270+F276+F278+B279+B280</f>
        <v>116.24998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99.99</v>
      </c>
      <c r="C264" s="201"/>
      <c r="D264" s="202" t="s">
        <v>229</v>
      </c>
      <c r="E264" s="202"/>
      <c r="F264" s="204" t="n">
        <f aca="false">(B263-F263)+B264</f>
        <v>756.653743223064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(B98*B68)-(C98*B68)</f>
        <v>12228.8737232231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116.24998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</v>
      </c>
      <c r="C272" s="36"/>
      <c r="D272" s="43" t="s">
        <v>229</v>
      </c>
      <c r="E272" s="43"/>
      <c r="F272" s="150" t="n">
        <f aca="false">(B263-F263)+B264</f>
        <v>756.653743223064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258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259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14183.2495320336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5255.82391109543</v>
      </c>
      <c r="C86" s="97" t="n">
        <f aca="false">(B82/((1+B84)^(B85+1)))</f>
        <v>5255.82391109543</v>
      </c>
      <c r="D86" s="97"/>
      <c r="E86" s="117"/>
      <c r="F86" s="35" t="s">
        <v>120</v>
      </c>
      <c r="G86" s="37" t="n">
        <f aca="false">(G82/((1+G84)^(G85+1)))</f>
        <v>6024.37295128565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12594.1760889046</v>
      </c>
      <c r="C88" s="97" t="n">
        <f aca="false">B81-B86</f>
        <v>12594.1760889046</v>
      </c>
      <c r="D88" s="97"/>
      <c r="E88" s="117"/>
      <c r="F88" s="35" t="s">
        <v>122</v>
      </c>
      <c r="G88" s="37" t="n">
        <f aca="false">G81-G86</f>
        <v>11825.6270487144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458.862911512413</v>
      </c>
      <c r="C89" s="97" t="n">
        <f aca="false">(B88/B87)</f>
        <v>458.862911512413</v>
      </c>
      <c r="D89" s="97"/>
      <c r="E89" s="117"/>
      <c r="F89" s="35" t="s">
        <v>123</v>
      </c>
      <c r="G89" s="37" t="n">
        <f aca="false">(G88/G87)</f>
        <v>403.500840664439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14683.6131683972</v>
      </c>
      <c r="C90" s="97"/>
      <c r="D90" s="97"/>
      <c r="E90" s="117"/>
      <c r="F90" s="35" t="s">
        <v>124</v>
      </c>
      <c r="G90" s="37" t="n">
        <f aca="false">((G89*(G85))+G77)</f>
        <v>12912.026901262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14683.6131683972</v>
      </c>
      <c r="C92" s="97"/>
      <c r="D92" s="97"/>
      <c r="E92" s="117"/>
      <c r="F92" s="60" t="s">
        <v>126</v>
      </c>
      <c r="G92" s="69" t="n">
        <f aca="false">(G90+G91)</f>
        <v>12912.026901262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458.862911512413</v>
      </c>
      <c r="C95" s="97"/>
      <c r="D95" s="97"/>
      <c r="E95" s="117"/>
      <c r="F95" s="99" t="s">
        <v>128</v>
      </c>
      <c r="G95" s="100" t="n">
        <f aca="false">G92/(G85)</f>
        <v>403.500840664439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458.862911512413</v>
      </c>
      <c r="C96" s="97"/>
      <c r="D96" s="97"/>
      <c r="E96" s="117"/>
      <c r="F96" s="101" t="s">
        <v>129</v>
      </c>
      <c r="G96" s="102" t="n">
        <f aca="false">G94+G95</f>
        <v>403.500840664439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458.862911512413</v>
      </c>
      <c r="B167" s="181" t="n">
        <f aca="false">B94</f>
        <v>0</v>
      </c>
      <c r="C167" s="178"/>
      <c r="D167" s="178"/>
      <c r="E167" s="181" t="n">
        <f aca="false">B96</f>
        <v>458.862911512413</v>
      </c>
      <c r="F167" s="27"/>
      <c r="G167" s="27" t="n">
        <f aca="false">ROUND(G95,2)</f>
        <v>403.5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-1366.38283160278</v>
      </c>
      <c r="B182" s="107" t="str">
        <f aca="false">B114</f>
        <v>239.99</v>
      </c>
      <c r="C182" s="107"/>
      <c r="D182" s="27"/>
      <c r="E182" s="107" t="n">
        <f aca="false">E179+A182+B182+A185</f>
        <v>22133.6031683972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196.86665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458.862911512413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-3137.996</v>
      </c>
      <c r="B201" s="190" t="n">
        <f aca="false">E179+A201+B182+A185</f>
        <v>20361.99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458.862911512413</v>
      </c>
      <c r="B212" s="181" t="n">
        <f aca="false">B167</f>
        <v>0</v>
      </c>
      <c r="C212" s="178"/>
      <c r="D212" s="178"/>
      <c r="E212" s="181" t="n">
        <f aca="false">E167</f>
        <v>458.862911512413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-1366.38283160278</v>
      </c>
      <c r="B224" s="107" t="str">
        <f aca="false">B182</f>
        <v>239.99</v>
      </c>
      <c r="C224" s="107"/>
      <c r="D224" s="117"/>
      <c r="E224" s="107" t="n">
        <f aca="false">E182</f>
        <v>22133.6031683972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458.862911512413</v>
      </c>
      <c r="B230" s="107" t="n">
        <f aca="false">B167</f>
        <v>0</v>
      </c>
      <c r="C230" s="190"/>
      <c r="D230" s="190"/>
      <c r="E230" s="107" t="n">
        <f aca="false">E167</f>
        <v>458.862911512413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9.72624</v>
      </c>
      <c r="B236" s="107" t="n">
        <f aca="false">E233+A236</f>
        <v>38.90496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2196.86665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1781.61316839722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1765.35485506389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1765.35485506389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245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196.864983333333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-4584.036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2196.86498333334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772.917978574456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756.657998574456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756.657998574456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281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-3821.11802142555</v>
      </c>
      <c r="B182" s="107" t="str">
        <f aca="false">B114</f>
        <v>239.99</v>
      </c>
      <c r="C182" s="107"/>
      <c r="D182" s="27"/>
      <c r="E182" s="107" t="n">
        <f aca="false">E179+A182+B182+A185</f>
        <v>19678.8679785745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196.86665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-4584.036</v>
      </c>
      <c r="B201" s="190" t="n">
        <f aca="false">E179+A201+B182+A185</f>
        <v>18915.95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-3821.11802142555</v>
      </c>
      <c r="B224" s="107" t="str">
        <f aca="false">B182</f>
        <v>239.99</v>
      </c>
      <c r="C224" s="107"/>
      <c r="D224" s="117"/>
      <c r="E224" s="107" t="n">
        <f aca="false">E182</f>
        <v>19678.8679785745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9.72624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2196.86665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772.917978574456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756.659665241123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756.659665241123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267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196.864983333333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-4584.036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2196.86498333334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772.917978574456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756.657998574456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756.657998574456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 t="n">
        <f aca="false">IF(G18&gt;40000,325,0)</f>
        <v>325</v>
      </c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10389.799664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10463.1443570698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78</v>
      </c>
      <c r="C89" s="219"/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871.928696422482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949.928696422482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30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</v>
      </c>
      <c r="C108" s="221"/>
      <c r="D108" s="221" t="n">
        <v>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871.928696422482</v>
      </c>
      <c r="B128" s="325" t="n">
        <f aca="false">IF(A105="YES",B89,0)</f>
        <v>78</v>
      </c>
      <c r="C128" s="330"/>
      <c r="D128" s="325" t="n">
        <f aca="false">B91</f>
        <v>949.928696422482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871.928696422482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949.928696422482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871.928696422482</v>
      </c>
      <c r="B137" s="42" t="n">
        <f aca="false">IF(A105="YES",B89,0)</f>
        <v>78</v>
      </c>
      <c r="C137" s="321"/>
      <c r="D137" s="42" t="n">
        <f aca="false">B91</f>
        <v>949.928696422482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29.17872</v>
      </c>
      <c r="B140" s="347" t="n">
        <f aca="false">G18*0.000002*1.2*100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949.928696422482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871.928696422482</v>
      </c>
      <c r="B171" s="362" t="n">
        <f aca="false">IF(A105="YES",B89,0)</f>
        <v>78</v>
      </c>
      <c r="C171" s="365"/>
      <c r="D171" s="362" t="n">
        <f aca="false">B91</f>
        <v>949.928696422482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871.928696422482</v>
      </c>
      <c r="C174" s="360"/>
      <c r="D174" s="107" t="n">
        <f aca="false">IF(A105="YES",B89*B57,0)</f>
        <v>78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949.928696422482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871.928696422482</v>
      </c>
      <c r="B180" s="107" t="n">
        <f aca="false">IF(A105="YES",B89,0)</f>
        <v>78</v>
      </c>
      <c r="C180" s="360"/>
      <c r="D180" s="107" t="n">
        <f aca="false">B91</f>
        <v>949.928696422482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29.17872</v>
      </c>
      <c r="B183" s="372" t="n">
        <f aca="false">G18*0.000002*1.2*100</f>
        <v>9.72624</v>
      </c>
      <c r="C183" s="373"/>
      <c r="D183" s="372" t="n">
        <f aca="false">A183+B183</f>
        <v>38.90496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1839.47972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1319.49972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1839.47972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8658.16638666667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8731.51107973645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727.625923311371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787.625923311371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20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</v>
      </c>
      <c r="C108" s="221"/>
      <c r="D108" s="221" t="n">
        <v>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((E118*1.2)+E117)-D115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727.625923311371</v>
      </c>
      <c r="B128" s="325" t="n">
        <f aca="false">IF(A105="YES",B89,0)</f>
        <v>60</v>
      </c>
      <c r="C128" s="330"/>
      <c r="D128" s="325" t="n">
        <f aca="false">B91</f>
        <v>787.625923311371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727.625923311371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787.625923311371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727.625923311371</v>
      </c>
      <c r="B137" s="42" t="n">
        <f aca="false">IF(A105="YES",B89,0)</f>
        <v>60</v>
      </c>
      <c r="C137" s="321"/>
      <c r="D137" s="42" t="n">
        <f aca="false">B91</f>
        <v>787.625923311371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24.3156</v>
      </c>
      <c r="B140" s="347" t="n">
        <f aca="false">G18*0.000002*100</f>
        <v>8.1052</v>
      </c>
      <c r="C140" s="348"/>
      <c r="D140" s="347" t="n">
        <f aca="false">A140+B140</f>
        <v>32.4208</v>
      </c>
      <c r="E140" s="395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12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512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787.625923311371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727.625923311371</v>
      </c>
      <c r="B171" s="362" t="n">
        <f aca="false">IF(A105="YES",B89,0)</f>
        <v>60</v>
      </c>
      <c r="C171" s="365"/>
      <c r="D171" s="362" t="n">
        <f aca="false">B91</f>
        <v>787.625923311371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727.625923311371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787.625923311371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727.625923311371</v>
      </c>
      <c r="B180" s="107" t="n">
        <f aca="false">IF(A105="YES",B89,0)</f>
        <v>60</v>
      </c>
      <c r="C180" s="360"/>
      <c r="D180" s="107" t="n">
        <f aca="false">B91</f>
        <v>787.625923311371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24.3156</v>
      </c>
      <c r="B183" s="372" t="n">
        <f aca="false">G18*0.000002*100</f>
        <v>8.1052</v>
      </c>
      <c r="C183" s="373"/>
      <c r="D183" s="372" t="n">
        <f aca="false">A183+B183</f>
        <v>32.4208</v>
      </c>
      <c r="E183" s="395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512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H29</f>
        <v>12</v>
      </c>
      <c r="C203" s="325" t="s">
        <v>226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1779.47972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1319.49972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1779.47972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342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343</v>
      </c>
      <c r="B41" s="108" t="s">
        <v>344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344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345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321.527833333333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324.1945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348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324.1945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324.1945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8201.300464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8259.19588881646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688.266324068038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688.266324068038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28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688.266324068038</v>
      </c>
      <c r="B134" s="325" t="n">
        <f aca="false">IF(A111="YES",B95,0)</f>
        <v>0</v>
      </c>
      <c r="C134" s="329"/>
      <c r="D134" s="325" t="n">
        <f aca="false">B97</f>
        <v>688.266324068038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688.266324068038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688.266324068038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688.266324068038</v>
      </c>
      <c r="B143" s="42" t="n">
        <f aca="false">IF(A111="YES",B95,0)</f>
        <v>0</v>
      </c>
      <c r="C143" s="321"/>
      <c r="D143" s="42" t="n">
        <f aca="false">B97</f>
        <v>688.266324068038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688.266324068038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688.266324068038</v>
      </c>
      <c r="B177" s="362" t="n">
        <f aca="false">IF(A111="YES",B95,0)</f>
        <v>0</v>
      </c>
      <c r="C177" s="364"/>
      <c r="D177" s="362" t="n">
        <f aca="false">A177+B177</f>
        <v>688.266324068038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688.266324068038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688.266324068038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688.266324068038</v>
      </c>
      <c r="B186" s="107" t="n">
        <f aca="false">IF(A111="YES",B95,0)</f>
        <v>0</v>
      </c>
      <c r="C186" s="360"/>
      <c r="D186" s="107" t="n">
        <f aca="false">B97</f>
        <v>688.266324068038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95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1319.49972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1659.48138666667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1659.48138666667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57.8954248164583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356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343</v>
      </c>
      <c r="B41" s="108" t="s">
        <v>344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79</v>
      </c>
      <c r="B44" s="108" t="s">
        <v>345</v>
      </c>
      <c r="C44" s="108"/>
      <c r="D44" s="108" t="s">
        <v>345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371.527833333333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374.1945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348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374.1945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6834.41705333333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6892.31247814979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574.359373179149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634.359373179149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27</v>
      </c>
      <c r="B111" s="316" t="n">
        <v>20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28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574.359373179149</v>
      </c>
      <c r="B134" s="325" t="n">
        <f aca="false">IF(A111="YES",B95,0)</f>
        <v>60</v>
      </c>
      <c r="C134" s="330"/>
      <c r="D134" s="325" t="n">
        <f aca="false">B97</f>
        <v>634.359373179149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574.359373179149</v>
      </c>
      <c r="C137" s="321"/>
      <c r="D137" s="42" t="n">
        <f aca="false">IF(A111="YES",B95*B63,0)</f>
        <v>60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634.359373179149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574.359373179149</v>
      </c>
      <c r="B143" s="42" t="n">
        <f aca="false">IF(A111="YES",B95,0)</f>
        <v>60</v>
      </c>
      <c r="C143" s="321"/>
      <c r="D143" s="42" t="n">
        <f aca="false">B97</f>
        <v>634.359373179149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12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512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634.359373179149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574.359373179149</v>
      </c>
      <c r="B177" s="362" t="n">
        <f aca="false">IF(A111="YES",B95,0)</f>
        <v>60</v>
      </c>
      <c r="C177" s="365"/>
      <c r="D177" s="362" t="n">
        <f aca="false">B91</f>
        <v>6834.41705333333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574.359373179149</v>
      </c>
      <c r="C180" s="360"/>
      <c r="D180" s="107" t="n">
        <f aca="false">IF(A111="YES",B95*B63,0)</f>
        <v>60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634.359373179149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574.359373179149</v>
      </c>
      <c r="B186" s="107" t="n">
        <f aca="false">IF(A111="YES",B95,0)</f>
        <v>60</v>
      </c>
      <c r="C186" s="360"/>
      <c r="D186" s="107" t="n">
        <f aca="false">B97</f>
        <v>634.359373179149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12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512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1319.49972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459.99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1779.47972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1779.47972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120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57.8954248164583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357</v>
      </c>
      <c r="B41" s="245" t="str">
        <f aca="false">IF(B38="YES",D38+A41,D38)</f>
        <v>500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357</v>
      </c>
      <c r="E44" s="108"/>
      <c r="F44" s="67"/>
      <c r="G44" s="67" t="s">
        <v>267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347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359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360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8" t="n">
        <v>0</v>
      </c>
      <c r="C111" s="318"/>
      <c r="D111" s="111" t="s">
        <v>361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358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10747.299664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10823.168056142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901.930671345166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979.930671345166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901.930671345166</v>
      </c>
      <c r="B134" s="325" t="n">
        <f aca="false">IF(A111="YES",B95,0)</f>
        <v>78</v>
      </c>
      <c r="C134" s="330"/>
      <c r="D134" s="325" t="n">
        <f aca="false">B97</f>
        <v>979.930671345166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901.930671345166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979.930671345166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901.930671345166</v>
      </c>
      <c r="B143" s="42" t="n">
        <f aca="false">IF(A111="YES",B95,0)</f>
        <v>78</v>
      </c>
      <c r="C143" s="321"/>
      <c r="D143" s="42" t="n">
        <f aca="false">B97</f>
        <v>979.930671345166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518.001666666667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979.930671345166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901.930671345166</v>
      </c>
      <c r="B177" s="362" t="n">
        <f aca="false">IF(A111="YES",B95,0)</f>
        <v>78</v>
      </c>
      <c r="C177" s="365"/>
      <c r="D177" s="362" t="n">
        <f aca="false">B97</f>
        <v>979.930671345166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901.930671345166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979.930671345166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901.930671345166</v>
      </c>
      <c r="B186" s="107" t="n">
        <f aca="false">IF(A111="YES",B95,0)</f>
        <v>78</v>
      </c>
      <c r="C186" s="360"/>
      <c r="D186" s="107" t="n">
        <f aca="false">B97</f>
        <v>979.930671345166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518.001666666667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519.991666666667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1839.48138666667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1839.48138666667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358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817.662620456277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65</v>
      </c>
      <c r="C134" s="330"/>
      <c r="D134" s="325" t="n">
        <f aca="false">B97</f>
        <v>817.662620456277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752.662620456277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817.662620456277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65</v>
      </c>
      <c r="C143" s="321"/>
      <c r="D143" s="42" t="n">
        <f aca="false">B97</f>
        <v>817.662620456277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817.662620456277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65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752.662620456277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817.662620456277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65</v>
      </c>
      <c r="C186" s="360"/>
      <c r="D186" s="107" t="n">
        <f aca="false">B97</f>
        <v>817.662620456277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24.3156</v>
      </c>
      <c r="B189" s="374" t="n">
        <f aca="false">G18*0.000002*100</f>
        <v>8.1052</v>
      </c>
      <c r="C189" s="360"/>
      <c r="D189" s="374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1839.47972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1839.47972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350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360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s">
        <v>361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60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0</v>
      </c>
      <c r="C84" s="219"/>
      <c r="D84" s="294" t="n">
        <f aca="false">B84</f>
        <v>0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2277.41638666667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189.784698888889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9947.299664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70.2209536587334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10017.5206176587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834.793384804894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834.793384804894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834.793384804894</v>
      </c>
      <c r="B134" s="325" t="n">
        <f aca="false">IF(A111="YES",B95,0)</f>
        <v>0</v>
      </c>
      <c r="C134" s="330"/>
      <c r="D134" s="325" t="n">
        <f aca="false">B97</f>
        <v>834.793384804894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834.793384804894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834.793384804894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834.793384804894</v>
      </c>
      <c r="B143" s="42" t="n">
        <f aca="false">IF(A111="YES",B95,0)</f>
        <v>0</v>
      </c>
      <c r="C143" s="321"/>
      <c r="D143" s="42" t="n">
        <f aca="false">B97</f>
        <v>834.793384804894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100.001666666667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834.793384804894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834.793384804894</v>
      </c>
      <c r="B177" s="362" t="n">
        <f aca="false">IF(A111="YES",B95,0)</f>
        <v>0</v>
      </c>
      <c r="C177" s="365"/>
      <c r="D177" s="362" t="n">
        <f aca="false">B91</f>
        <v>9947.299664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834.793384804894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834.793384804894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834.793384804894</v>
      </c>
      <c r="B186" s="107" t="n">
        <f aca="false">IF(A111="YES",B95,0)</f>
        <v>0</v>
      </c>
      <c r="C186" s="360"/>
      <c r="D186" s="107" t="n">
        <f aca="false">B97</f>
        <v>834.793384804894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100.001666666667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99.9916666666667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1419.48138666667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0</v>
      </c>
      <c r="C223" s="340" t="s">
        <v>229</v>
      </c>
      <c r="D223" s="321"/>
      <c r="E223" s="37" t="n">
        <f aca="false">(B217-B211+D211)</f>
        <v>1419.48138666667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70.2209536587334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36.33</v>
      </c>
      <c r="E32" s="230"/>
      <c r="F32" s="67"/>
      <c r="G32" s="231" t="s">
        <v>253</v>
      </c>
      <c r="H32" s="229" t="str">
        <f aca="false">A41</f>
        <v>36.33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536.33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362</v>
      </c>
      <c r="B41" s="245" t="n">
        <f aca="false">IF(B38="YES",D38+A41,D38)</f>
        <v>536.33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36.33</v>
      </c>
      <c r="I44" s="402" t="n">
        <f aca="false">((A41*(B35-1))+D32)/B35</f>
        <v>36.33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537.33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537.33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47.229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799.891620456277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47.229</v>
      </c>
      <c r="C134" s="330"/>
      <c r="D134" s="325" t="n">
        <f aca="false">B97</f>
        <v>799.891620456277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752.662620456277</v>
      </c>
      <c r="C137" s="321"/>
      <c r="D137" s="42" t="n">
        <f aca="false">IF(A111="YES",B95*B63,0)</f>
        <v>47.229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799.891620456277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47.229</v>
      </c>
      <c r="C143" s="321"/>
      <c r="D143" s="42" t="n">
        <f aca="false">B97</f>
        <v>799.891620456277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8.7192</v>
      </c>
      <c r="H148" s="107" t="n">
        <f aca="false">G108-100</f>
        <v>139.988</v>
      </c>
      <c r="I148" s="107"/>
      <c r="J148" s="107" t="n">
        <f aca="false">(H145+J145+G148+H148)-H151</f>
        <v>1397.56553333333</v>
      </c>
      <c r="K148" s="109"/>
      <c r="L148" s="67"/>
      <c r="M148" s="115" t="n">
        <f aca="false">IF(M111="YES",((A41*N111)*0.1)*(M133),0)</f>
        <v>8.7192</v>
      </c>
      <c r="N148" s="107" t="n">
        <f aca="false">M108-100</f>
        <v>99.99</v>
      </c>
      <c r="O148" s="107"/>
      <c r="P148" s="107" t="n">
        <f aca="false">(N145+P145+M148+N148)-N151</f>
        <v>1357.56753333333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13.0788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513.0788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799.891620456277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47.229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752.662620456277</v>
      </c>
      <c r="C180" s="360"/>
      <c r="D180" s="107" t="n">
        <f aca="false">IF(A111="YES",B95*B63,0)</f>
        <v>47.229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799.891620456277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47.229</v>
      </c>
      <c r="C186" s="360"/>
      <c r="D186" s="107" t="n">
        <f aca="false">B97</f>
        <v>799.891620456277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13.0788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513.0788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470.778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1790.26772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1790.26772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130.788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35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493.90708087626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493.90708087626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25443.3768750692</v>
      </c>
      <c r="N39" s="6" t="n">
        <f aca="false">K39-L39</f>
        <v>-9735.04687506925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-9735.04687506925</v>
      </c>
      <c r="N40" s="6" t="n">
        <f aca="false">N38-N39</f>
        <v>12646.7268750692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30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31.8042210938366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493.90708087626</v>
      </c>
      <c r="L47" s="7" t="n">
        <f aca="false">L49-K42</f>
        <v>800</v>
      </c>
      <c r="M47" s="6" t="n">
        <f aca="false">K47-L47</f>
        <v>-306.09291912374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493.90708087626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493.90708087626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7713.67013001525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2997.23541666667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396.817083333333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493.90708087626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493.90708087626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493.90708087626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493.90708087626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34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28.8995114056174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735.306410608363</v>
      </c>
      <c r="C89" s="97"/>
      <c r="D89" s="97"/>
      <c r="E89" s="117"/>
      <c r="F89" s="35" t="s">
        <v>123</v>
      </c>
      <c r="G89" s="37" t="n">
        <f aca="false">(G88/G87)</f>
        <v>668.150178471691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25000.4179606844</v>
      </c>
      <c r="C90" s="97"/>
      <c r="D90" s="97"/>
      <c r="E90" s="117"/>
      <c r="F90" s="35" t="s">
        <v>124</v>
      </c>
      <c r="G90" s="37" t="n">
        <f aca="false">((G89*(G85))+G77)</f>
        <v>23385.2562465092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25000.4179606844</v>
      </c>
      <c r="C92" s="97"/>
      <c r="D92" s="97"/>
      <c r="E92" s="117"/>
      <c r="F92" s="60" t="s">
        <v>126</v>
      </c>
      <c r="G92" s="69" t="n">
        <f aca="false">(G90+G91)</f>
        <v>23385.2562465092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735.306410608363</v>
      </c>
      <c r="C95" s="97"/>
      <c r="D95" s="97"/>
      <c r="E95" s="117"/>
      <c r="F95" s="99" t="s">
        <v>128</v>
      </c>
      <c r="G95" s="100" t="n">
        <f aca="false">G92/(G85)</f>
        <v>668.150178471691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735.306410608363</v>
      </c>
      <c r="C96" s="97"/>
      <c r="D96" s="97"/>
      <c r="E96" s="117"/>
      <c r="F96" s="101" t="s">
        <v>129</v>
      </c>
      <c r="G96" s="102" t="n">
        <f aca="false">G94+G95</f>
        <v>668.150178471691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735.306410608363</v>
      </c>
      <c r="B167" s="181" t="str">
        <f aca="false">B94</f>
        <v>0</v>
      </c>
      <c r="C167" s="178"/>
      <c r="D167" s="178"/>
      <c r="E167" s="181" t="n">
        <f aca="false">B96</f>
        <v>735.306410608363</v>
      </c>
      <c r="F167" s="27"/>
      <c r="G167" s="27" t="n">
        <f aca="false">ROUND(G95,2)</f>
        <v>668.15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184" t="n">
        <f aca="false">K30</f>
        <v>35000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4485.72837129272</v>
      </c>
      <c r="B182" s="107" t="str">
        <f aca="false">B114</f>
        <v>239.99</v>
      </c>
      <c r="C182" s="107"/>
      <c r="D182" s="27"/>
      <c r="E182" s="107" t="n">
        <f aca="false">E179+A182+B182+A185</f>
        <v>25985.7143712927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2239.99</v>
      </c>
      <c r="C185" s="107"/>
      <c r="D185" s="27"/>
      <c r="E185" s="107" t="n">
        <f aca="false">IF( E170=0 , A185+E167, E170+A185)</f>
        <v>745.306410608363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</v>
      </c>
      <c r="B188" s="107" t="n">
        <f aca="false">(G158*B67)/1.2</f>
        <v>88.54165</v>
      </c>
      <c r="C188" s="97"/>
      <c r="D188" s="97"/>
      <c r="E188" s="107" t="n">
        <f aca="false">(E40*A108)*0.1*C45/100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188.533316666667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735.306410608363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2135.254</v>
      </c>
      <c r="B201" s="190" t="n">
        <f aca="false">E179+A201+B182+A185</f>
        <v>23635.24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735.306410608363</v>
      </c>
      <c r="B212" s="181" t="str">
        <f aca="false">B167</f>
        <v>0</v>
      </c>
      <c r="C212" s="178"/>
      <c r="D212" s="178"/>
      <c r="E212" s="181" t="n">
        <f aca="false">E167</f>
        <v>735.306410608363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4485.72837129272</v>
      </c>
      <c r="B224" s="107" t="str">
        <f aca="false">B182</f>
        <v>239.99</v>
      </c>
      <c r="C224" s="107"/>
      <c r="D224" s="117"/>
      <c r="E224" s="107" t="n">
        <f aca="false">E182</f>
        <v>25985.7143712927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735.306410608363</v>
      </c>
      <c r="B230" s="107" t="str">
        <f aca="false">B167</f>
        <v>0</v>
      </c>
      <c r="C230" s="190"/>
      <c r="D230" s="190"/>
      <c r="E230" s="107" t="n">
        <f aca="false">E167</f>
        <v>735.306410608363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745.306410608363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0</v>
      </c>
      <c r="B236" s="107" t="n">
        <f aca="false">E233+A236</f>
        <v>29.17872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88.54165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2360.47437129272</v>
      </c>
      <c r="C254" s="201"/>
      <c r="D254" s="202" t="s">
        <v>227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2354.21605795939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2360.47437129272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106.24998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2354.21605795939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7.2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6947.68515548187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19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17.082086112366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1243.99302639136</v>
      </c>
      <c r="C89" s="97"/>
      <c r="D89" s="97"/>
      <c r="E89" s="117"/>
      <c r="F89" s="35" t="s">
        <v>123</v>
      </c>
      <c r="G89" s="37" t="n">
        <f aca="false">(G88/G87)</f>
        <v>1128.77628652693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23635.8675014358</v>
      </c>
      <c r="C90" s="97"/>
      <c r="D90" s="97"/>
      <c r="E90" s="117"/>
      <c r="F90" s="35" t="s">
        <v>124</v>
      </c>
      <c r="G90" s="37" t="n">
        <f aca="false">((G89*(G85))+G77)</f>
        <v>22575.5257305387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23635.8675014358</v>
      </c>
      <c r="C92" s="97"/>
      <c r="D92" s="97"/>
      <c r="E92" s="117"/>
      <c r="F92" s="60" t="s">
        <v>126</v>
      </c>
      <c r="G92" s="69" t="n">
        <f aca="false">(G90+G91)</f>
        <v>22575.5257305387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50.7789473684211</v>
      </c>
      <c r="C94" s="97"/>
      <c r="D94" s="97"/>
      <c r="E94" s="117"/>
      <c r="F94" s="93" t="s">
        <v>127</v>
      </c>
      <c r="G94" s="98" t="n">
        <f aca="false">IF(B26="YES",((E40/B85)*(1+A108)*(C45/100)),"0")</f>
        <v>50.7789473684211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1243.99302639136</v>
      </c>
      <c r="C95" s="97"/>
      <c r="D95" s="97"/>
      <c r="E95" s="117"/>
      <c r="F95" s="99" t="s">
        <v>128</v>
      </c>
      <c r="G95" s="100" t="n">
        <f aca="false">G92/(G85)</f>
        <v>1128.77628652693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1294.77197375978</v>
      </c>
      <c r="C96" s="97"/>
      <c r="D96" s="97"/>
      <c r="E96" s="117"/>
      <c r="F96" s="101" t="s">
        <v>129</v>
      </c>
      <c r="G96" s="102" t="n">
        <f aca="false">G94+G95</f>
        <v>1179.55523389536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1243.99302639136</v>
      </c>
      <c r="B167" s="181" t="n">
        <f aca="false">B94</f>
        <v>50.7789473684211</v>
      </c>
      <c r="C167" s="178"/>
      <c r="D167" s="178"/>
      <c r="E167" s="181" t="n">
        <f aca="false">B96</f>
        <v>1294.77197375978</v>
      </c>
      <c r="F167" s="27"/>
      <c r="G167" s="27" t="n">
        <f aca="false">ROUND(G95,2)</f>
        <v>1128.78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184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3680.64347519562</v>
      </c>
      <c r="B182" s="107" t="str">
        <f aca="false">B114</f>
        <v>199.99</v>
      </c>
      <c r="C182" s="107"/>
      <c r="D182" s="27"/>
      <c r="E182" s="107" t="n">
        <f aca="false">E179+A182+(B182*1.2)+A185</f>
        <v>25180.6274751956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2239.988</v>
      </c>
      <c r="C185" s="107"/>
      <c r="D185" s="27"/>
      <c r="E185" s="107" t="n">
        <f aca="false">IF( E170=0 , A185+E167, E170+A185)</f>
        <v>1304.77197375978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88.54165</v>
      </c>
      <c r="C188" s="97"/>
      <c r="D188" s="97"/>
      <c r="E188" s="107" t="n">
        <f aca="false">(E40*A108)*0.1*(C45/100)</f>
        <v>16.08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204.61165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1294.77197375978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1325.604</v>
      </c>
      <c r="B201" s="190" t="n">
        <f aca="false">E179+A201+(B182*1.2)+A185</f>
        <v>22825.588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1243.99302639136</v>
      </c>
      <c r="B212" s="181" t="n">
        <f aca="false">B167</f>
        <v>50.7789473684211</v>
      </c>
      <c r="C212" s="178"/>
      <c r="D212" s="178"/>
      <c r="E212" s="181" t="n">
        <f aca="false">E167</f>
        <v>1294.77197375978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3680.64347519562</v>
      </c>
      <c r="B224" s="107" t="str">
        <f aca="false">B182</f>
        <v>199.99</v>
      </c>
      <c r="C224" s="107"/>
      <c r="D224" s="117"/>
      <c r="E224" s="107" t="n">
        <f aca="false">E182</f>
        <v>25180.6274751956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1243.99302639136</v>
      </c>
      <c r="B230" s="107" t="n">
        <f aca="false">B167</f>
        <v>50.7789473684211</v>
      </c>
      <c r="C230" s="190"/>
      <c r="D230" s="190"/>
      <c r="E230" s="107" t="n">
        <f aca="false">E167</f>
        <v>1294.77197375978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1304.77197375978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88.54165</v>
      </c>
      <c r="C240" s="97"/>
      <c r="D240" s="97"/>
      <c r="E240" s="107" t="n">
        <f aca="false">E188</f>
        <v>16.08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2204.61165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2365.03947519563</v>
      </c>
      <c r="C254" s="201"/>
      <c r="D254" s="202" t="s">
        <v>227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260.79</v>
      </c>
      <c r="C255" s="201"/>
      <c r="D255" s="202" t="s">
        <v>229</v>
      </c>
      <c r="E255" s="202"/>
      <c r="F255" s="204" t="n">
        <f aca="false">(B254-F254)+B255</f>
        <v>2519.57949519563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0.1305</v>
      </c>
      <c r="C260" s="47"/>
      <c r="D260" s="170" t="s">
        <v>226</v>
      </c>
      <c r="E260" s="170"/>
      <c r="F260" s="150" t="n">
        <f aca="false">B254</f>
        <v>2365.03947519563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106.24998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160.8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2519.57949519563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485.027627003226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485.027627003226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25909.1715613066</v>
      </c>
      <c r="N39" s="6" t="n">
        <f aca="false">K39-L39</f>
        <v>-10200.8415613066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-10200.8415613066</v>
      </c>
      <c r="N40" s="6" t="n">
        <f aca="false">N38-N39</f>
        <v>13112.5215613066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485.027627003226</v>
      </c>
      <c r="L47" s="7" t="n">
        <f aca="false">L49-K42</f>
        <v>800</v>
      </c>
      <c r="M47" s="6" t="n">
        <f aca="false">K47-L47</f>
        <v>-314.972372996774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485.027627003226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485.027627003226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7242.14370118854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3039.45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405.26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485.027627003226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485.027627003226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485.027627003226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485.027627003226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36</v>
      </c>
      <c r="C85" s="97"/>
      <c r="D85" s="97"/>
      <c r="E85" s="117"/>
      <c r="F85" s="35" t="s">
        <v>119</v>
      </c>
      <c r="G85" s="37" t="n">
        <f aca="false">IF(G82=0,(B59+B58),(B59))</f>
        <v>36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30.1075050372741</v>
      </c>
      <c r="C87" s="97"/>
      <c r="D87" s="97"/>
      <c r="E87" s="117"/>
      <c r="F87" s="35" t="s">
        <v>121</v>
      </c>
      <c r="G87" s="37" t="n">
        <f aca="false">((1-(1/((1+G84)^G85)))/G84)</f>
        <v>32.3864644516332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705.803950665848</v>
      </c>
      <c r="C89" s="97"/>
      <c r="D89" s="97"/>
      <c r="E89" s="117"/>
      <c r="F89" s="35" t="s">
        <v>123</v>
      </c>
      <c r="G89" s="37" t="n">
        <f aca="false">(G88/G87)</f>
        <v>656.138184880764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25408.9422239705</v>
      </c>
      <c r="C90" s="97"/>
      <c r="D90" s="97"/>
      <c r="E90" s="117"/>
      <c r="F90" s="35" t="s">
        <v>124</v>
      </c>
      <c r="G90" s="37" t="n">
        <f aca="false">((G89*(G85))+G77)</f>
        <v>23620.9746557075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25408.9422239705</v>
      </c>
      <c r="C92" s="97"/>
      <c r="D92" s="97"/>
      <c r="E92" s="117"/>
      <c r="F92" s="60" t="s">
        <v>126</v>
      </c>
      <c r="G92" s="69" t="n">
        <f aca="false">(G90+G91)</f>
        <v>23620.9746557075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705.803950665848</v>
      </c>
      <c r="C95" s="97"/>
      <c r="D95" s="97"/>
      <c r="E95" s="117"/>
      <c r="F95" s="99" t="s">
        <v>128</v>
      </c>
      <c r="G95" s="100" t="n">
        <f aca="false">G92/(G85)</f>
        <v>656.138184880764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705.803950665848</v>
      </c>
      <c r="C96" s="97"/>
      <c r="D96" s="97"/>
      <c r="E96" s="117"/>
      <c r="F96" s="101" t="s">
        <v>129</v>
      </c>
      <c r="G96" s="102" t="n">
        <f aca="false">G94+G95</f>
        <v>656.138184880764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705.803950665848</v>
      </c>
      <c r="B167" s="181" t="str">
        <f aca="false">B94</f>
        <v>0</v>
      </c>
      <c r="C167" s="178"/>
      <c r="D167" s="178"/>
      <c r="E167" s="181" t="n">
        <f aca="false">B96</f>
        <v>705.803950665848</v>
      </c>
      <c r="F167" s="27"/>
      <c r="G167" s="27" t="n">
        <f aca="false">ROUND(G95,2)</f>
        <v>656.14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4158.94622397053</v>
      </c>
      <c r="B182" s="107" t="str">
        <f aca="false">B114</f>
        <v>239.99</v>
      </c>
      <c r="C182" s="107"/>
      <c r="D182" s="27"/>
      <c r="E182" s="107" t="n">
        <f aca="false">E179+A182+B182+A185</f>
        <v>25658.9322239705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 E170=0 , A185+E167, E170+A185)</f>
        <v>715.803950665848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(G158*B67)</f>
        <v>106.24998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206.241646666667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705.803950665848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2371.044</v>
      </c>
      <c r="B201" s="190" t="n">
        <f aca="false">E179+A201+B182+A185</f>
        <v>23871.03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705.803950665848</v>
      </c>
      <c r="B212" s="181" t="str">
        <f aca="false">B167</f>
        <v>0</v>
      </c>
      <c r="C212" s="178"/>
      <c r="D212" s="178"/>
      <c r="E212" s="181" t="n">
        <f aca="false">E167</f>
        <v>705.803950665848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4158.94622397053</v>
      </c>
      <c r="B224" s="107" t="str">
        <f aca="false">B182</f>
        <v>239.99</v>
      </c>
      <c r="C224" s="107"/>
      <c r="D224" s="117"/>
      <c r="E224" s="107" t="n">
        <f aca="false">E182</f>
        <v>25658.9322239705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705.803950665848</v>
      </c>
      <c r="B230" s="107" t="str">
        <f aca="false">B167</f>
        <v>0</v>
      </c>
      <c r="C230" s="190"/>
      <c r="D230" s="190"/>
      <c r="E230" s="107" t="n">
        <f aca="false">E167</f>
        <v>705.803950665848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715.803950665848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88.54165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1797.90222397053</v>
      </c>
      <c r="C254" s="201"/>
      <c r="D254" s="202" t="s">
        <v>227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1791.6439106372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1797.90222397053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106.24998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1791.6439106372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7.2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5883.36730198074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8.75" hidden="false" customHeight="false" outlineLevel="0" collapsed="false">
      <c r="A67" s="35" t="s">
        <v>102</v>
      </c>
      <c r="B67" s="88" t="n">
        <f aca="false">B66+(B66*0.5*(K29/12-1))</f>
        <v>0.00666666666666667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118.055533333333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20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17.8875589092281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1187.97629725972</v>
      </c>
      <c r="C89" s="97"/>
      <c r="D89" s="97"/>
      <c r="E89" s="117"/>
      <c r="F89" s="35" t="s">
        <v>123</v>
      </c>
      <c r="G89" s="37" t="n">
        <f aca="false">(G88/G87)</f>
        <v>1128.77628652693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23759.5259451944</v>
      </c>
      <c r="C90" s="97"/>
      <c r="D90" s="97"/>
      <c r="E90" s="117"/>
      <c r="F90" s="35" t="s">
        <v>124</v>
      </c>
      <c r="G90" s="37" t="n">
        <f aca="false">((G89*(G85))+G77)</f>
        <v>22575.5257305387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23759.5259451944</v>
      </c>
      <c r="C92" s="97"/>
      <c r="D92" s="97"/>
      <c r="E92" s="117"/>
      <c r="F92" s="60" t="s">
        <v>126</v>
      </c>
      <c r="G92" s="69" t="n">
        <f aca="false">(G90+G91)</f>
        <v>22575.5257305387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52.26</v>
      </c>
      <c r="C94" s="97"/>
      <c r="D94" s="97"/>
      <c r="E94" s="117"/>
      <c r="F94" s="93" t="s">
        <v>127</v>
      </c>
      <c r="G94" s="98" t="n">
        <f aca="false">IF(B26="YES",((E40/B85)*(1+A108)*(C45/100)),"0")</f>
        <v>52.26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1187.97629725972</v>
      </c>
      <c r="C95" s="97"/>
      <c r="D95" s="97"/>
      <c r="E95" s="117"/>
      <c r="F95" s="99" t="s">
        <v>128</v>
      </c>
      <c r="G95" s="100" t="n">
        <f aca="false">G92/(G85)</f>
        <v>1128.77628652693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1240.23629725972</v>
      </c>
      <c r="C96" s="97"/>
      <c r="D96" s="97"/>
      <c r="E96" s="117"/>
      <c r="F96" s="101" t="s">
        <v>129</v>
      </c>
      <c r="G96" s="102" t="n">
        <f aca="false">G94+G95</f>
        <v>1181.03628652693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1187.97629725972</v>
      </c>
      <c r="B167" s="181" t="n">
        <f aca="false">B94</f>
        <v>52.26</v>
      </c>
      <c r="C167" s="178"/>
      <c r="D167" s="178"/>
      <c r="E167" s="181" t="n">
        <f aca="false">B96</f>
        <v>1240.23629725972</v>
      </c>
      <c r="F167" s="27"/>
      <c r="G167" s="27" t="n">
        <f aca="false">ROUND(G95,2)</f>
        <v>1128.78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2561.78994519444</v>
      </c>
      <c r="B182" s="107" t="str">
        <f aca="false">B114</f>
        <v>199.99</v>
      </c>
      <c r="C182" s="107"/>
      <c r="D182" s="27"/>
      <c r="E182" s="107" t="n">
        <f aca="false">E179+A182+(B182*1.2)+A185</f>
        <v>24061.7739451944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1250.23629725972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118.055533333333</v>
      </c>
      <c r="C188" s="97"/>
      <c r="D188" s="97"/>
      <c r="E188" s="107" t="n">
        <f aca="false">(E40*A108)*0.1*(C45/100)</f>
        <v>24.12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242.165533333333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1240.23629725972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1325.604</v>
      </c>
      <c r="B201" s="190" t="n">
        <f aca="false">E179+A201+(B182*1.2)+A185</f>
        <v>22825.588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1187.97629725972</v>
      </c>
      <c r="B212" s="181" t="n">
        <f aca="false">B167</f>
        <v>52.26</v>
      </c>
      <c r="C212" s="178"/>
      <c r="D212" s="178"/>
      <c r="E212" s="181" t="n">
        <f aca="false">E167</f>
        <v>1240.23629725972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2561.78994519444</v>
      </c>
      <c r="B224" s="107" t="str">
        <f aca="false">B182</f>
        <v>199.99</v>
      </c>
      <c r="C224" s="107"/>
      <c r="D224" s="117"/>
      <c r="E224" s="107" t="n">
        <f aca="false">E182</f>
        <v>24061.7739451944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1187.97629725972</v>
      </c>
      <c r="B230" s="107" t="n">
        <f aca="false">B167</f>
        <v>52.26</v>
      </c>
      <c r="C230" s="190"/>
      <c r="D230" s="190"/>
      <c r="E230" s="107" t="n">
        <f aca="false">E167</f>
        <v>1240.23629725972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1250.23629725972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118.055533333333</v>
      </c>
      <c r="C240" s="97"/>
      <c r="D240" s="97"/>
      <c r="E240" s="107" t="n">
        <f aca="false">E188</f>
        <v>24.12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2242.16553333334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1246.18594519444</v>
      </c>
      <c r="C254" s="201"/>
      <c r="D254" s="202" t="s">
        <v>227</v>
      </c>
      <c r="E254" s="202"/>
      <c r="F254" s="204" t="n">
        <f aca="false">F261+F267+F269+B270+B271</f>
        <v>141.66664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341.19</v>
      </c>
      <c r="C255" s="201"/>
      <c r="D255" s="202" t="s">
        <v>229</v>
      </c>
      <c r="E255" s="202"/>
      <c r="F255" s="204" t="n">
        <f aca="false">(B254-F254)+B255</f>
        <v>1445.70930519444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0.1305</v>
      </c>
      <c r="C260" s="47"/>
      <c r="D260" s="170" t="s">
        <v>226</v>
      </c>
      <c r="E260" s="170"/>
      <c r="F260" s="150" t="n">
        <f aca="false">B254</f>
        <v>1246.18594519444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0.00666666666666667</v>
      </c>
      <c r="C261" s="36"/>
      <c r="D261" s="170" t="s">
        <v>232</v>
      </c>
      <c r="E261" s="170"/>
      <c r="F261" s="155" t="n">
        <f aca="false">B68*1.2</f>
        <v>141.66664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0.3</v>
      </c>
      <c r="C262" s="36"/>
      <c r="D262" s="170" t="s">
        <v>233</v>
      </c>
      <c r="E262" s="170"/>
      <c r="F262" s="150" t="n">
        <f aca="false">E240*10</f>
        <v>241.2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1445.70930519444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35000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493.90708087626</v>
      </c>
      <c r="E33" s="220"/>
      <c r="F33" s="67"/>
      <c r="G33" s="223" t="s">
        <v>365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493.90708087626</v>
      </c>
      <c r="B36" s="107" t="n">
        <f aca="false">IF(B26="YES",H42,"")</f>
        <v>0</v>
      </c>
      <c r="C36" s="225"/>
      <c r="D36" s="188" t="n">
        <f aca="false">H31</f>
        <v>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44525.9095313712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0</v>
      </c>
      <c r="B40" s="111" t="n">
        <f aca="false">IF(B26="YES",H42,"0")</f>
        <v>0</v>
      </c>
      <c r="C40" s="111"/>
      <c r="D40" s="188" t="n">
        <f aca="false">I32</f>
        <v>0</v>
      </c>
      <c r="E40" s="220"/>
      <c r="F40" s="67"/>
      <c r="G40" s="67" t="s">
        <v>116</v>
      </c>
      <c r="H40" s="242" t="n">
        <f aca="false">A40/1.2</f>
        <v>0</v>
      </c>
      <c r="I40" s="242" t="n">
        <f aca="false">H39-I39</f>
        <v>-28817.5795313712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383</v>
      </c>
      <c r="H45" s="242" t="n">
        <f aca="false">(H39-H44)</f>
        <v>15708.33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31.8042210938366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493.90708087626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493.90708087626</v>
      </c>
      <c r="I48" s="242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493.90708087626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238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22.1428571428571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11441.6666666667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1047.5</v>
      </c>
      <c r="I81" s="219"/>
      <c r="J81" s="219"/>
      <c r="K81" s="220"/>
      <c r="L81" s="67"/>
      <c r="M81" s="307" t="s">
        <v>112</v>
      </c>
      <c r="N81" s="308" t="n">
        <f aca="false">SUM(P64:P80)</f>
        <v>717.5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326.904761904762</v>
      </c>
      <c r="C82" s="479"/>
      <c r="D82" s="219"/>
      <c r="E82" s="472"/>
      <c r="F82" s="67"/>
      <c r="G82" s="218" t="s">
        <v>113</v>
      </c>
      <c r="H82" s="304" t="n">
        <f aca="false">H81/H29</f>
        <v>29.9285714285714</v>
      </c>
      <c r="I82" s="219"/>
      <c r="J82" s="219"/>
      <c r="K82" s="220"/>
      <c r="L82" s="67"/>
      <c r="M82" s="218" t="s">
        <v>113</v>
      </c>
      <c r="N82" s="304" t="n">
        <f aca="false">N81/H29</f>
        <v>20.5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493.90708087626</v>
      </c>
      <c r="C83" s="479"/>
      <c r="D83" s="219"/>
      <c r="E83" s="472" t="n">
        <f aca="false">B83+E80+E77+E64</f>
        <v>814.462636431816</v>
      </c>
      <c r="F83" s="67"/>
      <c r="G83" s="309" t="s">
        <v>114</v>
      </c>
      <c r="H83" s="310" t="n">
        <f aca="false">H47</f>
        <v>493.90708087626</v>
      </c>
      <c r="I83" s="219"/>
      <c r="J83" s="219"/>
      <c r="K83" s="220"/>
      <c r="L83" s="67"/>
      <c r="M83" s="309" t="s">
        <v>114</v>
      </c>
      <c r="N83" s="310" t="n">
        <f aca="false">H47</f>
        <v>493.90708087626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28728.4144973358</v>
      </c>
      <c r="C85" s="479"/>
      <c r="D85" s="479"/>
      <c r="E85" s="472" t="n">
        <f aca="false">B85/(B58+B57)</f>
        <v>820.811842781022</v>
      </c>
      <c r="F85" s="67"/>
      <c r="G85" s="291" t="s">
        <v>124</v>
      </c>
      <c r="H85" s="135" t="n">
        <f aca="false">((H83*H29)+H81)*1.2</f>
        <v>22001.0973968029</v>
      </c>
      <c r="I85" s="219"/>
      <c r="J85" s="219"/>
      <c r="K85" s="220"/>
      <c r="L85" s="67"/>
      <c r="M85" s="291" t="s">
        <v>124</v>
      </c>
      <c r="N85" s="135" t="n">
        <f aca="false">((N83*H29)+N81)</f>
        <v>18004.2478306691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243.362930392921</v>
      </c>
      <c r="C86" s="479" t="s">
        <v>241</v>
      </c>
      <c r="D86" s="219"/>
      <c r="E86" s="472" t="n">
        <f aca="false">B86/(B58+B57)</f>
        <v>6.95322658265489</v>
      </c>
      <c r="F86" s="67"/>
      <c r="G86" s="218" t="s">
        <v>125</v>
      </c>
      <c r="H86" s="304" t="n">
        <f aca="false">((((H83*H29)+H81))/(1-H70))*H70</f>
        <v>155.312305140803</v>
      </c>
      <c r="I86" s="219"/>
      <c r="J86" s="219"/>
      <c r="K86" s="220"/>
      <c r="L86" s="67"/>
      <c r="M86" s="218" t="s">
        <v>125</v>
      </c>
      <c r="N86" s="304" t="n">
        <f aca="false">(N85/(1-N70))*N70</f>
        <v>152.51682309159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28971.7774277287</v>
      </c>
      <c r="C87" s="479"/>
      <c r="D87" s="481"/>
      <c r="E87" s="472" t="n">
        <f aca="false">E86+E85</f>
        <v>827.765069363677</v>
      </c>
      <c r="F87" s="67"/>
      <c r="G87" s="288" t="s">
        <v>126</v>
      </c>
      <c r="H87" s="137" t="n">
        <f aca="false">IF(H110="YES",((H85+H86)-K114),(H85+H86))</f>
        <v>22156.4097019437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18156.7646537607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0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0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0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827.765069363677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553.910242548593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453.919116344018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827.765069363677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553.910242548593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453.919116344018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553.910242548593</v>
      </c>
      <c r="H127" s="181" t="n">
        <f aca="false">IF(G105="YES",H89*H57,0)</f>
        <v>0</v>
      </c>
      <c r="I127" s="181"/>
      <c r="J127" s="338" t="n">
        <f aca="false">H91</f>
        <v>553.910242548593</v>
      </c>
      <c r="K127" s="220"/>
      <c r="L127" s="67"/>
      <c r="M127" s="337" t="n">
        <f aca="false">N90</f>
        <v>453.919116344018</v>
      </c>
      <c r="N127" s="181" t="n">
        <f aca="false">IF(M105="YES",N89*N57,0)</f>
        <v>0</v>
      </c>
      <c r="O127" s="181"/>
      <c r="P127" s="181" t="n">
        <f aca="false">N91</f>
        <v>453.919116344018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827.765069363677</v>
      </c>
      <c r="B128" s="325" t="n">
        <f aca="false">IF(A105="YES",B89,0)</f>
        <v>0</v>
      </c>
      <c r="C128" s="329"/>
      <c r="D128" s="325" t="n">
        <f aca="false">B91</f>
        <v>827.765069363677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827.765069363677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3323.46145529156</v>
      </c>
      <c r="H133" s="107" t="n">
        <f aca="false">IF(G105="YES",H89*H57,0)</f>
        <v>0</v>
      </c>
      <c r="I133" s="225"/>
      <c r="J133" s="188" t="n">
        <f aca="false">H91*H57</f>
        <v>3323.46145529156</v>
      </c>
      <c r="K133" s="220"/>
      <c r="L133" s="67"/>
      <c r="M133" s="189" t="n">
        <f aca="false">N90*N57</f>
        <v>2723.51469806411</v>
      </c>
      <c r="N133" s="107" t="n">
        <f aca="false">IF(M105="YES",N89*N57,0)</f>
        <v>0</v>
      </c>
      <c r="O133" s="225"/>
      <c r="P133" s="188" t="n">
        <f aca="false">N91*N57</f>
        <v>2723.51469806411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827.765069363677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827.765069363677</v>
      </c>
      <c r="B137" s="42" t="n">
        <f aca="false">IF(A105="YES",B89,0)</f>
        <v>0</v>
      </c>
      <c r="C137" s="321"/>
      <c r="D137" s="42" t="n">
        <f aca="false">B91</f>
        <v>827.765069363677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0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0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0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553.910242548593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453.919116344018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827.765069363677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827.765069363677</v>
      </c>
      <c r="B177" s="362" t="n">
        <f aca="false">IF(A105="YES",B89,0)</f>
        <v>0</v>
      </c>
      <c r="C177" s="364"/>
      <c r="D177" s="362" t="n">
        <f aca="false">B91</f>
        <v>827.765069363677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827.765069363677</v>
      </c>
      <c r="C180" s="360"/>
      <c r="D180" s="107" t="n">
        <f aca="false">IF(A105="YES",B89*B57,0)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827.765069363677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827.765069363677</v>
      </c>
      <c r="B186" s="107" t="n">
        <f aca="false">IF(A105="YES",B89,0)</f>
        <v>0</v>
      </c>
      <c r="C186" s="360"/>
      <c r="D186" s="107" t="n">
        <f aca="false">B91</f>
        <v>827.765069363677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10339.98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10339.98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243.362930392921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37.0571839469512</v>
      </c>
      <c r="E33" s="220"/>
      <c r="F33" s="67"/>
      <c r="G33" s="223" t="s">
        <v>365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-12.9428160530488</v>
      </c>
      <c r="B36" s="107" t="n">
        <f aca="false">IF(B26="YES",H42,"")</f>
        <v>50</v>
      </c>
      <c r="C36" s="225"/>
      <c r="D36" s="188" t="n">
        <f aca="false">H31</f>
        <v>80000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59849.2290617109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24000</v>
      </c>
      <c r="B40" s="111" t="n">
        <f aca="false">IF(B26="YES",H42,"0")</f>
        <v>50</v>
      </c>
      <c r="C40" s="111"/>
      <c r="D40" s="188" t="n">
        <f aca="false">I32</f>
        <v>6000</v>
      </c>
      <c r="E40" s="220"/>
      <c r="F40" s="67"/>
      <c r="G40" s="67" t="s">
        <v>116</v>
      </c>
      <c r="H40" s="242" t="n">
        <f aca="false">A40/1.2</f>
        <v>20000</v>
      </c>
      <c r="I40" s="242" t="n">
        <f aca="false">H39-I39</f>
        <v>-44140.8990617109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16127.5020520061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383</v>
      </c>
      <c r="H45" s="242" t="n">
        <f aca="false">(H39-H44)</f>
        <v>-419.172052006092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-12.9428160530488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37.0571839469512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37.0571839469512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275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847.916666666667</v>
      </c>
      <c r="C76" s="219"/>
      <c r="D76" s="294" t="n">
        <f aca="false">B76</f>
        <v>847.916666666667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45.2199074074074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12294.5833333333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341.516203703704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-12.9428160530488</v>
      </c>
      <c r="C83" s="479"/>
      <c r="D83" s="219"/>
      <c r="E83" s="472" t="n">
        <f aca="false">B83+E80+E77+E64</f>
        <v>322.400548144482</v>
      </c>
      <c r="F83" s="67"/>
      <c r="G83" s="309" t="s">
        <v>114</v>
      </c>
      <c r="H83" s="310" t="n">
        <f aca="false">H47</f>
        <v>-12.9428160530488</v>
      </c>
      <c r="I83" s="219"/>
      <c r="J83" s="219"/>
      <c r="K83" s="220"/>
      <c r="L83" s="67"/>
      <c r="M83" s="309" t="s">
        <v>114</v>
      </c>
      <c r="N83" s="310" t="n">
        <f aca="false">H47</f>
        <v>-12.9428160530488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14194.3703465083</v>
      </c>
      <c r="C85" s="479"/>
      <c r="D85" s="479"/>
      <c r="E85" s="472" t="n">
        <f aca="false">B85/(B58+B57)</f>
        <v>394.288065180786</v>
      </c>
      <c r="F85" s="67"/>
      <c r="G85" s="291" t="s">
        <v>124</v>
      </c>
      <c r="H85" s="135" t="n">
        <f aca="false">((H83*H29)+H81)*1.2</f>
        <v>719.770346508293</v>
      </c>
      <c r="I85" s="219"/>
      <c r="J85" s="219"/>
      <c r="K85" s="220"/>
      <c r="L85" s="67"/>
      <c r="M85" s="291" t="s">
        <v>124</v>
      </c>
      <c r="N85" s="135" t="n">
        <f aca="false">((N83*H29)+N81)</f>
        <v>256.058622090244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100.202291675633</v>
      </c>
      <c r="C86" s="479" t="s">
        <v>241</v>
      </c>
      <c r="D86" s="219"/>
      <c r="E86" s="472" t="n">
        <f aca="false">B86/(B58+B57)</f>
        <v>2.78339699098982</v>
      </c>
      <c r="F86" s="67"/>
      <c r="G86" s="218" t="s">
        <v>125</v>
      </c>
      <c r="H86" s="304" t="n">
        <f aca="false">((((H83*H29)+H81))/(1-H70))*H70</f>
        <v>5.08107344247484</v>
      </c>
      <c r="I86" s="219"/>
      <c r="J86" s="219"/>
      <c r="K86" s="220"/>
      <c r="L86" s="67"/>
      <c r="M86" s="218" t="s">
        <v>125</v>
      </c>
      <c r="N86" s="304" t="n">
        <f aca="false">(N85/(1-N70))*N70</f>
        <v>2.16911297454422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14294.5726381839</v>
      </c>
      <c r="C87" s="479"/>
      <c r="D87" s="481"/>
      <c r="E87" s="472" t="n">
        <f aca="false">E86+E85</f>
        <v>397.071462171776</v>
      </c>
      <c r="F87" s="67"/>
      <c r="G87" s="288" t="s">
        <v>126</v>
      </c>
      <c r="H87" s="137" t="n">
        <f aca="false">IF(H110="YES",((H85+H86)-K114),(H85+H86))</f>
        <v>724.851419950768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258.227735064788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78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210.731707317073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175.609756097561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397.071462171776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17.6793029256285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6.29823744060459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475.071462171776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228.411010242702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181.907993538166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(E118)+E117-E114</f>
        <v>1239.99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17.6793029256285</v>
      </c>
      <c r="H127" s="181" t="n">
        <f aca="false">IF(G105="YES",H89*H57,0)</f>
        <v>1264.39024390244</v>
      </c>
      <c r="I127" s="181"/>
      <c r="J127" s="338" t="n">
        <f aca="false">H91</f>
        <v>228.411010242702</v>
      </c>
      <c r="K127" s="220"/>
      <c r="L127" s="67"/>
      <c r="M127" s="337" t="n">
        <f aca="false">N90</f>
        <v>6.29823744060459</v>
      </c>
      <c r="N127" s="181" t="n">
        <f aca="false">IF(M105="YES",N89*N57,0)</f>
        <v>1053.65853658537</v>
      </c>
      <c r="O127" s="181"/>
      <c r="P127" s="181" t="n">
        <f aca="false">N91</f>
        <v>181.907993538166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397.071462171776</v>
      </c>
      <c r="B128" s="325" t="n">
        <f aca="false">IF(A105="YES",B89,0)</f>
        <v>78</v>
      </c>
      <c r="C128" s="329"/>
      <c r="D128" s="325" t="n">
        <f aca="false">B91</f>
        <v>475.071462171776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397.071462171776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106.075817553771</v>
      </c>
      <c r="H133" s="107" t="n">
        <f aca="false">IF(G105="YES",H89*H57,0)</f>
        <v>1264.39024390244</v>
      </c>
      <c r="I133" s="225"/>
      <c r="J133" s="188" t="n">
        <f aca="false">H91*H57</f>
        <v>1370.46606145621</v>
      </c>
      <c r="K133" s="220"/>
      <c r="L133" s="67"/>
      <c r="M133" s="189" t="n">
        <f aca="false">N90*N57</f>
        <v>37.7894246436276</v>
      </c>
      <c r="N133" s="107" t="n">
        <f aca="false">IF(M105="YES",N89*N57,0)</f>
        <v>1053.65853658537</v>
      </c>
      <c r="O133" s="225"/>
      <c r="P133" s="188" t="n">
        <f aca="false">N91*N57</f>
        <v>1091.44796122899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475.071462171776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397.071462171776</v>
      </c>
      <c r="B137" s="42" t="n">
        <f aca="false">IF(A105="YES",B89,0)</f>
        <v>78</v>
      </c>
      <c r="C137" s="321"/>
      <c r="D137" s="42" t="n">
        <f aca="false">B91</f>
        <v>475.071462171776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29.17872</v>
      </c>
      <c r="B140" s="347" t="n">
        <f aca="false">IF(A105="YES",B61*0.000002,0)*1.2*100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554.001666666667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228.411010242702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181.907993538166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475.071462171776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397.071462171776</v>
      </c>
      <c r="B177" s="362" t="n">
        <f aca="false">IF(A105="YES",B89,0)</f>
        <v>78</v>
      </c>
      <c r="C177" s="364"/>
      <c r="D177" s="362" t="n">
        <f aca="false">B91</f>
        <v>475.071462171776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397.071462171776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475.071462171776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397.071462171776</v>
      </c>
      <c r="B186" s="107" t="n">
        <f aca="false">IF(A105="YES",B89,0)</f>
        <v>78</v>
      </c>
      <c r="C186" s="360"/>
      <c r="D186" s="107" t="n">
        <f aca="false">B91</f>
        <v>475.071462171776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29.17872</v>
      </c>
      <c r="B189" s="372" t="n">
        <f aca="false">B140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554.001666666667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10879.9816666667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10879.9816666667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100.202291675633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15541.67</v>
      </c>
      <c r="C2" s="9" t="s">
        <v>12</v>
      </c>
      <c r="D2" s="10" t="n">
        <f aca="false">C9</f>
        <v>3108.334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18650.004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15541.67</v>
      </c>
      <c r="C9" s="14" t="n">
        <f aca="false">B9*0.2</f>
        <v>3108.334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15541.67</v>
      </c>
      <c r="C15" s="14" t="n">
        <f aca="false">SUM(C9:C13)</f>
        <v>3108.334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18650.004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15541.67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 t="n">
        <v>35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35000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 t="n">
        <v>80000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31.9112069833684</v>
      </c>
      <c r="E33" s="220"/>
      <c r="F33" s="67"/>
      <c r="G33" s="223" t="s">
        <v>365</v>
      </c>
      <c r="H33" s="466" t="n">
        <f aca="false">E21-E11</f>
        <v>15541.67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-18.0887930166316</v>
      </c>
      <c r="B36" s="107" t="n">
        <f aca="false">IF(B26="YES",H42,"")</f>
        <v>50</v>
      </c>
      <c r="C36" s="225"/>
      <c r="D36" s="188" t="n">
        <f aca="false">H31</f>
        <v>80000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15541.67</v>
      </c>
      <c r="I39" s="242" t="n">
        <f aca="false">(I48*H46)+H44</f>
        <v>59849.2290617109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24000</v>
      </c>
      <c r="B40" s="111" t="n">
        <f aca="false">IF(B26="YES",H42,"0")</f>
        <v>50</v>
      </c>
      <c r="C40" s="111"/>
      <c r="D40" s="188" t="n">
        <f aca="false">I32</f>
        <v>6000</v>
      </c>
      <c r="E40" s="220"/>
      <c r="F40" s="67"/>
      <c r="G40" s="67" t="s">
        <v>116</v>
      </c>
      <c r="H40" s="242" t="n">
        <f aca="false">A40/1.2</f>
        <v>20000</v>
      </c>
      <c r="I40" s="242" t="n">
        <f aca="false">H39-I39</f>
        <v>-44307.5590617109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16127.5020520061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383</v>
      </c>
      <c r="H45" s="242" t="n">
        <f aca="false">(H39-H44)</f>
        <v>-585.832052006092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-18.0887930166316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31.9112069833684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31.9112069833684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18650.004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275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847.916666666667</v>
      </c>
      <c r="C76" s="219"/>
      <c r="D76" s="294" t="n">
        <f aca="false">B76</f>
        <v>847.916666666667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45.2199074074074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12294.5833333333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341.516203703704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-18.0887930166316</v>
      </c>
      <c r="C83" s="479"/>
      <c r="D83" s="219"/>
      <c r="E83" s="472" t="n">
        <f aca="false">B83+E80+E77+E64</f>
        <v>317.254571180899</v>
      </c>
      <c r="F83" s="67"/>
      <c r="G83" s="309" t="s">
        <v>114</v>
      </c>
      <c r="H83" s="310" t="n">
        <f aca="false">H47</f>
        <v>-18.0887930166316</v>
      </c>
      <c r="I83" s="219"/>
      <c r="J83" s="219"/>
      <c r="K83" s="220"/>
      <c r="L83" s="67"/>
      <c r="M83" s="309" t="s">
        <v>114</v>
      </c>
      <c r="N83" s="310" t="n">
        <f aca="false">H47</f>
        <v>-18.0887930166316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11643.3867847346</v>
      </c>
      <c r="C85" s="479"/>
      <c r="D85" s="479"/>
      <c r="E85" s="472" t="n">
        <f aca="false">B85/(B58+B57)</f>
        <v>323.427410687072</v>
      </c>
      <c r="F85" s="67"/>
      <c r="G85" s="291" t="s">
        <v>124</v>
      </c>
      <c r="H85" s="135" t="n">
        <f aca="false">((H83*H29)+H81)*1.2</f>
        <v>497.464141681513</v>
      </c>
      <c r="I85" s="219"/>
      <c r="J85" s="219"/>
      <c r="K85" s="220"/>
      <c r="L85" s="67"/>
      <c r="M85" s="291" t="s">
        <v>124</v>
      </c>
      <c r="N85" s="135" t="n">
        <f aca="false">((N83*H29)+N81)</f>
        <v>70.8034514012609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98.6329659053758</v>
      </c>
      <c r="C86" s="479" t="s">
        <v>241</v>
      </c>
      <c r="D86" s="219"/>
      <c r="E86" s="472" t="n">
        <f aca="false">B86/(B58+B57)</f>
        <v>2.73980460848266</v>
      </c>
      <c r="F86" s="67"/>
      <c r="G86" s="218" t="s">
        <v>125</v>
      </c>
      <c r="H86" s="304" t="n">
        <f aca="false">((((H83*H29)+H81))/(1-H70))*H70</f>
        <v>3.51174767221722</v>
      </c>
      <c r="I86" s="219"/>
      <c r="J86" s="219"/>
      <c r="K86" s="220"/>
      <c r="L86" s="67"/>
      <c r="M86" s="218" t="s">
        <v>125</v>
      </c>
      <c r="N86" s="304" t="n">
        <f aca="false">(N85/(1-N70))*N70</f>
        <v>0.599787204286599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11742.01975064</v>
      </c>
      <c r="C87" s="479"/>
      <c r="D87" s="481"/>
      <c r="E87" s="472" t="n">
        <f aca="false">E86+E85</f>
        <v>326.167215295555</v>
      </c>
      <c r="F87" s="67"/>
      <c r="G87" s="288" t="s">
        <v>126</v>
      </c>
      <c r="H87" s="137" t="n">
        <f aca="false">IF(H110="YES",((H85+H86)-K114),(H85+H86))</f>
        <v>500.97588935373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71.4032386055475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65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210.731707317073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175.609756097561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326.167215295555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12.2189241305788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1.74154240501335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391.167215295555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222.950631447652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177.351298502574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12.2189241305788</v>
      </c>
      <c r="H127" s="181" t="n">
        <f aca="false">IF(G105="YES",H89*H57,0)</f>
        <v>1264.39024390244</v>
      </c>
      <c r="I127" s="181"/>
      <c r="J127" s="338" t="n">
        <f aca="false">H91</f>
        <v>222.950631447652</v>
      </c>
      <c r="K127" s="220"/>
      <c r="L127" s="67"/>
      <c r="M127" s="337" t="n">
        <f aca="false">N90</f>
        <v>1.74154240501335</v>
      </c>
      <c r="N127" s="181" t="n">
        <f aca="false">IF(M105="YES",N89*N57,0)</f>
        <v>1053.65853658537</v>
      </c>
      <c r="O127" s="181"/>
      <c r="P127" s="181" t="n">
        <f aca="false">N91</f>
        <v>177.351298502574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326.167215295555</v>
      </c>
      <c r="B128" s="325" t="n">
        <f aca="false">IF(A105="YES",B89,0)</f>
        <v>65</v>
      </c>
      <c r="C128" s="329"/>
      <c r="D128" s="325" t="n">
        <f aca="false">B91</f>
        <v>391.167215295555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326.167215295555</v>
      </c>
      <c r="C131" s="321"/>
      <c r="D131" s="42" t="n">
        <f aca="false">IF(A105="YES",B89*B57,0)</f>
        <v>65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73.3135447834727</v>
      </c>
      <c r="H133" s="107" t="n">
        <f aca="false">IF(G105="YES",H89*H57,0)</f>
        <v>1264.39024390244</v>
      </c>
      <c r="I133" s="225"/>
      <c r="J133" s="188" t="n">
        <f aca="false">H91*H57</f>
        <v>1337.70378868591</v>
      </c>
      <c r="K133" s="220"/>
      <c r="L133" s="67"/>
      <c r="M133" s="189" t="n">
        <f aca="false">N90*N57</f>
        <v>10.4492544300801</v>
      </c>
      <c r="N133" s="107" t="n">
        <f aca="false">IF(M105="YES",N89*N57,0)</f>
        <v>1053.65853658537</v>
      </c>
      <c r="O133" s="225"/>
      <c r="P133" s="188" t="n">
        <f aca="false">N91*N57</f>
        <v>1064.10779101545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391.167215295555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326.167215295555</v>
      </c>
      <c r="B137" s="42" t="n">
        <f aca="false">IF(A105="YES",B89,0)</f>
        <v>65</v>
      </c>
      <c r="C137" s="321"/>
      <c r="D137" s="42" t="n">
        <f aca="false">B91</f>
        <v>391.167215295555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753.99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222.950631447652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177.351298502574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391.167215295555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326.167215295555</v>
      </c>
      <c r="B177" s="362" t="n">
        <f aca="false">IF(A105="YES",B89,0)</f>
        <v>65</v>
      </c>
      <c r="C177" s="364"/>
      <c r="D177" s="362" t="n">
        <f aca="false">B91</f>
        <v>391.167215295555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326.167215295555</v>
      </c>
      <c r="C180" s="360"/>
      <c r="D180" s="107" t="n">
        <f aca="false">IF(A105="YES",B89*B57,0)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391.167215295555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326.167215295555</v>
      </c>
      <c r="B186" s="107" t="n">
        <f aca="false">IF(A105="YES",B89,0)</f>
        <v>65</v>
      </c>
      <c r="C186" s="360"/>
      <c r="D186" s="107" t="n">
        <f aca="false">B91</f>
        <v>391.167215295555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753.99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200</v>
      </c>
      <c r="C211" s="324" t="s">
        <v>228</v>
      </c>
      <c r="D211" s="379" t="n">
        <f aca="false">B225+E221+B221+B223</f>
        <v>879.99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10679.99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200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10679.99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98.6329659053758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2.47" collapsed="false" outlineLevel="0"/>
    <col min="14" max="14" customWidth="true" hidden="false" style="6" width="20.93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54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333.333333333333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336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259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336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124.75002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336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336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336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1565.20030261575</v>
      </c>
      <c r="C105" s="36"/>
      <c r="D105" s="36"/>
      <c r="E105" s="27" t="s">
        <v>27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0.3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19791.67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1200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24950.004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85.0909090909091</v>
      </c>
      <c r="C176" s="178"/>
      <c r="D176" s="178"/>
      <c r="E176" s="181" t="n">
        <f aca="false">B105</f>
        <v>1565.20030261575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7.3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24950.004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-2668.80067122677</v>
      </c>
      <c r="B191" s="107" t="str">
        <f aca="false">B123</f>
        <v>239.99</v>
      </c>
      <c r="C191" s="107"/>
      <c r="D191" s="27"/>
      <c r="E191" s="107" t="n">
        <f aca="false">E188+A191+B191+A194</f>
        <v>22531.1933287732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8.97696</v>
      </c>
      <c r="B197" s="107" t="n">
        <f aca="false">(G167*B76)/1.2</f>
        <v>103.95835</v>
      </c>
      <c r="C197" s="97"/>
      <c r="D197" s="97"/>
      <c r="E197" s="107" t="n">
        <f aca="false">K55*A117*0.1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221.950016666667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1565.20030261575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-3482.244</v>
      </c>
      <c r="B210" s="190" t="n">
        <f aca="false">E188+A210+B191+A194</f>
        <v>21717.75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85.0909090909091</v>
      </c>
      <c r="C221" s="178"/>
      <c r="D221" s="178"/>
      <c r="E221" s="181" t="n">
        <f aca="false">E176</f>
        <v>1565.20030261575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24950.004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-2668.80067122677</v>
      </c>
      <c r="B233" s="107" t="str">
        <f aca="false">B191</f>
        <v>239.99</v>
      </c>
      <c r="C233" s="107"/>
      <c r="D233" s="117"/>
      <c r="E233" s="107" t="n">
        <f aca="false">E191</f>
        <v>22531.1933287732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85.0909090909091</v>
      </c>
      <c r="C239" s="190"/>
      <c r="D239" s="190"/>
      <c r="E239" s="107" t="n">
        <f aca="false">E176</f>
        <v>1565.20030261575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26.93088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8.97696</v>
      </c>
      <c r="B245" s="107" t="n">
        <f aca="false">E242+A245</f>
        <v>35.90784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103.95835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2013.62001666666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3" t="n">
        <f aca="false">(E191-B191)-(B210-B191-A194)</f>
        <v>823.443328773228</v>
      </c>
      <c r="C263" s="201"/>
      <c r="D263" s="202" t="s">
        <v>227</v>
      </c>
      <c r="E263" s="202"/>
      <c r="F263" s="204" t="n">
        <f aca="false">F270+F276+F278+B279+B280</f>
        <v>124.75002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279.991666666667</v>
      </c>
      <c r="C264" s="201"/>
      <c r="D264" s="202" t="s">
        <v>229</v>
      </c>
      <c r="E264" s="202"/>
      <c r="F264" s="204" t="n">
        <f aca="false">(B263-F263)+B264</f>
        <v>978.684975439895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124.75002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0.3</v>
      </c>
      <c r="C271" s="36"/>
      <c r="D271" s="170" t="s">
        <v>233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99.9916666666667</v>
      </c>
      <c r="C272" s="36"/>
      <c r="D272" s="43" t="s">
        <v>229</v>
      </c>
      <c r="E272" s="43"/>
      <c r="F272" s="150" t="n">
        <f aca="false">(B263-F263)+B264</f>
        <v>978.684975439895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4.24" collapsed="false" outlineLevel="0"/>
    <col min="14" max="14" customWidth="true" hidden="false" style="6" width="16.72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54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283.333333333333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286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259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286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124.75002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286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286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286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1480.10939352484</v>
      </c>
      <c r="C105" s="36"/>
      <c r="D105" s="36"/>
      <c r="E105" s="27" t="s">
        <v>27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245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245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19791.67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1200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24950.004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0</v>
      </c>
      <c r="C176" s="178"/>
      <c r="D176" s="178"/>
      <c r="E176" s="181" t="n">
        <f aca="false">B105</f>
        <v>1480.10939352484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7.3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24950.004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-2668.80067122677</v>
      </c>
      <c r="B191" s="107" t="str">
        <f aca="false">B123</f>
        <v>199.99</v>
      </c>
      <c r="C191" s="107"/>
      <c r="D191" s="27"/>
      <c r="E191" s="107" t="n">
        <f aca="false">E188+A191+(B191*1.2)+A194</f>
        <v>22531.1913287732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7.4808</v>
      </c>
      <c r="B197" s="107" t="n">
        <f aca="false">(G167*B76)/1.2</f>
        <v>103.95835</v>
      </c>
      <c r="C197" s="97"/>
      <c r="D197" s="97"/>
      <c r="E197" s="107" t="n">
        <f aca="false">K55*A117*0.1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203.94835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1480.10939352484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-3482.244</v>
      </c>
      <c r="B210" s="190" t="n">
        <f aca="false">E188+A210+(B191*1.2)+A194</f>
        <v>21717.748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0</v>
      </c>
      <c r="C221" s="178"/>
      <c r="D221" s="178"/>
      <c r="E221" s="181" t="n">
        <f aca="false">E176</f>
        <v>1480.10939352484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24950.004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-2668.80067122677</v>
      </c>
      <c r="B233" s="107" t="str">
        <f aca="false">B191</f>
        <v>199.99</v>
      </c>
      <c r="C233" s="107"/>
      <c r="D233" s="117"/>
      <c r="E233" s="107" t="n">
        <f aca="false">E191</f>
        <v>22531.1913287732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0</v>
      </c>
      <c r="C239" s="190"/>
      <c r="D239" s="190"/>
      <c r="E239" s="107" t="n">
        <f aca="false">E176</f>
        <v>1480.10939352484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22.4424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7.4808</v>
      </c>
      <c r="B245" s="107" t="n">
        <f aca="false">E242+A245</f>
        <v>29.9232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103.95835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1995.61835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4" t="n">
        <f aca="false">(E191-B191)-(B210-B191-A194)</f>
        <v>823.443328773228</v>
      </c>
      <c r="C263" s="201"/>
      <c r="D263" s="202" t="s">
        <v>227</v>
      </c>
      <c r="E263" s="202"/>
      <c r="F263" s="204" t="n">
        <f aca="false">F270+F276+F278+B279+B280</f>
        <v>124.75002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99.99</v>
      </c>
      <c r="C264" s="201"/>
      <c r="D264" s="202" t="s">
        <v>229</v>
      </c>
      <c r="E264" s="202"/>
      <c r="F264" s="204" t="n">
        <f aca="false">(B263-F263)+B264</f>
        <v>798.683308773228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124.75002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</v>
      </c>
      <c r="C272" s="36"/>
      <c r="D272" s="43" t="s">
        <v>229</v>
      </c>
      <c r="E272" s="43"/>
      <c r="F272" s="150" t="n">
        <f aca="false">(B263-F263)+B264</f>
        <v>798.683308773228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389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258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18410.7869299442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16220.1467407538</v>
      </c>
      <c r="C88" s="97" t="n">
        <f aca="false">B81-B86</f>
        <v>16220.1467407538</v>
      </c>
      <c r="D88" s="97"/>
      <c r="E88" s="117"/>
      <c r="F88" s="35" t="s">
        <v>122</v>
      </c>
      <c r="G88" s="37" t="n">
        <f aca="false">G81-G86</f>
        <v>15579.689207262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590.973455197119</v>
      </c>
      <c r="C89" s="97" t="n">
        <f aca="false">(B88/B87)</f>
        <v>590.973455197119</v>
      </c>
      <c r="D89" s="97"/>
      <c r="E89" s="117"/>
      <c r="F89" s="35" t="s">
        <v>123</v>
      </c>
      <c r="G89" s="37" t="n">
        <f aca="false">(G88/G87)</f>
        <v>531.592757536213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18911.1505663078</v>
      </c>
      <c r="C90" s="97"/>
      <c r="D90" s="97"/>
      <c r="E90" s="117"/>
      <c r="F90" s="35" t="s">
        <v>124</v>
      </c>
      <c r="G90" s="37" t="n">
        <f aca="false">((G89*(G85))+G77)</f>
        <v>17010.9682411588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18911.1505663078</v>
      </c>
      <c r="C92" s="97"/>
      <c r="D92" s="97"/>
      <c r="E92" s="117"/>
      <c r="F92" s="60" t="s">
        <v>126</v>
      </c>
      <c r="G92" s="69" t="n">
        <f aca="false">(G90+G91)</f>
        <v>17010.9682411588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590.973455197119</v>
      </c>
      <c r="C95" s="97"/>
      <c r="D95" s="97"/>
      <c r="E95" s="117"/>
      <c r="F95" s="99" t="s">
        <v>128</v>
      </c>
      <c r="G95" s="100" t="n">
        <f aca="false">G92/(G85)</f>
        <v>531.592757536213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590.973455197119</v>
      </c>
      <c r="C96" s="97"/>
      <c r="D96" s="97"/>
      <c r="E96" s="117"/>
      <c r="F96" s="101" t="s">
        <v>129</v>
      </c>
      <c r="G96" s="102" t="n">
        <f aca="false">G94+G95</f>
        <v>531.592757536213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1200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590.973455197119</v>
      </c>
      <c r="B167" s="181" t="str">
        <f aca="false">B94</f>
        <v>0</v>
      </c>
      <c r="C167" s="178"/>
      <c r="D167" s="178"/>
      <c r="E167" s="181" t="n">
        <f aca="false">B96</f>
        <v>590.973455197119</v>
      </c>
      <c r="F167" s="27"/>
      <c r="G167" s="27" t="n">
        <f aca="false">ROUND(G95,2)</f>
        <v>531.59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-38.8534336921875</v>
      </c>
      <c r="B182" s="107" t="str">
        <f aca="false">B114</f>
        <v>239.99</v>
      </c>
      <c r="C182" s="107"/>
      <c r="D182" s="27"/>
      <c r="E182" s="107" t="n">
        <f aca="false">E179+A182+B182+A185</f>
        <v>25161.1405663078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203.950016666667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590.973455197119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-1939.124</v>
      </c>
      <c r="B201" s="190" t="n">
        <f aca="false">E179+A201+B182+A185</f>
        <v>23260.87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590.973455197119</v>
      </c>
      <c r="B212" s="181" t="str">
        <f aca="false">B167</f>
        <v>0</v>
      </c>
      <c r="C212" s="178"/>
      <c r="D212" s="178"/>
      <c r="E212" s="181" t="n">
        <f aca="false">E167</f>
        <v>590.973455197119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-38.8534336921875</v>
      </c>
      <c r="B224" s="107" t="str">
        <f aca="false">B182</f>
        <v>239.99</v>
      </c>
      <c r="C224" s="107"/>
      <c r="D224" s="117"/>
      <c r="E224" s="107" t="n">
        <f aca="false">E182</f>
        <v>25161.1405663078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590.973455197119</v>
      </c>
      <c r="B230" s="107" t="str">
        <f aca="false">B167</f>
        <v>0</v>
      </c>
      <c r="C230" s="190"/>
      <c r="D230" s="190"/>
      <c r="E230" s="107" t="n">
        <f aca="false">E167</f>
        <v>590.973455197119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26.93088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8.97696</v>
      </c>
      <c r="B236" s="107" t="n">
        <f aca="false">E233+A236</f>
        <v>35.90784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1995.62001666666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1910.27056630781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1885.51221297448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1910.27056630781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1885.51221297448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389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259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245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1200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1480.10939352484</v>
      </c>
      <c r="B167" s="181" t="n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-2668.80067122677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203.94835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-3482.244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n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-2668.80067122677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n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22.4424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7.4808</v>
      </c>
      <c r="B236" s="107" t="n">
        <f aca="false">E233+A236</f>
        <v>29.9232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1995.61835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823.443328773228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798.683308773228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798.683308773228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389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281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1200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-2668.80067122677</v>
      </c>
      <c r="B182" s="107" t="str">
        <f aca="false">B114</f>
        <v>239.99</v>
      </c>
      <c r="C182" s="107"/>
      <c r="D182" s="27"/>
      <c r="E182" s="107" t="n">
        <f aca="false">E179+A182+B182+A185</f>
        <v>22531.1933287732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203.950016666667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-3482.244</v>
      </c>
      <c r="B201" s="190" t="n">
        <f aca="false">E179+A201+B182+A185</f>
        <v>21717.75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-2668.80067122677</v>
      </c>
      <c r="B224" s="107" t="str">
        <f aca="false">B182</f>
        <v>239.99</v>
      </c>
      <c r="C224" s="107"/>
      <c r="D224" s="117"/>
      <c r="E224" s="107" t="n">
        <f aca="false">E182</f>
        <v>22531.1933287732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8.97696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1995.62001666666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823.443328773228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798.684975439895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798.684975439895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267" t="s">
        <v>389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1200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-2668.80067122677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203.94835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-3482.244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7.35" hidden="false" customHeight="false" outlineLevel="0" collapsed="false">
      <c r="A224" s="115" t="n">
        <f aca="false">A182</f>
        <v>-2668.80067122677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7.4808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1995.61835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823.443328773228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798.683308773228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798.683308773228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54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343</v>
      </c>
      <c r="B41" s="108" t="s">
        <v>344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344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345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348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286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160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4.5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54</v>
      </c>
      <c r="C79" s="321"/>
      <c r="D79" s="36" t="n">
        <f aca="false">B79+B77</f>
        <v>214</v>
      </c>
      <c r="E79" s="395" t="n">
        <f aca="false">D79+D85+D86</f>
        <v>614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180</v>
      </c>
      <c r="C80" s="321"/>
      <c r="D80" s="321"/>
      <c r="E80" s="395" t="n">
        <f aca="false">E79+D82</f>
        <v>809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</v>
      </c>
      <c r="C81" s="321"/>
      <c r="D81" s="321"/>
      <c r="E81" s="322" t="n">
        <f aca="false">E80/12</f>
        <v>67.4166666666667</v>
      </c>
      <c r="F81" s="396"/>
      <c r="G81" s="409" t="s">
        <v>289</v>
      </c>
      <c r="H81" s="81" t="n">
        <f aca="false">IF(G18&gt;40000,325,0)</f>
        <v>0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195</v>
      </c>
      <c r="C82" s="321"/>
      <c r="D82" s="36" t="n">
        <f aca="false">IF(A50="YES",0,B82)</f>
        <v>195</v>
      </c>
      <c r="E82" s="322"/>
      <c r="F82" s="396"/>
      <c r="G82" s="375" t="s">
        <v>290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300</v>
      </c>
      <c r="C85" s="321"/>
      <c r="D85" s="36" t="n">
        <f aca="false">B85</f>
        <v>300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100</v>
      </c>
      <c r="C86" s="321"/>
      <c r="D86" s="36" t="n">
        <f aca="false">B86</f>
        <v>100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4093.94666666667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341.162222222222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9031.136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63.7534812424365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9094.88948124244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757.907456770203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757.907456770203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28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6000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2000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(E124+E123)-E120</f>
        <v>-2760.01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757.907456770203</v>
      </c>
      <c r="B134" s="325" t="n">
        <f aca="false">IF(A111="YES",B95,0)</f>
        <v>0</v>
      </c>
      <c r="C134" s="329"/>
      <c r="D134" s="325" t="n">
        <f aca="false">B97</f>
        <v>757.907456770203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757.907456770203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757.907456770203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757.907456770203</v>
      </c>
      <c r="B143" s="42" t="n">
        <f aca="false">IF(A111="YES",B95,0)</f>
        <v>0</v>
      </c>
      <c r="C143" s="321"/>
      <c r="D143" s="42" t="n">
        <f aca="false">B97</f>
        <v>757.907456770203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757.907456770203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757.907456770203</v>
      </c>
      <c r="B177" s="362" t="n">
        <f aca="false">IF(A111="YES",B95,0)</f>
        <v>0</v>
      </c>
      <c r="C177" s="364"/>
      <c r="D177" s="362" t="n">
        <f aca="false">A177+B177</f>
        <v>757.907456770203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757.907456770203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757.907456770203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757.907456770203</v>
      </c>
      <c r="B186" s="107" t="n">
        <f aca="false">IF(A111="YES",B95,0)</f>
        <v>0</v>
      </c>
      <c r="C186" s="360"/>
      <c r="D186" s="107" t="n">
        <f aca="false">B97</f>
        <v>757.907456770203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2618.28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2958.26166666667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2618.28</v>
      </c>
      <c r="C217" s="383" t="s">
        <v>232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2958.26166666667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160</v>
      </c>
      <c r="C229" s="340" t="s">
        <v>237</v>
      </c>
      <c r="D229" s="350"/>
      <c r="E229" s="153" t="n">
        <f aca="false">B78</f>
        <v>4.5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214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63.7534812424365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300</v>
      </c>
      <c r="C233" s="389" t="s">
        <v>339</v>
      </c>
      <c r="D233" s="390"/>
      <c r="E233" s="153" t="n">
        <f aca="false">B80</f>
        <v>180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100</v>
      </c>
      <c r="C235" s="393" t="s">
        <v>340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346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54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343</v>
      </c>
      <c r="B41" s="108" t="s">
        <v>344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345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348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</v>
      </c>
      <c r="C80" s="321"/>
      <c r="D80" s="321"/>
      <c r="E80" s="395" t="n">
        <f aca="false">E79+D82</f>
        <v>838.75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</v>
      </c>
      <c r="C81" s="321"/>
      <c r="D81" s="321"/>
      <c r="E81" s="322" t="n">
        <f aca="false">E80/12</f>
        <v>69.8958333333333</v>
      </c>
      <c r="F81" s="396"/>
      <c r="G81" s="409" t="s">
        <v>289</v>
      </c>
      <c r="H81" s="81" t="n">
        <f aca="false">IF(G18&gt;40000,325,0)</f>
        <v>0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178.75</v>
      </c>
      <c r="C82" s="321"/>
      <c r="D82" s="36" t="n">
        <f aca="false">IF(A50="YES",0,B82)</f>
        <v>178.75</v>
      </c>
      <c r="E82" s="322"/>
      <c r="F82" s="396"/>
      <c r="G82" s="375" t="s">
        <v>290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4123.69666666667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343.641388888889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7555.69666666667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64.0054981847519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7619.70216485142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634.975180404285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634.975180404285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360</v>
      </c>
      <c r="C105" s="316"/>
      <c r="D105" s="428" t="n">
        <v>1000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s">
        <v>361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28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6000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2000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((E124*1.2)+E123)-E120</f>
        <v>-2760.012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634.975180404285</v>
      </c>
      <c r="B134" s="325" t="n">
        <f aca="false">IF(A111="YES",B95,0)</f>
        <v>0</v>
      </c>
      <c r="C134" s="330"/>
      <c r="D134" s="325" t="n">
        <f aca="false">B97</f>
        <v>634.975180404285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5714.77662363857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5714.77662363857</v>
      </c>
      <c r="B140" s="42" t="n">
        <f aca="false">E120</f>
        <v>4000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634.975180404285</v>
      </c>
      <c r="B143" s="42" t="n">
        <f aca="false">IF(A111="YES",B95,0)</f>
        <v>0</v>
      </c>
      <c r="C143" s="321"/>
      <c r="D143" s="42" t="n">
        <f aca="false">B97</f>
        <v>634.975180404285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634.975180404285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634.975180404285</v>
      </c>
      <c r="B177" s="362" t="n">
        <f aca="false">IF(A111="YES",B95,0)</f>
        <v>0</v>
      </c>
      <c r="C177" s="365"/>
      <c r="D177" s="362" t="n">
        <f aca="false">B91</f>
        <v>7555.69666666667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5714.77662363857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5714.77662363857</v>
      </c>
      <c r="B183" s="107" t="n">
        <f aca="false">E120</f>
        <v>4000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634.975180404285</v>
      </c>
      <c r="B186" s="107" t="n">
        <f aca="false">IF(A111="YES",B95,0)</f>
        <v>0</v>
      </c>
      <c r="C186" s="360"/>
      <c r="D186" s="107" t="n">
        <f aca="false">B97</f>
        <v>634.975180404285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2618.28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2958.26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2618.28</v>
      </c>
      <c r="C217" s="383" t="s">
        <v>232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2958.26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64.0054981847519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0" activeCellId="0" sqref="B70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18125</v>
      </c>
      <c r="C2" s="9" t="s">
        <v>12</v>
      </c>
      <c r="D2" s="10" t="n">
        <f aca="false">C9</f>
        <v>3625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21750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</v>
      </c>
      <c r="C9" s="14" t="n">
        <f aca="false">B9*0.2</f>
        <v>3625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18125</v>
      </c>
      <c r="C15" s="14" t="n">
        <f aca="false">SUM(C9:C13)</f>
        <v>3625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21750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18125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60</v>
      </c>
      <c r="E32" s="230"/>
      <c r="F32" s="67"/>
      <c r="G32" s="231" t="s">
        <v>253</v>
      </c>
      <c r="H32" s="229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560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390</v>
      </c>
      <c r="B41" s="245" t="n">
        <f aca="false">IF(B38="YES",D38+A41,D38)</f>
        <v>560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391</v>
      </c>
      <c r="E44" s="108"/>
      <c r="F44" s="67"/>
      <c r="G44" s="67" t="s">
        <v>267</v>
      </c>
      <c r="H44" s="242" t="str">
        <f aca="false">H32</f>
        <v>60</v>
      </c>
      <c r="I44" s="402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561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347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21750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37405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1522.5</v>
      </c>
      <c r="C70" s="219" t="n">
        <v>10000</v>
      </c>
      <c r="D70" s="294" t="n">
        <f aca="false">B70-A149</f>
        <v>1522.5</v>
      </c>
      <c r="E70" s="220" t="n">
        <f aca="false">D70/12</f>
        <v>126.875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392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393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2849.16666666667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237.430555555556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8861.16666666667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75.0643404598629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8936.23100712653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72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744.685917260544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744.685917260544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359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8" t="n">
        <v>20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744.685917260544</v>
      </c>
      <c r="B134" s="325" t="n">
        <f aca="false">IF(A111="YES",B95,0)</f>
        <v>0</v>
      </c>
      <c r="C134" s="330"/>
      <c r="D134" s="325" t="n">
        <f aca="false">B97</f>
        <v>744.685917260544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744.685917260544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744.685917260544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744.685917260544</v>
      </c>
      <c r="B143" s="42" t="n">
        <f aca="false">IF(A111="YES",B95,0)</f>
        <v>0</v>
      </c>
      <c r="C143" s="321"/>
      <c r="D143" s="42" t="n">
        <f aca="false">B97</f>
        <v>744.685917260544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14.4</v>
      </c>
      <c r="H148" s="107" t="n">
        <f aca="false">G108-100</f>
        <v>139.988</v>
      </c>
      <c r="I148" s="107"/>
      <c r="J148" s="107" t="n">
        <f aca="false">(H145+J145+G148+H148)-H151</f>
        <v>1390.238</v>
      </c>
      <c r="K148" s="109"/>
      <c r="L148" s="67"/>
      <c r="M148" s="115" t="n">
        <f aca="false">IF(M111="YES",((A41*N111)*0.1)*(M133),0)</f>
        <v>14.4</v>
      </c>
      <c r="N148" s="107" t="n">
        <f aca="false">M108-100</f>
        <v>99.99</v>
      </c>
      <c r="O148" s="107"/>
      <c r="P148" s="107" t="n">
        <f aca="false">(N145+P145+M148+N148)-N151</f>
        <v>1350.24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599.99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744.685917260544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744.685917260544</v>
      </c>
      <c r="B177" s="362" t="n">
        <f aca="false">IF(A111="YES",B95,0)</f>
        <v>0</v>
      </c>
      <c r="C177" s="365"/>
      <c r="D177" s="362" t="n">
        <f aca="false">B91</f>
        <v>8861.16666666667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744.685917260544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744.685917260544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744.685917260544</v>
      </c>
      <c r="B186" s="107" t="n">
        <f aca="false">IF(A111="YES",B95,0)</f>
        <v>0</v>
      </c>
      <c r="C186" s="360"/>
      <c r="D186" s="107" t="n">
        <f aca="false">B97</f>
        <v>744.685917260544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599.99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1522.5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1762.49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1522.5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1762.49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75.0643404598629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357</v>
      </c>
      <c r="B41" s="245" t="str">
        <f aca="false">IF(B38="YES",D38+A41,D38)</f>
        <v>500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357</v>
      </c>
      <c r="E44" s="108"/>
      <c r="F44" s="67"/>
      <c r="G44" s="67" t="s">
        <v>267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B97</f>
        <v>909.315801062256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358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9029.41666666667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9105.90627941374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758.825523284479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758.825523284479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758.825523284479</v>
      </c>
      <c r="B134" s="325" t="n">
        <f aca="false">IF(A111="YES",B95,0)</f>
        <v>0</v>
      </c>
      <c r="C134" s="330"/>
      <c r="D134" s="325" t="n">
        <f aca="false">B97</f>
        <v>758.825523284479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758.825523284479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758.825523284479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758.825523284479</v>
      </c>
      <c r="B143" s="42" t="n">
        <f aca="false">IF(A111="YES",B95,0)</f>
        <v>0</v>
      </c>
      <c r="C143" s="321"/>
      <c r="D143" s="42" t="n">
        <f aca="false">B97</f>
        <v>758.825523284479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1387.838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1347.84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758.825523284479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758.825523284479</v>
      </c>
      <c r="B177" s="362" t="n">
        <f aca="false">IF(A111="YES",B95,0)</f>
        <v>0</v>
      </c>
      <c r="C177" s="365"/>
      <c r="D177" s="362" t="n">
        <f aca="false">B91</f>
        <v>9029.41666666667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758.825523284479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758.825523284479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758.825523284479</v>
      </c>
      <c r="B186" s="107" t="n">
        <f aca="false">IF(A111="YES",B95,0)</f>
        <v>0</v>
      </c>
      <c r="C186" s="360"/>
      <c r="D186" s="107" t="n">
        <f aca="false">B97</f>
        <v>758.825523284479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253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259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2838.66666666667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236.555555555556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8850.66666666667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74.9753933037515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8925.64205997042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743.803504997535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743.803504997535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350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743.803504997535</v>
      </c>
      <c r="B134" s="325" t="n">
        <f aca="false">IF(A111="YES",B95,0)</f>
        <v>0</v>
      </c>
      <c r="C134" s="330"/>
      <c r="D134" s="325" t="n">
        <f aca="false">B97</f>
        <v>743.803504997535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743.803504997535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743.803504997535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743.803504997535</v>
      </c>
      <c r="B143" s="42" t="n">
        <f aca="false">IF(A111="YES",B95,0)</f>
        <v>0</v>
      </c>
      <c r="C143" s="321"/>
      <c r="D143" s="42" t="n">
        <f aca="false">B97</f>
        <v>743.803504997535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743.803504997535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743.803504997535</v>
      </c>
      <c r="B177" s="362" t="n">
        <f aca="false">IF(A111="YES",B95,0)</f>
        <v>0</v>
      </c>
      <c r="C177" s="365"/>
      <c r="D177" s="362" t="n">
        <f aca="false">B91</f>
        <v>8850.66666666667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743.803504997535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743.803504997535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743.803504997535</v>
      </c>
      <c r="B186" s="107" t="n">
        <f aca="false">IF(A111="YES",B95,0)</f>
        <v>0</v>
      </c>
      <c r="C186" s="360"/>
      <c r="D186" s="107" t="n">
        <f aca="false">B97</f>
        <v>743.803504997535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74.9753933037515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B91</f>
        <v>10835.3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60000</v>
      </c>
      <c r="C2" s="9" t="s">
        <v>12</v>
      </c>
      <c r="D2" s="10" t="n">
        <f aca="false">C9</f>
        <v>12000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72000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60000</v>
      </c>
      <c r="C9" s="14" t="n">
        <f aca="false">B9*0.2</f>
        <v>12000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60000</v>
      </c>
      <c r="C15" s="14" t="n">
        <f aca="false">SUM(C9:C13)</f>
        <v>12000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72000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60000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253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259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72000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5040</v>
      </c>
      <c r="C70" s="219" t="n">
        <v>10000</v>
      </c>
      <c r="D70" s="294" t="n">
        <f aca="false">B70-A149</f>
        <v>5040</v>
      </c>
      <c r="E70" s="220" t="n">
        <f aca="false">D70/12</f>
        <v>420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6545.41666666667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545.451388888889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12557.4166666667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106.375857200484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12663.7925238672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1055.3160436556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1055.3160436556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1055.3160436556</v>
      </c>
      <c r="B134" s="325" t="n">
        <f aca="false">IF(A111="YES",B95,0)</f>
        <v>0</v>
      </c>
      <c r="C134" s="330"/>
      <c r="D134" s="325" t="n">
        <f aca="false">B97</f>
        <v>1055.3160436556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1055.3160436556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1055.3160436556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1055.3160436556</v>
      </c>
      <c r="B143" s="42" t="n">
        <f aca="false">IF(A111="YES",B95,0)</f>
        <v>0</v>
      </c>
      <c r="C143" s="321"/>
      <c r="D143" s="42" t="n">
        <f aca="false">B97</f>
        <v>1055.3160436556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 t="n">
        <f aca="false">(G18*0.000006)*100</f>
        <v>22.4424</v>
      </c>
      <c r="B146" s="350" t="n">
        <f aca="false">G18*0.000002*100</f>
        <v>7.4808</v>
      </c>
      <c r="C146" s="321"/>
      <c r="D146" s="350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1055.3160436556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1055.3160436556</v>
      </c>
      <c r="B177" s="362" t="n">
        <f aca="false">IF(A111="YES",B95,0)</f>
        <v>0</v>
      </c>
      <c r="C177" s="365"/>
      <c r="D177" s="362" t="n">
        <f aca="false">B91</f>
        <v>12557.4166666667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1055.3160436556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1055.3160436556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1055.3160436556</v>
      </c>
      <c r="B186" s="107" t="n">
        <f aca="false">IF(A111="YES",B95,0)</f>
        <v>0</v>
      </c>
      <c r="C186" s="360"/>
      <c r="D186" s="107" t="n">
        <f aca="false">B97</f>
        <v>1055.3160436556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22.4424</v>
      </c>
      <c r="B189" s="374" t="n">
        <f aca="false">G18*0.000002*100</f>
        <v>7.4808</v>
      </c>
      <c r="C189" s="360"/>
      <c r="D189" s="374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5040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5379.98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5040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5379.98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106.375857200484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2" colorId="64" zoomScale="95" zoomScaleNormal="95" zoomScalePageLayoutView="100" workbookViewId="0">
      <selection pane="topLeft" activeCell="G158" activeCellId="0" sqref="G158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14075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1800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365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14075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7577.89409730753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104.16665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24999.996</v>
      </c>
      <c r="C81" s="97"/>
      <c r="D81" s="97"/>
      <c r="E81" s="117"/>
      <c r="F81" s="29" t="s">
        <v>115</v>
      </c>
      <c r="G81" s="31" t="n">
        <f aca="false">G158</f>
        <v>24999.996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15162.6273339963</v>
      </c>
      <c r="C88" s="97"/>
      <c r="D88" s="97"/>
      <c r="E88" s="117"/>
      <c r="F88" s="35" t="s">
        <v>122</v>
      </c>
      <c r="G88" s="37" t="n">
        <f aca="false">G81-G86</f>
        <v>13584.059675081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515.58515538006</v>
      </c>
      <c r="C89" s="97"/>
      <c r="D89" s="97"/>
      <c r="E89" s="117"/>
      <c r="F89" s="35" t="s">
        <v>123</v>
      </c>
      <c r="G89" s="37" t="n">
        <f aca="false">(G88/G87)</f>
        <v>430.210414297145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18045.4804383021</v>
      </c>
      <c r="C90" s="97"/>
      <c r="D90" s="97"/>
      <c r="E90" s="117"/>
      <c r="F90" s="35" t="s">
        <v>124</v>
      </c>
      <c r="G90" s="37" t="n">
        <f aca="false">((G89*(G85))+G77)</f>
        <v>15057.3645004001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18045.4804383021</v>
      </c>
      <c r="C92" s="97"/>
      <c r="D92" s="97"/>
      <c r="E92" s="117"/>
      <c r="F92" s="60" t="s">
        <v>126</v>
      </c>
      <c r="G92" s="69" t="n">
        <f aca="false">(G90+G91)</f>
        <v>15057.3645004001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515.58515538006</v>
      </c>
      <c r="C95" s="97"/>
      <c r="D95" s="97"/>
      <c r="E95" s="117"/>
      <c r="F95" s="99" t="s">
        <v>128</v>
      </c>
      <c r="G95" s="100" t="n">
        <f aca="false">G92/(G85)</f>
        <v>430.210414297145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595.813726808631</v>
      </c>
      <c r="C96" s="97"/>
      <c r="D96" s="97"/>
      <c r="E96" s="117"/>
      <c r="F96" s="101" t="s">
        <v>129</v>
      </c>
      <c r="G96" s="102" t="n">
        <f aca="false">G94+G95</f>
        <v>497.067557154288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20833.33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-19201.3883333333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1000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24999.996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515.58515538006</v>
      </c>
      <c r="B167" s="181" t="n">
        <f aca="false">B94</f>
        <v>80.2285714285714</v>
      </c>
      <c r="C167" s="178"/>
      <c r="D167" s="178"/>
      <c r="E167" s="181" t="n">
        <f aca="false">B96</f>
        <v>595.813726808631</v>
      </c>
      <c r="F167" s="27"/>
      <c r="G167" s="27" t="n">
        <f aca="false">ROUND(G95,2)</f>
        <v>430.21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G158</f>
        <v>24999.996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7120.48443830208</v>
      </c>
      <c r="B182" s="107" t="str">
        <f aca="false">B114</f>
        <v>239.99</v>
      </c>
      <c r="C182" s="107"/>
      <c r="D182" s="27"/>
      <c r="E182" s="107" t="n">
        <f aca="false">E179+A182+B182+A185</f>
        <v>32370.4704383021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IF(A40=0,(E167+A185),(E170+A185))</f>
        <v>14085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104.16665</v>
      </c>
      <c r="C188" s="97"/>
      <c r="D188" s="97"/>
      <c r="E188" s="107" t="n">
        <f aca="false">(E40*A108)*0.1*(C45/100)</f>
        <v>54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258.158316666667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595.813726808631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4132.354</v>
      </c>
      <c r="B201" s="190" t="n">
        <f aca="false">E179+A201+B182+A185</f>
        <v>29382.34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515.58515538006</v>
      </c>
      <c r="B212" s="181" t="n">
        <f aca="false">B167</f>
        <v>80.2285714285714</v>
      </c>
      <c r="C212" s="178"/>
      <c r="D212" s="178"/>
      <c r="E212" s="181" t="n">
        <f aca="false">E167</f>
        <v>595.813726808631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24999.996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7120.48443830208</v>
      </c>
      <c r="B224" s="107" t="str">
        <f aca="false">B182</f>
        <v>239.99</v>
      </c>
      <c r="C224" s="107"/>
      <c r="D224" s="117"/>
      <c r="E224" s="107" t="n">
        <f aca="false">E182</f>
        <v>32370.4704383021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515.58515538006</v>
      </c>
      <c r="B230" s="107" t="n">
        <f aca="false">B167</f>
        <v>80.2285714285714</v>
      </c>
      <c r="C230" s="190"/>
      <c r="D230" s="190"/>
      <c r="E230" s="107" t="n">
        <f aca="false">E167</f>
        <v>595.813726808631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J18*0.000006*100*1.2</f>
        <v>26.9316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8.9772</v>
      </c>
      <c r="B236" s="107" t="n">
        <f aca="false">E233+A236</f>
        <v>35.9088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104.16665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2216.48831666667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2998.13043830209</v>
      </c>
      <c r="C254" s="201"/>
      <c r="D254" s="202" t="s">
        <v>227</v>
      </c>
      <c r="E254" s="202"/>
      <c r="F254" s="204" t="n">
        <f aca="false">F261+F267+F269+B270+B271</f>
        <v>124.99998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639.991666666667</v>
      </c>
      <c r="C255" s="201"/>
      <c r="D255" s="202" t="s">
        <v>229</v>
      </c>
      <c r="E255" s="202"/>
      <c r="F255" s="204" t="n">
        <f aca="false">(B254-F254)+B255</f>
        <v>3513.12212496875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2998.13043830209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124.99998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0.3</v>
      </c>
      <c r="C262" s="36"/>
      <c r="D262" s="170" t="s">
        <v>233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3513.12212496875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2" colorId="64" zoomScale="95" zoomScaleNormal="95" zoomScalePageLayoutView="100" workbookViewId="0">
      <selection pane="topLeft" activeCell="A156" activeCellId="0" sqref="A156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14075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1800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365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14075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7577.89409730753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104.16665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24999.996</v>
      </c>
      <c r="C81" s="97"/>
      <c r="D81" s="97"/>
      <c r="E81" s="117"/>
      <c r="F81" s="29" t="s">
        <v>115</v>
      </c>
      <c r="G81" s="31" t="n">
        <f aca="false">G158</f>
        <v>24999.996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B59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15162.6273339963</v>
      </c>
      <c r="C88" s="97"/>
      <c r="D88" s="97"/>
      <c r="E88" s="117"/>
      <c r="F88" s="35" t="s">
        <v>122</v>
      </c>
      <c r="G88" s="37" t="n">
        <f aca="false">G81-G86</f>
        <v>13584.059675081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515.58515538006</v>
      </c>
      <c r="C89" s="97"/>
      <c r="D89" s="97"/>
      <c r="E89" s="117"/>
      <c r="F89" s="35" t="s">
        <v>123</v>
      </c>
      <c r="G89" s="37" t="n">
        <f aca="false">(G88/G87)</f>
        <v>430.210414297145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18045.4804383021</v>
      </c>
      <c r="C90" s="97"/>
      <c r="D90" s="97"/>
      <c r="E90" s="117"/>
      <c r="F90" s="35" t="s">
        <v>124</v>
      </c>
      <c r="G90" s="37" t="n">
        <f aca="false">((G89*(G85))+G77)</f>
        <v>15057.3645004001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18045.4804383021</v>
      </c>
      <c r="C92" s="97"/>
      <c r="D92" s="97"/>
      <c r="E92" s="117"/>
      <c r="F92" s="60" t="s">
        <v>126</v>
      </c>
      <c r="G92" s="69" t="n">
        <f aca="false">(G90+G91)</f>
        <v>15057.3645004001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61.7142857142857</v>
      </c>
      <c r="C94" s="97"/>
      <c r="D94" s="97"/>
      <c r="E94" s="117"/>
      <c r="F94" s="93" t="s">
        <v>127</v>
      </c>
      <c r="G94" s="98" t="n">
        <f aca="false">IF(B26="YES",((E40/B85)*(1+A108)*(C45/100)),"0")</f>
        <v>61.7142857142857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515.58515538006</v>
      </c>
      <c r="C95" s="97"/>
      <c r="D95" s="97"/>
      <c r="E95" s="117"/>
      <c r="F95" s="99" t="s">
        <v>128</v>
      </c>
      <c r="G95" s="100" t="n">
        <f aca="false">G92/(G85)</f>
        <v>430.210414297145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577.299441094345</v>
      </c>
      <c r="C96" s="97"/>
      <c r="D96" s="97"/>
      <c r="E96" s="117"/>
      <c r="F96" s="101" t="s">
        <v>129</v>
      </c>
      <c r="G96" s="102" t="n">
        <f aca="false">G94+G95</f>
        <v>491.924700011431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20833.33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-19201.3883333333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1000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24999.996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515.58515538006</v>
      </c>
      <c r="B167" s="181" t="n">
        <f aca="false">B94</f>
        <v>61.7142857142857</v>
      </c>
      <c r="C167" s="178"/>
      <c r="D167" s="178"/>
      <c r="E167" s="181" t="n">
        <f aca="false">B96</f>
        <v>577.299441094345</v>
      </c>
      <c r="F167" s="27"/>
      <c r="G167" s="27" t="n">
        <f aca="false">ROUND(G95,2)</f>
        <v>430.21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G158</f>
        <v>24999.996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7120.48443830208</v>
      </c>
      <c r="B182" s="107" t="str">
        <f aca="false">B114</f>
        <v>199.99</v>
      </c>
      <c r="C182" s="107"/>
      <c r="D182" s="27"/>
      <c r="E182" s="107" t="n">
        <f aca="false">E179+A182+(B182*1.2)+A185</f>
        <v>32370.4684383021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1239.988</v>
      </c>
      <c r="C185" s="107"/>
      <c r="D185" s="27"/>
      <c r="E185" s="107" t="n">
        <f aca="false">IF(A40=0,(E167+A185),(E170+A185))</f>
        <v>14085</v>
      </c>
      <c r="F185" s="27"/>
      <c r="G185" s="10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104.16665</v>
      </c>
      <c r="C188" s="97"/>
      <c r="D188" s="97"/>
      <c r="E188" s="107" t="n">
        <f aca="false">(E40*A108)*0.1*(C45/100)</f>
        <v>36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240.15665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577.299441094345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4132.354</v>
      </c>
      <c r="B201" s="190" t="n">
        <f aca="false">E179+A201+(B182*1.2)+A185</f>
        <v>29382.338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515.58515538006</v>
      </c>
      <c r="B212" s="181" t="n">
        <f aca="false">B167</f>
        <v>61.7142857142857</v>
      </c>
      <c r="C212" s="178"/>
      <c r="D212" s="178"/>
      <c r="E212" s="181" t="n">
        <f aca="false">E167</f>
        <v>577.299441094345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24999.996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7120.48443830208</v>
      </c>
      <c r="B224" s="107" t="str">
        <f aca="false">B182</f>
        <v>199.99</v>
      </c>
      <c r="C224" s="107"/>
      <c r="D224" s="117"/>
      <c r="E224" s="107" t="n">
        <f aca="false">E182</f>
        <v>32370.4684383021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515.58515538006</v>
      </c>
      <c r="B230" s="107" t="n">
        <f aca="false">B167</f>
        <v>61.7142857142857</v>
      </c>
      <c r="C230" s="190"/>
      <c r="D230" s="190"/>
      <c r="E230" s="107" t="n">
        <f aca="false">E167</f>
        <v>577.299441094345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</f>
        <v>22.443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7.481</v>
      </c>
      <c r="B236" s="107" t="n">
        <f aca="false">E233+A236</f>
        <v>29.924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104.16665</v>
      </c>
      <c r="C240" s="97"/>
      <c r="D240" s="97"/>
      <c r="E240" s="107" t="n">
        <f aca="false">E188</f>
        <v>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2198.48665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2998.13043830209</v>
      </c>
      <c r="C254" s="201"/>
      <c r="D254" s="202" t="s">
        <v>227</v>
      </c>
      <c r="E254" s="202"/>
      <c r="F254" s="204" t="n">
        <f aca="false">F261+F267+F269+B270+B271</f>
        <v>124.99998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459.99</v>
      </c>
      <c r="C255" s="201"/>
      <c r="D255" s="202" t="s">
        <v>229</v>
      </c>
      <c r="E255" s="202"/>
      <c r="F255" s="204" t="n">
        <f aca="false">(B254-F254)+B255</f>
        <v>3333.12045830209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2998.13043830209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124.99998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3333.12045830209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95" zoomScaleNormal="95" zoomScalePageLayoutView="100" workbookViewId="0">
      <selection pane="topLeft" activeCell="A156" activeCellId="0" sqref="A156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15150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241.443901397419</v>
      </c>
      <c r="F33" s="236"/>
      <c r="G33" s="236"/>
      <c r="H33" s="51"/>
      <c r="I33" s="7"/>
      <c r="J33" s="38" t="s">
        <v>365</v>
      </c>
      <c r="K33" s="52" t="n">
        <f aca="false">E21</f>
        <v>18000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241.443901397419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18000</v>
      </c>
      <c r="L39" s="7" t="n">
        <f aca="false">(L47*K46)+K44</f>
        <v>36089.6572316354</v>
      </c>
      <c r="N39" s="6" t="n">
        <f aca="false">K39-L39</f>
        <v>-18089.6572316354</v>
      </c>
      <c r="P39" s="216"/>
    </row>
    <row r="40" customFormat="false" ht="19.5" hidden="false" customHeight="false" outlineLevel="0" collapsed="false">
      <c r="A40" s="111" t="n">
        <f aca="false">E36*A45/100</f>
        <v>15150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-18089.6572316354</v>
      </c>
      <c r="N40" s="6" t="n">
        <f aca="false">N38-N39</f>
        <v>21001.3372316354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40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7819.51432967116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241.443901397419</v>
      </c>
      <c r="L47" s="7" t="n">
        <f aca="false">L49-K42</f>
        <v>800</v>
      </c>
      <c r="M47" s="6" t="n">
        <f aca="false">K47-L47</f>
        <v>-558.556098602581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241.443901397419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241.443901397419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5186.45857135747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92.70835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241.443901397419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241.443901397419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241.443901397419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241.443901397419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22250.004</v>
      </c>
      <c r="C81" s="97"/>
      <c r="D81" s="97"/>
      <c r="E81" s="117"/>
      <c r="F81" s="29" t="s">
        <v>115</v>
      </c>
      <c r="G81" s="31" t="n">
        <f aca="false">G158</f>
        <v>22250.004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11661.291013147</v>
      </c>
      <c r="C88" s="97"/>
      <c r="D88" s="97"/>
      <c r="E88" s="117"/>
      <c r="F88" s="35" t="s">
        <v>122</v>
      </c>
      <c r="G88" s="37" t="n">
        <f aca="false">G81-G86</f>
        <v>9962.15779591308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396.526829190416</v>
      </c>
      <c r="C89" s="97"/>
      <c r="D89" s="97"/>
      <c r="E89" s="117"/>
      <c r="F89" s="35" t="s">
        <v>123</v>
      </c>
      <c r="G89" s="37" t="n">
        <f aca="false">(G88/G87)</f>
        <v>315.503916736714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13878.4390216646</v>
      </c>
      <c r="C90" s="97"/>
      <c r="D90" s="97"/>
      <c r="E90" s="117"/>
      <c r="F90" s="35" t="s">
        <v>124</v>
      </c>
      <c r="G90" s="37" t="n">
        <f aca="false">((G89*(G85))+G77)</f>
        <v>11042.637085785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13878.4390216646</v>
      </c>
      <c r="C92" s="97"/>
      <c r="D92" s="97"/>
      <c r="E92" s="117"/>
      <c r="F92" s="60" t="s">
        <v>126</v>
      </c>
      <c r="G92" s="69" t="n">
        <f aca="false">(G90+G91)</f>
        <v>11042.637085785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396.526829190416</v>
      </c>
      <c r="C95" s="97"/>
      <c r="D95" s="97"/>
      <c r="E95" s="117"/>
      <c r="F95" s="99" t="s">
        <v>128</v>
      </c>
      <c r="G95" s="100" t="n">
        <f aca="false">G92/(G85)</f>
        <v>315.503916736714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396.526829190416</v>
      </c>
      <c r="C96" s="97"/>
      <c r="D96" s="97"/>
      <c r="E96" s="117"/>
      <c r="F96" s="101" t="s">
        <v>129</v>
      </c>
      <c r="G96" s="102" t="n">
        <f aca="false">G94+G95</f>
        <v>315.503916736714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18000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21600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21600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21600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18000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18000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-17048.6116666667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1000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500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1000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22250.004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396.526829190416</v>
      </c>
      <c r="B167" s="181" t="str">
        <f aca="false">B94</f>
        <v>0</v>
      </c>
      <c r="C167" s="178"/>
      <c r="D167" s="178"/>
      <c r="E167" s="181" t="n">
        <f aca="false">B96</f>
        <v>396.526829190416</v>
      </c>
      <c r="F167" s="27"/>
      <c r="G167" s="27" t="n">
        <f aca="false">ROUND(G95,2)</f>
        <v>315.5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G158</f>
        <v>22250.004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6778.43502166458</v>
      </c>
      <c r="B182" s="107" t="str">
        <f aca="false">B114</f>
        <v>239.99</v>
      </c>
      <c r="C182" s="107"/>
      <c r="D182" s="27"/>
      <c r="E182" s="107" t="n">
        <f aca="false">E179+A182+B182+A185</f>
        <v>29278.4290216646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IF(E105="YES",B61*0.000002,0)*100*1.2</f>
        <v>0</v>
      </c>
      <c r="B188" s="107" t="n">
        <f aca="false">(G158*B67)/1.2</f>
        <v>92.70835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192.700016666667</v>
      </c>
      <c r="C191" s="97"/>
      <c r="D191" s="97"/>
      <c r="E191" s="107" t="n">
        <f aca="false">H148</f>
        <v>1791.67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396.526829190416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3942.496</v>
      </c>
      <c r="B201" s="190" t="n">
        <f aca="false">E179+A201+B182+A185</f>
        <v>26442.49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396.526829190416</v>
      </c>
      <c r="B212" s="181" t="str">
        <f aca="false">B167</f>
        <v>0</v>
      </c>
      <c r="C212" s="178"/>
      <c r="D212" s="178"/>
      <c r="E212" s="181" t="n">
        <f aca="false">E167</f>
        <v>396.526829190416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22250.004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6778.43502166458</v>
      </c>
      <c r="B224" s="107" t="str">
        <f aca="false">B182</f>
        <v>239.99</v>
      </c>
      <c r="C224" s="107"/>
      <c r="D224" s="117"/>
      <c r="E224" s="107" t="n">
        <f aca="false">E182</f>
        <v>29278.4290216646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396.526829190416</v>
      </c>
      <c r="B230" s="107" t="str">
        <f aca="false">B167</f>
        <v>0</v>
      </c>
      <c r="C230" s="190"/>
      <c r="D230" s="190"/>
      <c r="E230" s="107" t="n">
        <f aca="false">E167</f>
        <v>396.526829190416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B68</f>
        <v>92.70835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1984.37001666666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2845.93902166457</v>
      </c>
      <c r="C254" s="201"/>
      <c r="D254" s="202" t="s">
        <v>227</v>
      </c>
      <c r="E254" s="202"/>
      <c r="F254" s="204" t="n">
        <f aca="false">F261+F267+F269+B270+B271</f>
        <v>111.25002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2834.68066833124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2845.93902166457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111.25002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2834.68066833124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15333.33</v>
      </c>
      <c r="C2" s="9" t="s">
        <v>12</v>
      </c>
      <c r="D2" s="10" t="n">
        <f aca="false">C9</f>
        <v>3066.666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 t="s">
        <v>6</v>
      </c>
      <c r="C3" s="270" t="n">
        <v>0</v>
      </c>
      <c r="D3" s="270" t="s">
        <v>6</v>
      </c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18399.996</v>
      </c>
      <c r="C4" s="272" t="n">
        <v>0</v>
      </c>
      <c r="D4" s="272" t="n">
        <v>0</v>
      </c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 t="n">
        <v>0</v>
      </c>
      <c r="C5" s="67" t="n">
        <v>0</v>
      </c>
      <c r="D5" s="67" t="n">
        <v>0</v>
      </c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15333.33</v>
      </c>
      <c r="C9" s="14" t="n">
        <f aca="false">B9*0.2</f>
        <v>3066.666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15333.33</v>
      </c>
      <c r="C15" s="14" t="n">
        <f aca="false">SUM(C9:C13)</f>
        <v>3066.666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18399.996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15333.33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15150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159.104873499438</v>
      </c>
      <c r="F33" s="236"/>
      <c r="G33" s="236"/>
      <c r="H33" s="51"/>
      <c r="I33" s="7"/>
      <c r="J33" s="38" t="s">
        <v>365</v>
      </c>
      <c r="K33" s="52" t="n">
        <f aca="false">E21</f>
        <v>15333.33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159.104873499438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15333.33</v>
      </c>
      <c r="L39" s="7" t="n">
        <f aca="false">(L47*K46)+K44</f>
        <v>36089.6572316354</v>
      </c>
      <c r="N39" s="6" t="n">
        <f aca="false">K39-L39</f>
        <v>-20756.3272316354</v>
      </c>
      <c r="P39" s="216"/>
    </row>
    <row r="40" customFormat="false" ht="19.5" hidden="false" customHeight="false" outlineLevel="0" collapsed="false">
      <c r="A40" s="111" t="n">
        <f aca="false">E36*A45/100</f>
        <v>15150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-20756.3272316354</v>
      </c>
      <c r="N40" s="6" t="n">
        <f aca="false">N38-N39</f>
        <v>23668.0072316354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5152.84432967116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159.104873499438</v>
      </c>
      <c r="L47" s="7" t="n">
        <f aca="false">L49-K42</f>
        <v>800</v>
      </c>
      <c r="M47" s="6" t="n">
        <f aca="false">K47-L47</f>
        <v>-640.895126500562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159.104873499438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159.104873499438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8150.66357568479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92.70835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159.104873499438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159.104873499438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159.104873499438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159.104873499438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22250.004</v>
      </c>
      <c r="C81" s="97"/>
      <c r="D81" s="97"/>
      <c r="E81" s="117"/>
      <c r="F81" s="29" t="s">
        <v>115</v>
      </c>
      <c r="G81" s="31" t="n">
        <f aca="false">G158</f>
        <v>22250.004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11661.291013147</v>
      </c>
      <c r="C88" s="97"/>
      <c r="D88" s="97"/>
      <c r="E88" s="117"/>
      <c r="F88" s="35" t="s">
        <v>122</v>
      </c>
      <c r="G88" s="37" t="n">
        <f aca="false">G81-G86</f>
        <v>9962.15779591308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396.526829190416</v>
      </c>
      <c r="C89" s="97"/>
      <c r="D89" s="97"/>
      <c r="E89" s="117"/>
      <c r="F89" s="35" t="s">
        <v>123</v>
      </c>
      <c r="G89" s="37" t="n">
        <f aca="false">(G88/G87)</f>
        <v>315.503916736714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13878.4390216646</v>
      </c>
      <c r="C90" s="97"/>
      <c r="D90" s="97"/>
      <c r="E90" s="117"/>
      <c r="F90" s="35" t="s">
        <v>124</v>
      </c>
      <c r="G90" s="37" t="n">
        <f aca="false">((G89*(G85))+G77)</f>
        <v>11042.637085785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13878.4390216646</v>
      </c>
      <c r="C92" s="97"/>
      <c r="D92" s="97"/>
      <c r="E92" s="117"/>
      <c r="F92" s="60" t="s">
        <v>126</v>
      </c>
      <c r="G92" s="69" t="n">
        <f aca="false">(G90+G91)</f>
        <v>11042.637085785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396.526829190416</v>
      </c>
      <c r="C95" s="97"/>
      <c r="D95" s="97"/>
      <c r="E95" s="117"/>
      <c r="F95" s="99" t="s">
        <v>128</v>
      </c>
      <c r="G95" s="100" t="n">
        <f aca="false">G92/(G85)</f>
        <v>315.503916736714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396.526829190416</v>
      </c>
      <c r="C96" s="97"/>
      <c r="D96" s="97"/>
      <c r="E96" s="117"/>
      <c r="F96" s="101" t="s">
        <v>129</v>
      </c>
      <c r="G96" s="102" t="n">
        <f aca="false">G94+G95</f>
        <v>315.503916736714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15333.33</v>
      </c>
      <c r="C121" s="125" t="n">
        <v>19791.67</v>
      </c>
      <c r="D121" s="124" t="n"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str">
        <f aca="false">B3</f>
        <v> </v>
      </c>
      <c r="L121" s="125" t="n">
        <v>28629.17</v>
      </c>
      <c r="M121" s="124" t="str">
        <f aca="false">D3</f>
        <v> </v>
      </c>
      <c r="N121" s="125" t="str">
        <f aca="false">M121</f>
        <v> 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str">
        <f aca="false">B3</f>
        <v> </v>
      </c>
      <c r="U121" s="125" t="str">
        <f aca="false">T121</f>
        <v> </v>
      </c>
      <c r="V121" s="124" t="str">
        <f aca="false">D3</f>
        <v> </v>
      </c>
      <c r="W121" s="125" t="str">
        <f aca="false">V121</f>
        <v> 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str">
        <f aca="false">B3</f>
        <v> </v>
      </c>
      <c r="AD121" s="125" t="str">
        <f aca="false">AC121</f>
        <v> </v>
      </c>
      <c r="AE121" s="124" t="str">
        <f aca="false">D3</f>
        <v> </v>
      </c>
      <c r="AF121" s="125" t="str">
        <f aca="false">AE121</f>
        <v> 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18399.996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18399.996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18399.996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e">
        <f aca="false">(K121*K122)+K123</f>
        <v>#VALUE!</v>
      </c>
      <c r="L124" s="135" t="n">
        <f aca="false">(L121*L122)+L123</f>
        <v>0</v>
      </c>
      <c r="M124" s="134" t="e">
        <f aca="false">(M121*M122)+M123</f>
        <v>#VALUE!</v>
      </c>
      <c r="N124" s="135" t="e">
        <f aca="false">(N121*N122)+N123</f>
        <v>#VALUE!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e">
        <f aca="false">(T121*T122)+T123</f>
        <v>#VALUE!</v>
      </c>
      <c r="U124" s="135" t="e">
        <f aca="false">(U121*U122)+U123</f>
        <v>#VALUE!</v>
      </c>
      <c r="V124" s="134" t="e">
        <f aca="false">(V121*V122)+V123</f>
        <v>#VALUE!</v>
      </c>
      <c r="W124" s="135" t="e">
        <f aca="false">(W121*W122)+W123</f>
        <v>#VALUE!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e">
        <f aca="false">(AC121*AC122)+AC123</f>
        <v>#VALUE!</v>
      </c>
      <c r="AD124" s="135" t="e">
        <f aca="false">(AD121*AD122)+AD123</f>
        <v>#VALUE!</v>
      </c>
      <c r="AE124" s="134" t="e">
        <f aca="false">(AE121*AE122)+AE123</f>
        <v>#VALUE!</v>
      </c>
      <c r="AF124" s="135" t="e">
        <f aca="false">(AF121*AF122)+AF123</f>
        <v>#VALUE!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15333.33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e">
        <f aca="false">K121-K124</f>
        <v>#VALUE!</v>
      </c>
      <c r="L125" s="137" t="n">
        <f aca="false">L121-L124</f>
        <v>28629.17</v>
      </c>
      <c r="M125" s="136" t="e">
        <f aca="false">M121-M124</f>
        <v>#VALUE!</v>
      </c>
      <c r="N125" s="137" t="e">
        <f aca="false">N121-N124</f>
        <v>#VALUE!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e">
        <f aca="false">T121-T124</f>
        <v>#VALUE!</v>
      </c>
      <c r="U125" s="137" t="e">
        <f aca="false">U121-U124</f>
        <v>#VALUE!</v>
      </c>
      <c r="V125" s="136" t="e">
        <f aca="false">V121-V124</f>
        <v>#VALUE!</v>
      </c>
      <c r="W125" s="137" t="e">
        <f aca="false">W121-W124</f>
        <v>#VALUE!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e">
        <f aca="false">AC121-AC124</f>
        <v>#VALUE!</v>
      </c>
      <c r="AD125" s="137" t="e">
        <f aca="false">AD121-AD124</f>
        <v>#VALUE!</v>
      </c>
      <c r="AE125" s="136" t="e">
        <f aca="false">AE121-AE124</f>
        <v>#VALUE!</v>
      </c>
      <c r="AF125" s="137" t="e">
        <f aca="false">AF121-AF124</f>
        <v>#VALUE!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15333.33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3066.666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18399.996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18399.996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4458.34</v>
      </c>
      <c r="I148" s="6" t="n">
        <f aca="false">(H148-G81)/1.2</f>
        <v>-14826.3866666667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1000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500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1000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22250.004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396.526829190416</v>
      </c>
      <c r="B167" s="181" t="str">
        <f aca="false">B94</f>
        <v>0</v>
      </c>
      <c r="C167" s="178"/>
      <c r="D167" s="178"/>
      <c r="E167" s="181" t="n">
        <f aca="false">B96</f>
        <v>396.526829190416</v>
      </c>
      <c r="F167" s="27"/>
      <c r="G167" s="27" t="n">
        <f aca="false">ROUND(G95,2)</f>
        <v>315.5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G158</f>
        <v>22250.004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6778.43502166458</v>
      </c>
      <c r="B182" s="107" t="str">
        <f aca="false">B114</f>
        <v>199.99</v>
      </c>
      <c r="C182" s="107"/>
      <c r="D182" s="27"/>
      <c r="E182" s="107" t="n">
        <f aca="false">E179+A182+(B182*1.2)+A185</f>
        <v>29278.4270216646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0</v>
      </c>
      <c r="B188" s="107" t="n">
        <f aca="false">(G158*B67)/1.2</f>
        <v>92.70835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192.69835</v>
      </c>
      <c r="C191" s="97"/>
      <c r="D191" s="97"/>
      <c r="E191" s="107" t="n">
        <f aca="false">H148</f>
        <v>4458.34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396.526829190416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7.35" hidden="false" customHeight="false" outlineLevel="0" collapsed="false">
      <c r="A201" s="40" t="n">
        <f aca="false">IF(A40=0,((G167*(B59+1))-E179),((G167*B59)+E185-E179-A185))</f>
        <v>3942.496</v>
      </c>
      <c r="B201" s="190" t="n">
        <f aca="false">E179+A201+(B182*1.2)+A185</f>
        <v>26442.488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396.526829190416</v>
      </c>
      <c r="B212" s="181" t="str">
        <f aca="false">B167</f>
        <v>0</v>
      </c>
      <c r="C212" s="178"/>
      <c r="D212" s="178"/>
      <c r="E212" s="181" t="n">
        <f aca="false">E167</f>
        <v>396.526829190416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22250.004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6778.43502166458</v>
      </c>
      <c r="B224" s="107" t="str">
        <f aca="false">B182</f>
        <v>199.99</v>
      </c>
      <c r="C224" s="107"/>
      <c r="D224" s="117"/>
      <c r="E224" s="107" t="n">
        <f aca="false">E182</f>
        <v>29278.4270216646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396.526829190416</v>
      </c>
      <c r="B230" s="107" t="str">
        <f aca="false">B167</f>
        <v>0</v>
      </c>
      <c r="C230" s="190"/>
      <c r="D230" s="190"/>
      <c r="E230" s="107" t="n">
        <f aca="false">E167</f>
        <v>396.526829190416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4458.34</v>
      </c>
      <c r="B240" s="107" t="n">
        <f aca="false">B68</f>
        <v>92.70835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4651.03835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2845.93902166457</v>
      </c>
      <c r="C254" s="201"/>
      <c r="D254" s="202" t="s">
        <v>227</v>
      </c>
      <c r="E254" s="202"/>
      <c r="F254" s="204" t="n">
        <f aca="false">F261+F267+F269+B270+B271</f>
        <v>111.25002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2834.67900166457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2845.93902166457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111.25002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2834.67900166457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n">
        <f aca="false">IF(B38="YES",D38+A41,D38)</f>
        <v>500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0</v>
      </c>
      <c r="C44" s="108"/>
      <c r="D44" s="282" t="n">
        <f aca="false">A44+B44</f>
        <v>1</v>
      </c>
      <c r="E44" s="282"/>
      <c r="F44" s="67"/>
      <c r="G44" s="67" t="s">
        <v>267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1585.5</v>
      </c>
      <c r="C64" s="219" t="n">
        <v>10000</v>
      </c>
      <c r="D64" s="294" t="n">
        <f aca="false">B64</f>
        <v>1585.5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 t="n">
        <f aca="false">IF(G18&gt;40000,325,0)</f>
        <v>0</v>
      </c>
      <c r="D75" s="219"/>
      <c r="E75" s="220"/>
      <c r="F75" s="67"/>
      <c r="G75" s="299" t="s">
        <v>289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2912.16666666667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242.680555555556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10709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75.5980233965309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10784.5980233965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898.716501949711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898.716501949711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1024.59311617588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28</v>
      </c>
      <c r="B105" s="316" t="n">
        <v>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</v>
      </c>
      <c r="C108" s="221"/>
      <c r="D108" s="221" t="n">
        <v>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898.716501949711</v>
      </c>
      <c r="B128" s="325" t="n">
        <f aca="false">IF(A105="YES",B89,0)</f>
        <v>0</v>
      </c>
      <c r="C128" s="330"/>
      <c r="D128" s="325" t="n">
        <f aca="false">B91</f>
        <v>898.716501949711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1024.59311617588</v>
      </c>
      <c r="H130" s="181" t="n">
        <f aca="false">IF(G105="YES",H89*H57,0)</f>
        <v>0</v>
      </c>
      <c r="I130" s="181"/>
      <c r="J130" s="338" t="n">
        <f aca="false">H91</f>
        <v>1024.59311617588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898.716501949711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1024.59311617588</v>
      </c>
      <c r="H133" s="107" t="n">
        <f aca="false">IF(G105="YES",H89*H57,0)</f>
        <v>0</v>
      </c>
      <c r="I133" s="225"/>
      <c r="J133" s="188" t="n">
        <f aca="false">H91*H57</f>
        <v>1024.59311617588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898.716501949711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898.716501949711</v>
      </c>
      <c r="B137" s="42" t="n">
        <f aca="false">IF(A105="YES",B89,0)</f>
        <v>0</v>
      </c>
      <c r="C137" s="321"/>
      <c r="D137" s="42" t="n">
        <f aca="false">B91</f>
        <v>898.716501949711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26.9316</v>
      </c>
      <c r="B140" s="347" t="n">
        <f aca="false">G18*0.000002*1.2*100</f>
        <v>8.9772</v>
      </c>
      <c r="C140" s="348"/>
      <c r="D140" s="347" t="n">
        <f aca="false">A140+B140</f>
        <v>35.9088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1407.013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0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1024.59311617588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898.716501949711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898.716501949711</v>
      </c>
      <c r="B171" s="362" t="n">
        <f aca="false">IF(A105="YES",B89,0)</f>
        <v>0</v>
      </c>
      <c r="C171" s="365"/>
      <c r="D171" s="362" t="n">
        <f aca="false">B91</f>
        <v>898.716501949711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898.716501949711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898.716501949711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898.716501949711</v>
      </c>
      <c r="B180" s="107" t="n">
        <f aca="false">IF(A105="YES",B89,0)</f>
        <v>0</v>
      </c>
      <c r="C180" s="360"/>
      <c r="D180" s="107" t="n">
        <f aca="false">B91</f>
        <v>898.716501949711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26.9316</v>
      </c>
      <c r="B183" s="372" t="n">
        <f aca="false">G18*0.000002*1.2*100</f>
        <v>8.9772</v>
      </c>
      <c r="C183" s="373"/>
      <c r="D183" s="372" t="n">
        <f aca="false">A183+B183</f>
        <v>35.9088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500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1585.5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1925.48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1585.5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1925.48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75.5980233965309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9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3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21600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1512</v>
      </c>
      <c r="C64" s="219" t="n">
        <v>10000</v>
      </c>
      <c r="D64" s="294" t="n">
        <f aca="false">B64</f>
        <v>1512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2838.66666666667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236.555555555556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8850.66666666667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74.9753933037515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8925.64205997042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65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743.803504997535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808.803504997535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1096.59311617588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360</v>
      </c>
      <c r="C99" s="316"/>
      <c r="D99" s="111" t="n">
        <v>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30</v>
      </c>
      <c r="C105" s="316"/>
      <c r="D105" s="111" t="s">
        <v>361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</v>
      </c>
      <c r="C108" s="221"/>
      <c r="D108" s="221" t="n">
        <v>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6000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2000</v>
      </c>
      <c r="E113" s="111" t="n">
        <v>2000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-2000</v>
      </c>
      <c r="E114" s="171" t="n">
        <f aca="false">E112-E113</f>
        <v>4000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-6000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-3760.012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743.803504997535</v>
      </c>
      <c r="B128" s="325" t="n">
        <f aca="false">IF(A105="YES",B89,0)</f>
        <v>65</v>
      </c>
      <c r="C128" s="330"/>
      <c r="D128" s="325" t="n">
        <f aca="false">B91</f>
        <v>808.803504997535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1024.59311617588</v>
      </c>
      <c r="H130" s="181" t="n">
        <f aca="false">IF(G105="YES",H89*H57,0)</f>
        <v>72</v>
      </c>
      <c r="I130" s="181"/>
      <c r="J130" s="338" t="n">
        <f aca="false">H91</f>
        <v>1096.59311617588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Terminal pause with 9 down </v>
      </c>
      <c r="B131" s="42" t="n">
        <f aca="false">B90*B57</f>
        <v>6694.23154497782</v>
      </c>
      <c r="C131" s="321"/>
      <c r="D131" s="42" t="n">
        <f aca="false">IF(A105="YES",B89*B57,0)</f>
        <v>585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1024.59311617588</v>
      </c>
      <c r="H133" s="107" t="n">
        <f aca="false">IF(G105="YES",H89*H57,0)</f>
        <v>72</v>
      </c>
      <c r="I133" s="225"/>
      <c r="J133" s="188" t="n">
        <f aca="false">H91*H57</f>
        <v>1096.59311617588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7279.23154497782</v>
      </c>
      <c r="B134" s="42" t="n">
        <f aca="false">E114</f>
        <v>4000</v>
      </c>
      <c r="C134" s="321"/>
      <c r="D134" s="341" t="n">
        <f aca="false">B58</f>
        <v>3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743.803504997535</v>
      </c>
      <c r="B137" s="42" t="n">
        <f aca="false">IF(A105="YES",B89,0)</f>
        <v>65</v>
      </c>
      <c r="C137" s="321"/>
      <c r="D137" s="42" t="n">
        <f aca="false">B91</f>
        <v>808.803504997535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22.443</v>
      </c>
      <c r="B140" s="347" t="n">
        <f aca="false">G18*0.000002*100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1414.213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1096.59311617588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808.803504997535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743.803504997535</v>
      </c>
      <c r="B171" s="362" t="n">
        <f aca="false">IF(A105="YES",B89,0)</f>
        <v>65</v>
      </c>
      <c r="C171" s="365"/>
      <c r="D171" s="362" t="n">
        <f aca="false">B91</f>
        <v>808.803504997535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Terminal pause with 9 down </v>
      </c>
      <c r="B174" s="107" t="n">
        <f aca="false">B90*B57</f>
        <v>6694.23154497782</v>
      </c>
      <c r="C174" s="360"/>
      <c r="D174" s="107" t="n">
        <f aca="false">IF(A105="YES",B89*B57,0)</f>
        <v>585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7279.23154497782</v>
      </c>
      <c r="B177" s="107" t="n">
        <f aca="false">E114</f>
        <v>4000</v>
      </c>
      <c r="C177" s="360"/>
      <c r="D177" s="368" t="n">
        <f aca="false">B58</f>
        <v>3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743.803504997535</v>
      </c>
      <c r="B180" s="107" t="n">
        <f aca="false">IF(A105="YES",B89,0)</f>
        <v>65</v>
      </c>
      <c r="C180" s="360"/>
      <c r="D180" s="107" t="n">
        <f aca="false">B91</f>
        <v>808.803504997535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22.443</v>
      </c>
      <c r="B183" s="372" t="n">
        <f aca="false">G18*0.000002*100</f>
        <v>7.481</v>
      </c>
      <c r="C183" s="373"/>
      <c r="D183" s="372" t="n">
        <f aca="false">A183+B183</f>
        <v>29.924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H29</f>
        <v>12</v>
      </c>
      <c r="C203" s="325" t="s">
        <v>226</v>
      </c>
      <c r="D203" s="379" t="n">
        <f aca="false">D64</f>
        <v>1512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2031.98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1512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2031.98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74.9753933037515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18125</v>
      </c>
      <c r="C2" s="9" t="s">
        <v>12</v>
      </c>
      <c r="D2" s="10" t="n">
        <f aca="false">C9</f>
        <v>3625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21750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</v>
      </c>
      <c r="C9" s="14" t="n">
        <f aca="false">B9*0.2</f>
        <v>3625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18125</v>
      </c>
      <c r="C15" s="14" t="n">
        <f aca="false">SUM(C9:C13)</f>
        <v>3625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21750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18125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13975</v>
      </c>
      <c r="I31" s="67"/>
      <c r="J31" s="67"/>
      <c r="K31" s="67" t="n">
        <v>66666.6666666667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2160</v>
      </c>
      <c r="J32" s="67"/>
      <c r="K32" s="67" t="n">
        <v>6000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323.244715858202</v>
      </c>
      <c r="E33" s="220"/>
      <c r="F33" s="67"/>
      <c r="G33" s="223" t="s">
        <v>365</v>
      </c>
      <c r="H33" s="466" t="n">
        <f aca="false">E21-E11</f>
        <v>18125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263.244715858202</v>
      </c>
      <c r="B36" s="107" t="n">
        <f aca="false">IF(B26="YES",H42,"")</f>
        <v>60</v>
      </c>
      <c r="C36" s="225"/>
      <c r="D36" s="188" t="n">
        <f aca="false">H31</f>
        <v>13975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18125</v>
      </c>
      <c r="I39" s="242" t="n">
        <f aca="false">(I48*H46)+H44</f>
        <v>53256.8210409724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13975</v>
      </c>
      <c r="B40" s="111" t="n">
        <f aca="false">IF(B26="YES",H42,"0")</f>
        <v>60</v>
      </c>
      <c r="C40" s="111"/>
      <c r="D40" s="188" t="n">
        <f aca="false">I32</f>
        <v>2160</v>
      </c>
      <c r="E40" s="220"/>
      <c r="F40" s="67"/>
      <c r="G40" s="67" t="s">
        <v>116</v>
      </c>
      <c r="H40" s="242" t="n">
        <f aca="false">A40/1.2</f>
        <v>11645.8333333333</v>
      </c>
      <c r="I40" s="242" t="n">
        <f aca="false">H39-I39</f>
        <v>-35131.8210409724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60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9535.98596522506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383</v>
      </c>
      <c r="H45" s="242" t="n">
        <f aca="false">(H39-H44)</f>
        <v>8589.01403477494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263.244715858202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323.244715858202</v>
      </c>
      <c r="I48" s="242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323.244715858202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21750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2283.75</v>
      </c>
      <c r="C64" s="471" t="n">
        <v>10000</v>
      </c>
      <c r="D64" s="294" t="n">
        <f aca="false">B64</f>
        <v>2283.75</v>
      </c>
      <c r="E64" s="472" t="n">
        <f aca="false">D64/(B58+B57)</f>
        <v>63.4375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21.6666666666667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3730.41666666667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103.622685185185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263.244715858202</v>
      </c>
      <c r="C83" s="479"/>
      <c r="D83" s="219"/>
      <c r="E83" s="472" t="n">
        <f aca="false">B83+E80+E77+E64</f>
        <v>360.694561537214</v>
      </c>
      <c r="F83" s="67"/>
      <c r="G83" s="309" t="s">
        <v>114</v>
      </c>
      <c r="H83" s="310" t="n">
        <f aca="false">H47</f>
        <v>263.244715858202</v>
      </c>
      <c r="I83" s="219"/>
      <c r="J83" s="219"/>
      <c r="K83" s="220"/>
      <c r="L83" s="67"/>
      <c r="M83" s="309" t="s">
        <v>114</v>
      </c>
      <c r="N83" s="310" t="n">
        <f aca="false">H47</f>
        <v>263.244715858202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13207.2264375619</v>
      </c>
      <c r="C85" s="479"/>
      <c r="D85" s="479"/>
      <c r="E85" s="472" t="n">
        <f aca="false">B85/(B58+B57)</f>
        <v>366.867401043387</v>
      </c>
      <c r="F85" s="67"/>
      <c r="G85" s="291" t="s">
        <v>124</v>
      </c>
      <c r="H85" s="135" t="n">
        <f aca="false">((H83*H29)+H81)*1.2</f>
        <v>12651.0717250743</v>
      </c>
      <c r="I85" s="219"/>
      <c r="J85" s="219"/>
      <c r="K85" s="220"/>
      <c r="L85" s="67"/>
      <c r="M85" s="291" t="s">
        <v>124</v>
      </c>
      <c r="N85" s="135" t="n">
        <f aca="false">((N83*H29)+N81)</f>
        <v>10198.8097708953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111.880498260912</v>
      </c>
      <c r="C86" s="479" t="s">
        <v>241</v>
      </c>
      <c r="D86" s="219"/>
      <c r="E86" s="472" t="n">
        <f aca="false">B86/(B58+B57)</f>
        <v>3.10779161835867</v>
      </c>
      <c r="F86" s="67"/>
      <c r="G86" s="218" t="s">
        <v>125</v>
      </c>
      <c r="H86" s="304" t="n">
        <f aca="false">((((H83*H29)+H81))/(1-H70))*H70</f>
        <v>89.3076866433242</v>
      </c>
      <c r="I86" s="219"/>
      <c r="J86" s="219"/>
      <c r="K86" s="220"/>
      <c r="L86" s="67"/>
      <c r="M86" s="218" t="s">
        <v>125</v>
      </c>
      <c r="N86" s="304" t="n">
        <f aca="false">(N85/(1-N70))*N70</f>
        <v>86.3957261753936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13319.1069358229</v>
      </c>
      <c r="C87" s="479"/>
      <c r="D87" s="481"/>
      <c r="E87" s="472" t="n">
        <f aca="false">E86+E85</f>
        <v>369.975192661746</v>
      </c>
      <c r="F87" s="67"/>
      <c r="G87" s="288" t="s">
        <v>126</v>
      </c>
      <c r="H87" s="137" t="n">
        <f aca="false">IF(H110="YES",((H85+H86)-K114),(H85+H86))</f>
        <v>12740.3794117177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10285.2054970707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75.8634146341463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63.219512195122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369.975192661746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310.740961261406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250.85867066026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441.975192661746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386.604375895552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314.078182855382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310.740961261406</v>
      </c>
      <c r="H127" s="181" t="n">
        <f aca="false">IF(G105="YES",H89*H57,0)</f>
        <v>455.180487804878</v>
      </c>
      <c r="I127" s="181"/>
      <c r="J127" s="338" t="n">
        <f aca="false">H91</f>
        <v>386.604375895552</v>
      </c>
      <c r="K127" s="220"/>
      <c r="L127" s="67"/>
      <c r="M127" s="337" t="n">
        <f aca="false">N90</f>
        <v>250.85867066026</v>
      </c>
      <c r="N127" s="181" t="n">
        <f aca="false">IF(M105="YES",N89*N57,0)</f>
        <v>379.317073170732</v>
      </c>
      <c r="O127" s="181"/>
      <c r="P127" s="181" t="n">
        <f aca="false">N91</f>
        <v>314.078182855382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369.975192661746</v>
      </c>
      <c r="B128" s="325" t="n">
        <f aca="false">IF(A105="YES",B89,0)</f>
        <v>72</v>
      </c>
      <c r="C128" s="329"/>
      <c r="D128" s="325" t="n">
        <f aca="false">B91</f>
        <v>441.975192661746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369.975192661746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1864.44576756844</v>
      </c>
      <c r="H133" s="107" t="n">
        <f aca="false">IF(G105="YES",H89*H57,0)</f>
        <v>455.180487804878</v>
      </c>
      <c r="I133" s="225"/>
      <c r="J133" s="188" t="n">
        <f aca="false">H91*H57</f>
        <v>2319.62625537331</v>
      </c>
      <c r="K133" s="220"/>
      <c r="L133" s="67"/>
      <c r="M133" s="189" t="n">
        <f aca="false">N90*N57</f>
        <v>1505.15202396156</v>
      </c>
      <c r="N133" s="107" t="n">
        <f aca="false">IF(M105="YES",N89*N57,0)</f>
        <v>379.317073170732</v>
      </c>
      <c r="O133" s="225"/>
      <c r="P133" s="188" t="n">
        <f aca="false">N91*N57</f>
        <v>1884.46909713229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441.975192661746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369.975192661746</v>
      </c>
      <c r="B137" s="42" t="n">
        <f aca="false">IF(A105="YES",B89,0)</f>
        <v>72</v>
      </c>
      <c r="C137" s="321"/>
      <c r="D137" s="42" t="n">
        <f aca="false">B91</f>
        <v>441.975192661746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22.4424</v>
      </c>
      <c r="B140" s="347" t="n">
        <f aca="false">IF(A105="YES",B61*0.000002,0)*100</f>
        <v>7.4808</v>
      </c>
      <c r="C140" s="348"/>
      <c r="D140" s="347" t="n">
        <f aca="false">A140+B140</f>
        <v>29.9232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43.2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43.2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107" t="n">
        <f aca="false">B102</f>
        <v>400</v>
      </c>
      <c r="C148" s="42"/>
      <c r="D148" s="42" t="n">
        <f aca="false">IF(A105="YES",(B40*B105)*B125,0)*0.1</f>
        <v>43.2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743.19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386.604375895552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314.078182855382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441.975192661746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369.975192661746</v>
      </c>
      <c r="B177" s="362" t="n">
        <f aca="false">IF(A105="YES",B89,0)</f>
        <v>72</v>
      </c>
      <c r="C177" s="364"/>
      <c r="D177" s="362" t="n">
        <f aca="false">B91</f>
        <v>441.975192661746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369.975192661746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441.975192661746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369.975192661746</v>
      </c>
      <c r="B186" s="107" t="n">
        <f aca="false">IF(A105="YES",B89,0)</f>
        <v>72</v>
      </c>
      <c r="C186" s="360"/>
      <c r="D186" s="107" t="n">
        <f aca="false">B91</f>
        <v>441.975192661746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22.4424</v>
      </c>
      <c r="B189" s="372" t="n">
        <f aca="false">B140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43.2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743.19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2283.75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200</v>
      </c>
      <c r="C211" s="324" t="s">
        <v>228</v>
      </c>
      <c r="D211" s="379" t="n">
        <f aca="false">B225+E221+B221+B223</f>
        <v>771.99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2855.74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2283.75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200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2855.74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432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111.880498260912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14075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1800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365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383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2378.25</v>
      </c>
      <c r="C64" s="471" t="n">
        <v>10000</v>
      </c>
      <c r="D64" s="294" t="n">
        <f aca="false">B64</f>
        <v>2378.25</v>
      </c>
      <c r="E64" s="472" t="n">
        <f aca="false">D64/(B58+B57)</f>
        <v>66.0625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4333.66666666667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120.37962962963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404.973077373306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17761.5036091935</v>
      </c>
      <c r="C85" s="479"/>
      <c r="D85" s="479"/>
      <c r="E85" s="472" t="n">
        <f aca="false">B85/(B58+B57)</f>
        <v>493.375100255374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125.383748753887</v>
      </c>
      <c r="C86" s="479" t="s">
        <v>241</v>
      </c>
      <c r="D86" s="219"/>
      <c r="E86" s="472" t="n">
        <f aca="false">B86/(B58+B57)</f>
        <v>3.48288190983019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17886.8873579474</v>
      </c>
      <c r="C87" s="479"/>
      <c r="D87" s="481"/>
      <c r="E87" s="472" t="n">
        <f aca="false">E86+E85</f>
        <v>496.857982165204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496.857982165204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568.857982165204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((E118)+E117)-E114</f>
        <v>1239.99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496.857982165204</v>
      </c>
      <c r="B128" s="325" t="n">
        <f aca="false">IF(A105="YES",B89,0)</f>
        <v>72</v>
      </c>
      <c r="C128" s="329"/>
      <c r="D128" s="325" t="n">
        <f aca="false">B91</f>
        <v>568.857982165204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496.857982165204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568.857982165204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496.857982165204</v>
      </c>
      <c r="B137" s="42" t="n">
        <f aca="false">IF(A105="YES",B89,0)</f>
        <v>72</v>
      </c>
      <c r="C137" s="321"/>
      <c r="D137" s="42" t="n">
        <f aca="false">B91</f>
        <v>568.857982165204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26.93088</v>
      </c>
      <c r="B140" s="347" t="n">
        <f aca="false">IF(A105="YES",B61*0.000002,0)*1.2*100</f>
        <v>8.97696</v>
      </c>
      <c r="C140" s="348"/>
      <c r="D140" s="347" t="n">
        <f aca="false">A140+B140</f>
        <v>35.90784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36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536.001666666667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568.857982165204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496.857982165204</v>
      </c>
      <c r="B177" s="362" t="n">
        <f aca="false">IF(A105="YES",B89,0)</f>
        <v>72</v>
      </c>
      <c r="C177" s="364"/>
      <c r="D177" s="362" t="n">
        <f aca="false">B91</f>
        <v>568.857982165204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496.857982165204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568.857982165204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496.857982165204</v>
      </c>
      <c r="B186" s="107" t="n">
        <f aca="false">IF(A105="YES",B89,0)</f>
        <v>72</v>
      </c>
      <c r="C186" s="360"/>
      <c r="D186" s="107" t="n">
        <f aca="false">B91</f>
        <v>568.857982165204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26.93088</v>
      </c>
      <c r="B189" s="372" t="n">
        <f aca="false">B140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36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536.001666666667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2378.25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699.991666666667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3078.23166666667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2378.25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3078.23166666667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360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125.383748753887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A189" activeCellId="0" sqref="A189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55495.83</v>
      </c>
      <c r="C3" s="489" t="n">
        <v>0</v>
      </c>
      <c r="D3" s="489" t="n">
        <v>833.33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</v>
      </c>
      <c r="C4" s="490" t="n">
        <v>0</v>
      </c>
      <c r="D4" s="490" t="n">
        <v>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</v>
      </c>
      <c r="C5" s="489" t="n">
        <v>0</v>
      </c>
      <c r="D5" s="489" t="n">
        <v>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645.83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585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54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343</v>
      </c>
      <c r="B41" s="108" t="s">
        <v>344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344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345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-366.249833333333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-363.583166666667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348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-363.583166666667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-363.583166666667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286</v>
      </c>
      <c r="B68" s="408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100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100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100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</v>
      </c>
      <c r="C80" s="321"/>
      <c r="D80" s="321"/>
      <c r="E80" s="395" t="n">
        <f aca="false">E79+D82</f>
        <v>703.333333333333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355</v>
      </c>
      <c r="C81" s="321"/>
      <c r="D81" s="321"/>
      <c r="E81" s="322" t="n">
        <f aca="false">E80/12</f>
        <v>58.6111111111111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2151.481392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2166.6693405115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180.555778375958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180.555778375958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360</v>
      </c>
      <c r="C105" s="316"/>
      <c r="D105" s="428" t="n">
        <v>1000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s">
        <v>361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28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180.555778375958</v>
      </c>
      <c r="B134" s="325" t="n">
        <f aca="false">IF(A111="YES",B95,0)</f>
        <v>0</v>
      </c>
      <c r="C134" s="329"/>
      <c r="D134" s="325" t="n">
        <f aca="false">B97</f>
        <v>180.555778375958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1625.00200538362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1625.00200538362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180.555778375958</v>
      </c>
      <c r="B143" s="42" t="n">
        <f aca="false">IF(A111="YES",B95,0)</f>
        <v>0</v>
      </c>
      <c r="C143" s="321"/>
      <c r="D143" s="42" t="n">
        <f aca="false">B97</f>
        <v>180.555778375958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599.991666666667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180.555778375958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180.555778375958</v>
      </c>
      <c r="B177" s="362" t="n">
        <f aca="false">IF(A111="YES",B95,0)</f>
        <v>0</v>
      </c>
      <c r="C177" s="364"/>
      <c r="D177" s="362" t="n">
        <f aca="false">A177+B177</f>
        <v>180.555778375958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1625.00200538362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1625.00200538362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180.555778375958</v>
      </c>
      <c r="B186" s="107" t="n">
        <f aca="false">IF(A111="YES",B95,0)</f>
        <v>0</v>
      </c>
      <c r="C186" s="360"/>
      <c r="D186" s="107" t="n">
        <f aca="false">B97</f>
        <v>180.555778375958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599.991666666667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4785.89916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5025.89082666667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100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5025.89082666667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15.1879485114966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1" colorId="64" zoomScale="95" zoomScaleNormal="95" zoomScalePageLayoutView="100" workbookViewId="0">
      <selection pane="topLeft" activeCell="A189" activeCellId="0" sqref="A189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55495.83</v>
      </c>
      <c r="C3" s="489" t="n">
        <v>0</v>
      </c>
      <c r="D3" s="489" t="n">
        <v>833.33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</v>
      </c>
      <c r="C4" s="490" t="n">
        <v>0</v>
      </c>
      <c r="D4" s="490" t="n">
        <v>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</v>
      </c>
      <c r="C5" s="489" t="n">
        <v>0</v>
      </c>
      <c r="D5" s="489" t="n">
        <v>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645.83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585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346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54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343</v>
      </c>
      <c r="B41" s="108" t="s">
        <v>344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79</v>
      </c>
      <c r="B44" s="108" t="s">
        <v>345</v>
      </c>
      <c r="C44" s="108"/>
      <c r="D44" s="108" t="s">
        <v>345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-316.249833333333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-313.583166666667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348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-313.583166666667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286</v>
      </c>
      <c r="B68" s="408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100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100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100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</v>
      </c>
      <c r="C80" s="321"/>
      <c r="D80" s="321"/>
      <c r="E80" s="395" t="n">
        <f aca="false">E79+D82</f>
        <v>703.333333333333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355</v>
      </c>
      <c r="C81" s="321"/>
      <c r="D81" s="321"/>
      <c r="E81" s="322" t="n">
        <f aca="false">E80/12</f>
        <v>58.6111111111111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1792.90116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1808.0891085115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65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150.674092375958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215.674092375958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360</v>
      </c>
      <c r="C105" s="316"/>
      <c r="D105" s="428" t="n">
        <v>1000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27</v>
      </c>
      <c r="B111" s="316" t="n">
        <v>30</v>
      </c>
      <c r="C111" s="316"/>
      <c r="D111" s="111" t="s">
        <v>361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28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150.674092375958</v>
      </c>
      <c r="B134" s="325" t="n">
        <f aca="false">IF(A111="YES",B95,0)</f>
        <v>65</v>
      </c>
      <c r="C134" s="330"/>
      <c r="D134" s="325" t="n">
        <f aca="false">B97</f>
        <v>215.674092375958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1356.06683138362</v>
      </c>
      <c r="C137" s="321"/>
      <c r="D137" s="42" t="n">
        <f aca="false">IF(A111="YES",B95*B63,0)</f>
        <v>585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1941.06683138362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150.674092375958</v>
      </c>
      <c r="B143" s="42" t="n">
        <f aca="false">IF(A111="YES",B95,0)</f>
        <v>65</v>
      </c>
      <c r="C143" s="321"/>
      <c r="D143" s="42" t="n">
        <f aca="false">B97</f>
        <v>215.674092375958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IF(A111="YES",(A44/100*B111)*B131,0)*0.1</f>
        <v>18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617.99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215.674092375958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150.674092375958</v>
      </c>
      <c r="B177" s="362" t="n">
        <f aca="false">IF(A111="YES",B95,0)</f>
        <v>65</v>
      </c>
      <c r="C177" s="365"/>
      <c r="D177" s="362" t="n">
        <f aca="false">B91</f>
        <v>1792.90116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1356.06683138362</v>
      </c>
      <c r="C180" s="360"/>
      <c r="D180" s="107" t="n">
        <f aca="false">IF(A111="YES",B95*B63,0)</f>
        <v>585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1941.06683138362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150.674092375958</v>
      </c>
      <c r="B186" s="107" t="n">
        <f aca="false">IF(A111="YES",B95,0)</f>
        <v>65</v>
      </c>
      <c r="C186" s="360"/>
      <c r="D186" s="107" t="n">
        <f aca="false">B97</f>
        <v>215.674092375958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IF(A111="YES",(A44/100*B111)*B131,0)*0.1</f>
        <v>18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617.99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4785.89916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519.99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5205.88916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100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5205.88916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15.1879485114966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4" colorId="64" zoomScale="95" zoomScaleNormal="95" zoomScalePageLayoutView="100" workbookViewId="0">
      <selection pane="topLeft" activeCell="E189" activeCellId="0" sqref="E189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</v>
      </c>
      <c r="C4" s="498"/>
      <c r="D4" s="499" t="n">
        <v>0</v>
      </c>
      <c r="E4" s="499"/>
      <c r="F4" s="499" t="n">
        <v>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/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/>
      <c r="F13" s="158"/>
      <c r="G13" s="160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258</v>
      </c>
      <c r="B34" s="36"/>
      <c r="C34" s="45" t="s">
        <v>52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54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32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235.000060606061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235.969757575758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395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1650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235.969757575758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0.024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71350.4744287586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3510.9994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235.969757575758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235.969757575758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235.969757575758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0.089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0.00741666666666667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4701.64581571928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28.392890887209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63318.3421842807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2230.07732589871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71362.4744287586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71362.4744287586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61.875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2230.07732589871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2291.95232589871</v>
      </c>
      <c r="C105" s="36"/>
      <c r="D105" s="36"/>
      <c r="E105" s="27" t="s">
        <v>27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/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/>
      <c r="C114" s="107"/>
      <c r="D114" s="107"/>
      <c r="E114" s="108" t="s">
        <v>27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0.089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245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1200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70219.988</v>
      </c>
      <c r="H167" s="174"/>
      <c r="J167" s="173" t="s">
        <v>190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190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190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2230.07732589871</v>
      </c>
      <c r="B176" s="181" t="n">
        <f aca="false">B103</f>
        <v>61.875</v>
      </c>
      <c r="C176" s="178"/>
      <c r="D176" s="178"/>
      <c r="E176" s="181" t="n">
        <f aca="false">B105</f>
        <v>2291.95232589871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33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70219.988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7142.48642875862</v>
      </c>
      <c r="B191" s="107" t="str">
        <f aca="false">B123</f>
        <v>199.99</v>
      </c>
      <c r="C191" s="107"/>
      <c r="D191" s="27"/>
      <c r="E191" s="107" t="n">
        <f aca="false">E188+A191+(B191*1.2)+A194</f>
        <v>77612.4624287586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13.6739976</v>
      </c>
      <c r="B197" s="107" t="n">
        <f aca="false">(G167*B76)/1.2</f>
        <v>2925.83283333333</v>
      </c>
      <c r="C197" s="97"/>
      <c r="D197" s="97"/>
      <c r="E197" s="107" t="n">
        <f aca="false">IF(E114="YES",(K55*A117*0.1),0)</f>
        <v>33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3058.82283333333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2291.95232589871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4567.21199999999</v>
      </c>
      <c r="B210" s="190" t="n">
        <f aca="false">ROUND((E188+A210+(B191*1.2)+A194),2)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2230.07732589871</v>
      </c>
      <c r="B221" s="181" t="n">
        <f aca="false">B176</f>
        <v>61.875</v>
      </c>
      <c r="C221" s="178"/>
      <c r="D221" s="178"/>
      <c r="E221" s="181" t="n">
        <f aca="false">E176</f>
        <v>2291.95232589871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70219.988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7142.48642875862</v>
      </c>
      <c r="B233" s="107" t="str">
        <f aca="false">B191</f>
        <v>199.99</v>
      </c>
      <c r="C233" s="107"/>
      <c r="D233" s="117"/>
      <c r="E233" s="107" t="n">
        <f aca="false">E191</f>
        <v>77612.4624287586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2230.07732589871</v>
      </c>
      <c r="B239" s="107" t="n">
        <f aca="false">B176</f>
        <v>61.875</v>
      </c>
      <c r="C239" s="190"/>
      <c r="D239" s="190"/>
      <c r="E239" s="107" t="n">
        <f aca="false">E176</f>
        <v>2291.95232589871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41.0219928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13.6739976</v>
      </c>
      <c r="B245" s="107" t="n">
        <f aca="false">E242+A245</f>
        <v>54.6959904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2925.83283333333</v>
      </c>
      <c r="C249" s="97"/>
      <c r="D249" s="97"/>
      <c r="E249" s="107" t="n">
        <f aca="false">E197</f>
        <v>33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3058.82283333333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0.089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4" t="n">
        <f aca="false">(E191-B191)-(B210-B191-A194)</f>
        <v>2585.27242875863</v>
      </c>
      <c r="C263" s="201"/>
      <c r="D263" s="202" t="s">
        <v>227</v>
      </c>
      <c r="E263" s="202"/>
      <c r="F263" s="204" t="n">
        <f aca="false">F270+F276+F278+B279+B280</f>
        <v>3510.9994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429.99</v>
      </c>
      <c r="C264" s="201"/>
      <c r="D264" s="202" t="s">
        <v>229</v>
      </c>
      <c r="E264" s="202"/>
      <c r="F264" s="204" t="n">
        <f aca="false">(B263-F263)+B264</f>
        <v>-495.736971241369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0.024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0.089</v>
      </c>
      <c r="C269" s="47"/>
      <c r="D269" s="170" t="s">
        <v>226</v>
      </c>
      <c r="E269" s="170"/>
      <c r="F269" s="150" t="n">
        <f aca="false">B263</f>
        <v>2585.27242875863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0.05</v>
      </c>
      <c r="C270" s="36"/>
      <c r="D270" s="170" t="s">
        <v>232</v>
      </c>
      <c r="E270" s="170"/>
      <c r="F270" s="155" t="n">
        <f aca="false">B77</f>
        <v>3510.9994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330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</v>
      </c>
      <c r="C272" s="36"/>
      <c r="D272" s="43" t="s">
        <v>229</v>
      </c>
      <c r="E272" s="43"/>
      <c r="F272" s="150" t="n">
        <f aca="false">(B263-F263)+B264</f>
        <v>-495.736971241369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89" activeCellId="0" sqref="E189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</v>
      </c>
      <c r="C4" s="498"/>
      <c r="D4" s="499" t="n">
        <v>0</v>
      </c>
      <c r="E4" s="499"/>
      <c r="F4" s="499" t="n">
        <v>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/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/>
      <c r="F13" s="158"/>
      <c r="G13" s="160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258</v>
      </c>
      <c r="B34" s="36"/>
      <c r="C34" s="45" t="s">
        <v>52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54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32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185.000060606061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185.969757575758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395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185.969757575758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74186.3527879342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0.03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0.03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2106.59964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185.969757575758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185.969757575758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185.969757575758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0.115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0.00958333333333333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4379.8532592462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27.4464895133802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63640.1347407538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2318.69852462294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74198.3527879342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74198.3527879342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2318.69852462294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2318.69852462294</v>
      </c>
      <c r="C105" s="36"/>
      <c r="D105" s="36"/>
      <c r="E105" s="27" t="s">
        <v>28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0.115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1200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70219.988</v>
      </c>
      <c r="H167" s="174"/>
      <c r="J167" s="173" t="s">
        <v>190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190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190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2318.69852462294</v>
      </c>
      <c r="B176" s="181" t="n">
        <f aca="false">B103</f>
        <v>0</v>
      </c>
      <c r="C176" s="178"/>
      <c r="D176" s="178"/>
      <c r="E176" s="181" t="n">
        <f aca="false">B105</f>
        <v>2318.69852462294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70219.988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9978.36478793419</v>
      </c>
      <c r="B191" s="107" t="str">
        <f aca="false">B123</f>
        <v>239.99</v>
      </c>
      <c r="C191" s="107"/>
      <c r="D191" s="27"/>
      <c r="E191" s="107" t="n">
        <f aca="false">E188+A191+B191+A194</f>
        <v>80448.3427879342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16.40879712</v>
      </c>
      <c r="B197" s="107" t="n">
        <f aca="false">(G167*B76)/1.2</f>
        <v>1755.4997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1855.49136666667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2318.69852462294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4567.21199999999</v>
      </c>
      <c r="B210" s="190" t="n">
        <f aca="false">E188+A210+B191+A194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2318.69852462294</v>
      </c>
      <c r="B221" s="181" t="n">
        <f aca="false">B176</f>
        <v>0</v>
      </c>
      <c r="C221" s="178"/>
      <c r="D221" s="178"/>
      <c r="E221" s="181" t="n">
        <f aca="false">E176</f>
        <v>2318.69852462294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70219.988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9978.36478793419</v>
      </c>
      <c r="B233" s="107" t="str">
        <f aca="false">B191</f>
        <v>239.99</v>
      </c>
      <c r="C233" s="107"/>
      <c r="D233" s="117"/>
      <c r="E233" s="107" t="n">
        <f aca="false">E191</f>
        <v>80448.3427879342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2318.69852462294</v>
      </c>
      <c r="B239" s="107" t="n">
        <f aca="false">B176</f>
        <v>0</v>
      </c>
      <c r="C239" s="190"/>
      <c r="D239" s="190"/>
      <c r="E239" s="107" t="n">
        <f aca="false">E176</f>
        <v>2318.69852462294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49.22639136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16.40879712</v>
      </c>
      <c r="B245" s="107" t="n">
        <f aca="false">E242+A245</f>
        <v>65.63518848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1755.4997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1855.49136666667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3" t="n">
        <f aca="false">(E191-B191)-(B210-B191-A194)</f>
        <v>5421.1527879342</v>
      </c>
      <c r="C263" s="201"/>
      <c r="D263" s="202" t="s">
        <v>227</v>
      </c>
      <c r="E263" s="202"/>
      <c r="F263" s="204" t="n">
        <f aca="false">F270+F276+F278+B279+B280</f>
        <v>2106.59964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99.9916666666667</v>
      </c>
      <c r="C264" s="201"/>
      <c r="D264" s="202" t="s">
        <v>229</v>
      </c>
      <c r="E264" s="202"/>
      <c r="F264" s="204" t="n">
        <f aca="false">(B263-F263)+B264</f>
        <v>3414.54481460087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0.115</v>
      </c>
      <c r="C269" s="47"/>
      <c r="D269" s="170" t="s">
        <v>226</v>
      </c>
      <c r="E269" s="170"/>
      <c r="F269" s="150" t="n">
        <f aca="false">B263</f>
        <v>5421.1527879342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0.03</v>
      </c>
      <c r="C270" s="36"/>
      <c r="D270" s="170" t="s">
        <v>232</v>
      </c>
      <c r="E270" s="170"/>
      <c r="F270" s="155" t="n">
        <f aca="false">B77</f>
        <v>2106.59964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99.9916666666667</v>
      </c>
      <c r="C272" s="36"/>
      <c r="D272" s="43" t="s">
        <v>229</v>
      </c>
      <c r="E272" s="43"/>
      <c r="F272" s="150" t="n">
        <f aca="false">(B263-F263)+B264</f>
        <v>3414.54481460087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14075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1800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365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383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37405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11955.4166666667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332.094907407407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616.688355151083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22423.0030076612</v>
      </c>
      <c r="C85" s="479"/>
      <c r="D85" s="479"/>
      <c r="E85" s="472" t="n">
        <f aca="false">B85/(B58+B57)</f>
        <v>622.861194657256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189.94879514356</v>
      </c>
      <c r="C86" s="479" t="s">
        <v>241</v>
      </c>
      <c r="D86" s="219"/>
      <c r="E86" s="472" t="n">
        <f aca="false">B86/(B58+B57)</f>
        <v>5.27635542065445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22612.9518028048</v>
      </c>
      <c r="C87" s="479"/>
      <c r="D87" s="481"/>
      <c r="E87" s="472" t="n">
        <f aca="false">E86+E85</f>
        <v>628.137550077911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65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628.137550077911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693.137550077911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628.137550077911</v>
      </c>
      <c r="B128" s="325" t="n">
        <f aca="false">IF(A105="YES",B89,0)</f>
        <v>65</v>
      </c>
      <c r="C128" s="329"/>
      <c r="D128" s="325" t="n">
        <f aca="false">B91</f>
        <v>693.137550077911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628.137550077911</v>
      </c>
      <c r="C131" s="321"/>
      <c r="D131" s="42" t="n">
        <f aca="false">IF(A105="YES",B89*B57,0)</f>
        <v>65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693.137550077911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628.137550077911</v>
      </c>
      <c r="B137" s="42" t="n">
        <f aca="false">IF(A105="YES",B89,0)</f>
        <v>65</v>
      </c>
      <c r="C137" s="321"/>
      <c r="D137" s="42" t="n">
        <f aca="false">B91</f>
        <v>693.137550077911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22.443</v>
      </c>
      <c r="B140" s="347" t="n">
        <f aca="false">IF(A105="YES",B61*0.000002,0)*100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554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693.137550077911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628.137550077911</v>
      </c>
      <c r="B177" s="362" t="n">
        <f aca="false">IF(A105="YES",B89,0)</f>
        <v>65</v>
      </c>
      <c r="C177" s="364"/>
      <c r="D177" s="362" t="n">
        <f aca="false">B91</f>
        <v>693.137550077911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628.137550077911</v>
      </c>
      <c r="C180" s="360"/>
      <c r="D180" s="107" t="n">
        <f aca="false">IF(A105="YES",B89*B57,0)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693.137550077911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628.137550077911</v>
      </c>
      <c r="B186" s="107" t="n">
        <f aca="false">IF(A105="YES",B89,0)</f>
        <v>65</v>
      </c>
      <c r="C186" s="360"/>
      <c r="D186" s="107" t="n">
        <f aca="false">B91</f>
        <v>693.137550077911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22.443</v>
      </c>
      <c r="B189" s="372" t="n">
        <f aca="false">B140</f>
        <v>7.481</v>
      </c>
      <c r="C189" s="373"/>
      <c r="D189" s="372" t="n">
        <f aca="false">A189+B189</f>
        <v>29.924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554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879.99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10879.98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10879.98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189.94879514356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1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396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258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0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1200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9978.36711974423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0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9978.36711974423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0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99.9916666666667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5421.15511974425</v>
      </c>
      <c r="C254" s="201"/>
      <c r="D254" s="202" t="s">
        <v>227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5521.14678641091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</v>
      </c>
      <c r="C261" s="36"/>
      <c r="D261" s="170" t="s">
        <v>232</v>
      </c>
      <c r="E261" s="170"/>
      <c r="F261" s="155" t="n">
        <f aca="false">B68</f>
        <v>0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5521.14678641091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396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258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2106.59964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245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 t="s">
        <v>27</v>
      </c>
      <c r="B120" s="120" t="n">
        <v>0</v>
      </c>
      <c r="C120" s="121" t="s">
        <v>158</v>
      </c>
      <c r="D120" s="120" t="s">
        <v>157</v>
      </c>
      <c r="E120" s="122" t="n">
        <v>0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1200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184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9978.36711974423</v>
      </c>
      <c r="B182" s="107" t="str">
        <f aca="false">B114</f>
        <v>199.99</v>
      </c>
      <c r="C182" s="107"/>
      <c r="D182" s="27"/>
      <c r="E182" s="107" t="n">
        <f aca="false">E179+A182+(B182*1.2)+A185</f>
        <v>80448.3431197443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1755.4997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1855.4897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E179+A201+(B182*1.2)+A185</f>
        <v>75037.188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9978.36711974423</v>
      </c>
      <c r="B224" s="107" t="str">
        <f aca="false">B182</f>
        <v>199.99</v>
      </c>
      <c r="C224" s="107"/>
      <c r="D224" s="117"/>
      <c r="E224" s="107" t="n">
        <f aca="false">E182</f>
        <v>80448.3431197443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13.6739976</v>
      </c>
      <c r="B236" s="107" t="n">
        <f aca="false">E233+A236</f>
        <v>54.6959904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1755.4997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1855.4897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5421.15511974425</v>
      </c>
      <c r="C254" s="201"/>
      <c r="D254" s="202" t="s">
        <v>227</v>
      </c>
      <c r="E254" s="202"/>
      <c r="F254" s="204" t="n">
        <f aca="false">F261+F267+F269+B270+B271</f>
        <v>2106.59964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3414.54547974425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</f>
        <v>2106.59964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3414.54547974425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396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258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0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281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1200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9978.36711974423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0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9978.36711974423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16.40879712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0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99.9916666666667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5421.15511974425</v>
      </c>
      <c r="C254" s="201"/>
      <c r="D254" s="202" t="s">
        <v>227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5521.14678641091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</v>
      </c>
      <c r="C261" s="36"/>
      <c r="D261" s="170" t="s">
        <v>232</v>
      </c>
      <c r="E261" s="170"/>
      <c r="F261" s="155" t="n">
        <f aca="false">B68</f>
        <v>0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5521.14678641091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253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397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10.647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1029.58657801085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350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199.99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10.647</v>
      </c>
      <c r="C134" s="330"/>
      <c r="D134" s="325" t="n">
        <f aca="false">B97</f>
        <v>1029.58657801085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1018.93957801085</v>
      </c>
      <c r="C137" s="321"/>
      <c r="D137" s="42" t="n">
        <f aca="false">IF(A111="YES",B95*B63,0)</f>
        <v>10.647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1029.58657801085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10.647</v>
      </c>
      <c r="C143" s="321"/>
      <c r="D143" s="42" t="n">
        <f aca="false">B97</f>
        <v>1029.58657801085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602.9384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1029.58657801085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10.647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1018.93957801085</v>
      </c>
      <c r="C180" s="360"/>
      <c r="D180" s="107" t="n">
        <f aca="false">IF(A111="YES",B95*B63,0)</f>
        <v>10.647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1029.58657801085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10.647</v>
      </c>
      <c r="C186" s="360"/>
      <c r="D186" s="107" t="n">
        <f aca="false">B97</f>
        <v>1029.58657801085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602.9384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369.474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5055.37316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5055.37316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253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397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12.7764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1238.15599874708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239.99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12.7764</v>
      </c>
      <c r="C134" s="330"/>
      <c r="D134" s="325" t="n">
        <f aca="false">B97</f>
        <v>1238.15599874708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1225.37959874708</v>
      </c>
      <c r="C137" s="321"/>
      <c r="D137" s="42" t="n">
        <f aca="false">IF(A111="YES",B95*B63,0)</f>
        <v>12.7764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1238.15599874708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12.7764</v>
      </c>
      <c r="C143" s="321"/>
      <c r="D143" s="42" t="n">
        <f aca="false">B97</f>
        <v>1238.15599874708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602.940066666667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1238.15599874708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12.7764</v>
      </c>
      <c r="C177" s="365"/>
      <c r="D177" s="362" t="n">
        <f aca="false">B91</f>
        <v>14601.478992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1225.37959874708</v>
      </c>
      <c r="C180" s="360"/>
      <c r="D180" s="107" t="n">
        <f aca="false">IF(A111="YES",B95*B63,0)</f>
        <v>12.7764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1238.15599874708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12.7764</v>
      </c>
      <c r="C186" s="360"/>
      <c r="D186" s="107" t="n">
        <f aca="false">B97</f>
        <v>1238.15599874708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602.940066666667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369.475666666667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5055.37482666667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5055.37482666667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-28758.33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-28758.33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84254.16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23125</v>
      </c>
      <c r="C9" s="491"/>
      <c r="D9" s="491"/>
      <c r="E9" s="507" t="n">
        <f aca="false">B7+C7+D7+E3</f>
        <v>85087.49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85733.32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(E9+E10)*20%</f>
        <v>17146.664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103529.984</v>
      </c>
      <c r="F15" s="67"/>
      <c r="G15" s="277" t="n">
        <f aca="false">E15</f>
        <v>103529.984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103529.984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253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397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12167.89916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12270.9753529649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10.647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1022.58127941374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1033.22827941374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360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s">
        <v>361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1022.58127941374</v>
      </c>
      <c r="B134" s="325" t="n">
        <f aca="false">IF(A111="YES",B95,0)</f>
        <v>10.647</v>
      </c>
      <c r="C134" s="330"/>
      <c r="D134" s="325" t="n">
        <f aca="false">B97</f>
        <v>1033.22827941374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9203.23151472368</v>
      </c>
      <c r="C137" s="321"/>
      <c r="D137" s="42" t="n">
        <f aca="false">IF(A111="YES",B95*B63,0)</f>
        <v>95.823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9299.05451472368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0.621179904</v>
      </c>
      <c r="H142" s="107" t="n">
        <f aca="false">IF(G111="YES",E15*0.000002,0)</f>
        <v>0.207059968</v>
      </c>
      <c r="I142" s="107"/>
      <c r="J142" s="107" t="n">
        <f aca="false">G142+H142</f>
        <v>0.828239872</v>
      </c>
      <c r="K142" s="109"/>
      <c r="L142" s="67"/>
      <c r="M142" s="115" t="n">
        <f aca="false">E15*0.000006</f>
        <v>0.621179904</v>
      </c>
      <c r="N142" s="107" t="n">
        <f aca="false">IF(M111="YES",E15*0.000002,0)</f>
        <v>0.207059968</v>
      </c>
      <c r="O142" s="107"/>
      <c r="P142" s="107" t="n">
        <f aca="false">M142+N142</f>
        <v>0.828239872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1022.58127941374</v>
      </c>
      <c r="B143" s="42" t="n">
        <f aca="false">IF(A111="YES",B95,0)</f>
        <v>10.647</v>
      </c>
      <c r="C143" s="321"/>
      <c r="D143" s="42" t="n">
        <f aca="false">B97</f>
        <v>1033.22827941374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602.9384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1033.22827941374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1022.58127941374</v>
      </c>
      <c r="B177" s="362" t="n">
        <f aca="false">IF(A111="YES",B95,0)</f>
        <v>10.647</v>
      </c>
      <c r="C177" s="365"/>
      <c r="D177" s="362" t="n">
        <f aca="false">B91</f>
        <v>12167.89916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9203.23151472368</v>
      </c>
      <c r="C180" s="360"/>
      <c r="D180" s="107" t="n">
        <f aca="false">IF(A111="YES",B95*B63,0)</f>
        <v>95.823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9299.05451472368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1022.58127941374</v>
      </c>
      <c r="B186" s="107" t="n">
        <f aca="false">IF(A111="YES",B95,0)</f>
        <v>10.647</v>
      </c>
      <c r="C186" s="360"/>
      <c r="D186" s="107" t="n">
        <f aca="false">B97</f>
        <v>1033.22827941374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602.9384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369.474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5055.37316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5055.37316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3" colorId="64" zoomScale="95" zoomScaleNormal="95" zoomScalePageLayoutView="100" workbookViewId="0">
      <selection pane="topLeft" activeCell="B70" activeCellId="0" sqref="B70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60</v>
      </c>
      <c r="E32" s="230"/>
      <c r="F32" s="67"/>
      <c r="G32" s="231" t="s">
        <v>253</v>
      </c>
      <c r="H32" s="229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560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390</v>
      </c>
      <c r="B41" s="245" t="n">
        <f aca="false">IF(B38="YES",D38+A41,D38)</f>
        <v>560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391</v>
      </c>
      <c r="E44" s="108"/>
      <c r="F44" s="67"/>
      <c r="G44" s="67" t="s">
        <v>267</v>
      </c>
      <c r="H44" s="242" t="str">
        <f aca="false">H32</f>
        <v>60</v>
      </c>
      <c r="I44" s="402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561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347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1096.93957801085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359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8" t="n">
        <v>30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78</v>
      </c>
      <c r="C134" s="330"/>
      <c r="D134" s="325" t="n">
        <f aca="false">B97</f>
        <v>1096.93957801085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1018.93957801085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1096.93957801085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78</v>
      </c>
      <c r="C143" s="321"/>
      <c r="D143" s="42" t="n">
        <f aca="false">B97</f>
        <v>1096.93957801085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14.4</v>
      </c>
      <c r="H148" s="107" t="n">
        <f aca="false">G108-100</f>
        <v>139.988</v>
      </c>
      <c r="I148" s="107"/>
      <c r="J148" s="107" t="n">
        <f aca="false">(H145+J145+G148+H148)-H151</f>
        <v>1519.26295</v>
      </c>
      <c r="K148" s="109"/>
      <c r="L148" s="67"/>
      <c r="M148" s="115" t="n">
        <f aca="false">IF(M111="YES",((A41*N111)*0.1)*(M133),0)</f>
        <v>14.4</v>
      </c>
      <c r="N148" s="107" t="n">
        <f aca="false">M108-100</f>
        <v>99.99</v>
      </c>
      <c r="O148" s="107"/>
      <c r="P148" s="107" t="n">
        <f aca="false">(N145+P145+M148+N148)-N151</f>
        <v>1479.26495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IF(A111="YES",(A41/100*B111)*B131,0)*0.1</f>
        <v>21.6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621.59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1096.93957801085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78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1018.93957801085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1096.93957801085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78</v>
      </c>
      <c r="C186" s="360"/>
      <c r="D186" s="107" t="n">
        <f aca="false">B97</f>
        <v>1096.93957801085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21.6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621.59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555.99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5241.88916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5241.88916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216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357</v>
      </c>
      <c r="B41" s="245" t="str">
        <f aca="false">IF(B38="YES",D38+A41,D38)</f>
        <v>500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357</v>
      </c>
      <c r="E44" s="108"/>
      <c r="F44" s="67"/>
      <c r="G44" s="67" t="s">
        <v>267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1225.37959874708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0</v>
      </c>
      <c r="C134" s="330"/>
      <c r="D134" s="325" t="n">
        <f aca="false">B97</f>
        <v>1225.37959874708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1225.37959874708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1225.37959874708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0</v>
      </c>
      <c r="C143" s="321"/>
      <c r="D143" s="42" t="n">
        <f aca="false">B97</f>
        <v>1225.37959874708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1504.86295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1464.86495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599.991666666667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1225.37959874708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0</v>
      </c>
      <c r="C177" s="365"/>
      <c r="D177" s="362" t="n">
        <f aca="false">B97</f>
        <v>1225.37959874708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1225.37959874708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1225.37959874708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0</v>
      </c>
      <c r="C186" s="360"/>
      <c r="D186" s="107" t="n">
        <f aca="false">B97</f>
        <v>1225.37959874708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599.991666666667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5025.89082666667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5025.89082666667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358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12167.89916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12270.9753529649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1022.58127941374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1087.58127941374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1022.58127941374</v>
      </c>
      <c r="B134" s="325" t="n">
        <f aca="false">IF(A111="YES",B95,0)</f>
        <v>65</v>
      </c>
      <c r="C134" s="330"/>
      <c r="D134" s="325" t="n">
        <f aca="false">B97</f>
        <v>1087.58127941374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1022.58127941374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1087.58127941374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1022.58127941374</v>
      </c>
      <c r="B143" s="42" t="n">
        <f aca="false">IF(A111="YES",B95,0)</f>
        <v>65</v>
      </c>
      <c r="C143" s="321"/>
      <c r="D143" s="42" t="n">
        <f aca="false">B97</f>
        <v>1087.58127941374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1516.86295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1476.86495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617.99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1087.58127941374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1022.58127941374</v>
      </c>
      <c r="B177" s="362" t="n">
        <f aca="false">IF(A111="YES",B95,0)</f>
        <v>65</v>
      </c>
      <c r="C177" s="365"/>
      <c r="D177" s="362" t="n">
        <f aca="false">B91</f>
        <v>12167.89916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1022.58127941374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1087.58127941374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1022.58127941374</v>
      </c>
      <c r="B186" s="107" t="n">
        <f aca="false">IF(A111="YES",B95,0)</f>
        <v>65</v>
      </c>
      <c r="C186" s="360"/>
      <c r="D186" s="107" t="n">
        <f aca="false">B97</f>
        <v>1087.58127941374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617.99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5205.88916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5205.88916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18.46</v>
      </c>
      <c r="E32" s="230"/>
      <c r="F32" s="67"/>
      <c r="G32" s="231" t="s">
        <v>253</v>
      </c>
      <c r="H32" s="229" t="n">
        <f aca="false">A41</f>
        <v>18.46</v>
      </c>
      <c r="J32" s="48" t="s">
        <v>46</v>
      </c>
      <c r="K32" s="267" t="s">
        <v>396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518.46</v>
      </c>
      <c r="B35" s="227" t="s">
        <v>258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395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18.46</v>
      </c>
      <c r="B41" s="245" t="n">
        <f aca="false">IF(B38="YES",D38+A41,D38)</f>
        <v>518.46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18.46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518.823636363636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518.823636363636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0.072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76116.3983102275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2106.59964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0.137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0.0114166666666667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4125.32107917265</v>
      </c>
      <c r="C86" s="97" t="n">
        <f aca="false">(B82/((1+B84)^(B85+1)))</f>
        <v>4125.32107917265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26.6800219733353</v>
      </c>
      <c r="C87" s="97" t="n">
        <f aca="false">((1-(1/((1+B84)^B85)))/B84)</f>
        <v>26.6800219733353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63894.6689208274</v>
      </c>
      <c r="C88" s="97" t="n">
        <f aca="false">B81-B86</f>
        <v>63894.6689208274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2394.85068583097</v>
      </c>
      <c r="C89" s="97" t="n">
        <f aca="false">(B88/B87)</f>
        <v>2394.85068583097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76635.2219465911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76635.2219465911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22.84425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2394.85068583097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2417.69493583097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/>
      <c r="E108" s="112" t="n">
        <f aca="false">B83</f>
        <v>0.137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1200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2394.85068583097</v>
      </c>
      <c r="B167" s="181" t="n">
        <f aca="false">B94</f>
        <v>22.84425</v>
      </c>
      <c r="C167" s="178"/>
      <c r="D167" s="178"/>
      <c r="E167" s="181" t="n">
        <f aca="false">B96</f>
        <v>2417.69493583097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12415.21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82885.188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1755.4997</v>
      </c>
      <c r="C188" s="97"/>
      <c r="D188" s="97"/>
      <c r="E188" s="107" t="n">
        <f aca="false">IF(E105="YES",(H36*A108)*0.1,0)</f>
        <v>12.1836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1867.6733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2417.69493583097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E179+A201+(B182*1.2)+A185</f>
        <v>75037.188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2394.85068583097</v>
      </c>
      <c r="B212" s="181" t="n">
        <f aca="false">B167</f>
        <v>22.84425</v>
      </c>
      <c r="C212" s="178"/>
      <c r="D212" s="178"/>
      <c r="E212" s="181" t="n">
        <f aca="false">E167</f>
        <v>2417.69493583097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12415.21</v>
      </c>
      <c r="B224" s="107" t="str">
        <f aca="false">B182</f>
        <v>199.99</v>
      </c>
      <c r="C224" s="107"/>
      <c r="D224" s="117"/>
      <c r="E224" s="107" t="n">
        <f aca="false">E182</f>
        <v>82885.188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2394.85068583097</v>
      </c>
      <c r="B230" s="107" t="n">
        <f aca="false">B167</f>
        <v>22.84425</v>
      </c>
      <c r="C230" s="190"/>
      <c r="D230" s="190"/>
      <c r="E230" s="107" t="n">
        <f aca="false">E167</f>
        <v>2417.69493583097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1755.4997</v>
      </c>
      <c r="C240" s="97"/>
      <c r="D240" s="97"/>
      <c r="E240" s="107" t="n">
        <f aca="false">IF(E105="YES",(H36*A108)*0.1,0)</f>
        <v>12.1836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1867.6733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0.137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7858.00000000002</v>
      </c>
      <c r="C254" s="201"/>
      <c r="D254" s="202" t="s">
        <v>227</v>
      </c>
      <c r="E254" s="202"/>
      <c r="F254" s="204" t="n">
        <f aca="false">F261+F267+F269+B270+B271</f>
        <v>2106.59964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221.826</v>
      </c>
      <c r="C255" s="201"/>
      <c r="D255" s="202" t="s">
        <v>229</v>
      </c>
      <c r="E255" s="202"/>
      <c r="F255" s="204" t="n">
        <f aca="false">(B254-F254)+B255</f>
        <v>5973.22636000001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0.072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0.137</v>
      </c>
      <c r="C260" s="47"/>
      <c r="D260" s="170" t="s">
        <v>226</v>
      </c>
      <c r="E260" s="170"/>
      <c r="F260" s="150" t="n">
        <f aca="false">B254</f>
        <v>7858.00000000002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</f>
        <v>2106.59964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121.836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5973.22636000001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5" customWidth="true" hidden="false" style="6" width="18.88" collapsed="false" outlineLevel="0"/>
    <col min="6" max="6" customWidth="true" hidden="false" style="6" width="31.92" collapsed="false" outlineLevel="0"/>
    <col min="7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645.83</v>
      </c>
      <c r="I10" s="7"/>
      <c r="J10" s="7"/>
      <c r="K10" s="6" t="s">
        <v>28</v>
      </c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 t="n">
        <v>0</v>
      </c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400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17.9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36.0</v>
      </c>
      <c r="P29" s="216"/>
    </row>
    <row r="30" customFormat="false" ht="17.9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28050.0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1423.44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1219.06019526256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39.54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43952.1081463547</v>
      </c>
      <c r="N39" s="6" t="n">
        <f aca="false">K39-L39</f>
        <v>13672.8818536453</v>
      </c>
      <c r="P39" s="216"/>
    </row>
    <row r="40" customFormat="false" ht="19.5" hidden="false" customHeight="false" outlineLevel="0" collapsed="false">
      <c r="A40" s="111" t="n">
        <f aca="false">E36*A45/100</f>
        <v>28050</v>
      </c>
      <c r="B40" s="111" t="n">
        <f aca="false">IF(B26="YES",K42,"0.00")</f>
        <v>39.54</v>
      </c>
      <c r="C40" s="111"/>
      <c r="D40" s="111"/>
      <c r="E40" s="186" t="n">
        <f aca="false">K32</f>
        <v>1423.44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13672.8818536453</v>
      </c>
      <c r="N40" s="6" t="n">
        <f aca="false">N38-N39</f>
        <v>-10761.2018536453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39.54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1179.52019526256</v>
      </c>
      <c r="L47" s="7" t="n">
        <f aca="false">L49-K42</f>
        <v>760.46</v>
      </c>
      <c r="M47" s="6" t="n">
        <f aca="false">K47-L47</f>
        <v>419.060195262557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1219.06019526256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1219.06019526256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0.024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26481.097092106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-904.773084087559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3417.666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1219.06019526256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1219.06019526256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82023.984</v>
      </c>
      <c r="C81" s="97"/>
      <c r="D81" s="97"/>
      <c r="E81" s="117"/>
      <c r="F81" s="29" t="s">
        <v>115</v>
      </c>
      <c r="G81" s="31" t="n">
        <f aca="false">G158</f>
        <v>82023.984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53361.239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0.089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0.00741666666666667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21498.3005628674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30.7264493562845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60525.6834371327</v>
      </c>
      <c r="C88" s="97"/>
      <c r="D88" s="97"/>
      <c r="E88" s="117"/>
      <c r="F88" s="35" t="s">
        <v>122</v>
      </c>
      <c r="G88" s="37" t="n">
        <f aca="false">G81-G86</f>
        <v>58931.3230890458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34386.3158740424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1969.82354633023</v>
      </c>
      <c r="C89" s="97"/>
      <c r="D89" s="97"/>
      <c r="E89" s="117"/>
      <c r="F89" s="35" t="s">
        <v>123</v>
      </c>
      <c r="G89" s="37" t="n">
        <f aca="false">(G88/G87)</f>
        <v>1852.94030358965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1187.3701127247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68943.8241215581</v>
      </c>
      <c r="C90" s="97"/>
      <c r="D90" s="97"/>
      <c r="E90" s="117"/>
      <c r="F90" s="35" t="s">
        <v>124</v>
      </c>
      <c r="G90" s="37" t="n">
        <f aca="false">((G89*(G85))+G77)</f>
        <v>64852.9106256377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41557.9539453645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68943.8241215581</v>
      </c>
      <c r="C92" s="97"/>
      <c r="D92" s="97"/>
      <c r="E92" s="117"/>
      <c r="F92" s="60" t="s">
        <v>126</v>
      </c>
      <c r="G92" s="69" t="n">
        <f aca="false">(G90+G91)</f>
        <v>64852.9106256377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41557.9539453645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48.8036571428571</v>
      </c>
      <c r="C94" s="97"/>
      <c r="D94" s="97"/>
      <c r="E94" s="117"/>
      <c r="F94" s="93" t="s">
        <v>127</v>
      </c>
      <c r="G94" s="98" t="n">
        <f aca="false">IF(B26="YES",((E40/B85)*(1+A108)*(C45/100)),"0")</f>
        <v>48.8036571428571</v>
      </c>
      <c r="H94" s="37"/>
      <c r="J94" s="93" t="s">
        <v>127</v>
      </c>
      <c r="K94" s="94" t="n">
        <f aca="false">((E40/K85)*(1+J108))*1.2</f>
        <v>61.6824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48.8036571428571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58.5643885714286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1969.82354633023</v>
      </c>
      <c r="C95" s="97"/>
      <c r="D95" s="97"/>
      <c r="E95" s="117"/>
      <c r="F95" s="99" t="s">
        <v>128</v>
      </c>
      <c r="G95" s="100" t="n">
        <f aca="false">G92/(G85)</f>
        <v>1852.94030358965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1187.3701127247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2018.62720347309</v>
      </c>
      <c r="C96" s="97"/>
      <c r="D96" s="97"/>
      <c r="E96" s="117"/>
      <c r="F96" s="101" t="s">
        <v>129</v>
      </c>
      <c r="G96" s="102" t="n">
        <f aca="false">G94+G95</f>
        <v>1901.74396073251</v>
      </c>
      <c r="H96" s="37"/>
      <c r="J96" s="101" t="s">
        <v>129</v>
      </c>
      <c r="K96" s="102" t="n">
        <f aca="false">(K94+K95)</f>
        <v>1543.50708568742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1236.17376986756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1245.93450129613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400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402</v>
      </c>
      <c r="C108" s="111"/>
      <c r="D108" s="111" t="n">
        <v>0</v>
      </c>
      <c r="E108" s="112" t="n">
        <f aca="false">B83</f>
        <v>0.089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13873.9575</v>
      </c>
      <c r="V124" s="134" t="n">
        <f aca="false">(V121*V122)+V123</f>
        <v>0</v>
      </c>
      <c r="W124" s="135" t="n">
        <f aca="false">(W121*W122)+W123</f>
        <v>0</v>
      </c>
      <c r="X124" s="134" t="n">
        <f aca="false">(X121*X122)+X123</f>
        <v>0</v>
      </c>
      <c r="Y124" s="135" t="n">
        <f aca="false">(Y121*Y122)+Y123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41621.8725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42455.2025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8620.2065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52361.239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52361.239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-58767.2116666667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-16658.749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1200.0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82023.984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53361.239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1969.82354633023</v>
      </c>
      <c r="B167" s="181" t="n">
        <f aca="false">B94</f>
        <v>48.8036571428571</v>
      </c>
      <c r="C167" s="178"/>
      <c r="D167" s="178"/>
      <c r="E167" s="181" t="n">
        <f aca="false">B96</f>
        <v>2018.62720347309</v>
      </c>
      <c r="F167" s="27"/>
      <c r="G167" s="27" t="n">
        <f aca="false">ROUND(G95,2)</f>
        <v>1852.94</v>
      </c>
      <c r="H167" s="37"/>
      <c r="J167" s="180" t="n">
        <f aca="false">K95</f>
        <v>1481.82468568742</v>
      </c>
      <c r="K167" s="181" t="n">
        <f aca="false">K94</f>
        <v>61.6824</v>
      </c>
      <c r="L167" s="178"/>
      <c r="M167" s="178"/>
      <c r="N167" s="181" t="n">
        <f aca="false">K96</f>
        <v>1543.50708568742</v>
      </c>
      <c r="O167" s="27"/>
      <c r="P167" s="27"/>
      <c r="Q167" s="37"/>
      <c r="S167" s="180" t="n">
        <f aca="false">T95</f>
        <v>1187.3701127247</v>
      </c>
      <c r="T167" s="181" t="n">
        <f aca="false">T94</f>
        <v>48.8036571428571</v>
      </c>
      <c r="U167" s="178"/>
      <c r="V167" s="178"/>
      <c r="W167" s="181" t="n">
        <f aca="false">T96</f>
        <v>1236.17376986756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58.5643885714286</v>
      </c>
      <c r="AD167" s="178"/>
      <c r="AE167" s="178"/>
      <c r="AF167" s="181" t="n">
        <f aca="false">AC96</f>
        <v>1245.93450129613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43101.0325</v>
      </c>
      <c r="T173" s="107" t="n">
        <f aca="false">Z137</f>
        <v>8620.2065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52361.239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82023.984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53361.239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14969.72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97243.688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16246.7149453645</v>
      </c>
      <c r="T182" s="107" t="n">
        <f aca="false">T114</f>
        <v>199.99</v>
      </c>
      <c r="U182" s="107"/>
      <c r="V182" s="27"/>
      <c r="W182" s="107" t="n">
        <f aca="false">W179+S182+T182+S185</f>
        <v>69817.9439453645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13.6739976</v>
      </c>
      <c r="B188" s="107" t="n">
        <f aca="false">(G158*B67)/1.2</f>
        <v>3417.666</v>
      </c>
      <c r="C188" s="97"/>
      <c r="D188" s="97"/>
      <c r="E188" s="107" t="n">
        <f aca="false">(E40*A108)*0.1*(C45/100)</f>
        <v>28.4688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42.7032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444.676991666667</v>
      </c>
      <c r="U188" s="97"/>
      <c r="V188" s="97"/>
      <c r="W188" s="107" t="n">
        <f aca="false">(E40*S108)*0.1</f>
        <v>28.4688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28.4688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3546.1248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3543.31795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1573.13579166667</v>
      </c>
      <c r="U191" s="97"/>
      <c r="V191" s="97"/>
      <c r="W191" s="107" t="n">
        <f aca="false">Z148</f>
        <v>-16658.749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1613.13579166667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2018.62720347309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1543.50708568742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1236.17376986756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1245.93450129613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10878.916</v>
      </c>
      <c r="B201" s="190" t="n">
        <f aca="false">E179+A201+(B182*1.2)+A185</f>
        <v>93152.888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1969.82354633023</v>
      </c>
      <c r="B212" s="181" t="n">
        <f aca="false">B167</f>
        <v>48.8036571428571</v>
      </c>
      <c r="C212" s="178"/>
      <c r="D212" s="178"/>
      <c r="E212" s="181" t="n">
        <f aca="false">E167</f>
        <v>2018.62720347309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82023.984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14969.72</v>
      </c>
      <c r="B224" s="107" t="str">
        <f aca="false">B182</f>
        <v>199.99</v>
      </c>
      <c r="C224" s="107"/>
      <c r="D224" s="117"/>
      <c r="E224" s="107" t="n">
        <f aca="false">E182</f>
        <v>97243.688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1969.82354633023</v>
      </c>
      <c r="B230" s="107" t="n">
        <f aca="false">B167</f>
        <v>48.8036571428571</v>
      </c>
      <c r="C230" s="190"/>
      <c r="D230" s="190"/>
      <c r="E230" s="107" t="n">
        <f aca="false">E167</f>
        <v>2018.62720347309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3417.666</v>
      </c>
      <c r="C240" s="97"/>
      <c r="D240" s="97"/>
      <c r="E240" s="107" t="n">
        <f aca="false">E188</f>
        <v>28.4688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15049.4548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0.089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4100.8</v>
      </c>
      <c r="C254" s="201"/>
      <c r="D254" s="202" t="s">
        <v>227</v>
      </c>
      <c r="E254" s="202"/>
      <c r="F254" s="204" t="n">
        <f aca="false">F261+F267+F269+B270+B271</f>
        <v>4101.1992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384.678</v>
      </c>
      <c r="C255" s="201"/>
      <c r="D255" s="202" t="s">
        <v>229</v>
      </c>
      <c r="E255" s="202"/>
      <c r="F255" s="204" t="n">
        <f aca="false">(B254-F254)+B255</f>
        <v>384.278800000002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0.024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0.089</v>
      </c>
      <c r="C260" s="47"/>
      <c r="D260" s="170" t="s">
        <v>226</v>
      </c>
      <c r="E260" s="170"/>
      <c r="F260" s="150" t="n">
        <f aca="false">B254</f>
        <v>4100.8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0.05</v>
      </c>
      <c r="C261" s="36"/>
      <c r="D261" s="170" t="s">
        <v>232</v>
      </c>
      <c r="E261" s="170"/>
      <c r="F261" s="155" t="n">
        <f aca="false">B68*1.2</f>
        <v>4101.1992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284.688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384.278800000002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1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5677.5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 t="n">
        <v>0</v>
      </c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1703.46527337661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1703.46527337661</v>
      </c>
      <c r="B36" s="236" t="str">
        <f aca="false">IF(B26="YES",K42,"0.00")</f>
        <v>0.00</v>
      </c>
      <c r="C36" s="236"/>
      <c r="D36" s="236"/>
      <c r="E36" s="236" t="n">
        <f aca="false">K31</f>
        <v>5677.5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29097.7257124496</v>
      </c>
      <c r="N39" s="6" t="n">
        <f aca="false">K39-L39</f>
        <v>28527.2642875504</v>
      </c>
      <c r="P39" s="216"/>
    </row>
    <row r="40" customFormat="false" ht="19.5" hidden="false" customHeight="false" outlineLevel="0" collapsed="false">
      <c r="A40" s="111" t="n">
        <f aca="false">E36*A45/100</f>
        <v>5677.5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4731.25</v>
      </c>
      <c r="L40" s="7" t="n">
        <f aca="false">K39-L39</f>
        <v>28527.2642875504</v>
      </c>
      <c r="N40" s="6" t="n">
        <f aca="false">N38-N39</f>
        <v>-25615.5842875504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(K32/K36/100)*C45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3837.41731703539</v>
      </c>
      <c r="L44" s="7"/>
      <c r="P44" s="216"/>
    </row>
    <row r="45" customFormat="false" ht="19.5" hidden="false" customHeight="false" outlineLevel="0" collapsed="false">
      <c r="A45" s="511" t="n">
        <v>100</v>
      </c>
      <c r="B45" s="97"/>
      <c r="C45" s="512" t="n">
        <v>100</v>
      </c>
      <c r="D45" s="512"/>
      <c r="E45" s="512"/>
      <c r="F45" s="97"/>
      <c r="G45" s="97"/>
      <c r="H45" s="37"/>
      <c r="J45" s="7" t="s">
        <v>376</v>
      </c>
      <c r="K45" s="7" t="n">
        <f aca="false">(K39-K44)</f>
        <v>53787.5726829646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31.5753854942677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1703.46527337661</v>
      </c>
      <c r="L47" s="7" t="n">
        <f aca="false">L49-K42</f>
        <v>800</v>
      </c>
      <c r="M47" s="6" t="n">
        <f aca="false">K47-L47</f>
        <v>903.46527337661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1703.46527337661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1703.46527337661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32556.5402669007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-8251.25300990434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19691.725290374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-126.943490093159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0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1703.46527337661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1703.46527337661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1703.46527337661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1703.46527337661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5677.5</v>
      </c>
      <c r="C82" s="97"/>
      <c r="D82" s="97"/>
      <c r="E82" s="117"/>
      <c r="F82" s="35" t="s">
        <v>116</v>
      </c>
      <c r="G82" s="37" t="n">
        <f aca="false">IF(A111="YES",A40,0)</f>
        <v>5677.5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5677.5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5677.5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4007.82786552385</v>
      </c>
      <c r="C86" s="97"/>
      <c r="D86" s="97"/>
      <c r="E86" s="117"/>
      <c r="F86" s="35" t="s">
        <v>120</v>
      </c>
      <c r="G86" s="37" t="n">
        <f aca="false">(G82/((1+G84)^(G85+1)))</f>
        <v>4631.76270166172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3882.57325930994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3882.57325930994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28.7026658885233</v>
      </c>
      <c r="C87" s="97"/>
      <c r="D87" s="97"/>
      <c r="E87" s="117"/>
      <c r="F87" s="35" t="s">
        <v>121</v>
      </c>
      <c r="G87" s="37" t="n">
        <f aca="false">((1-(1/((1+G84)^G85)))/G84)</f>
        <v>30.7595752429843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77816.1561344762</v>
      </c>
      <c r="C88" s="97"/>
      <c r="D88" s="97"/>
      <c r="E88" s="117"/>
      <c r="F88" s="35" t="s">
        <v>122</v>
      </c>
      <c r="G88" s="37" t="n">
        <f aca="false">G81-G86</f>
        <v>77192.2212983383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65960.9272506901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49478.6657406901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2711.11249514947</v>
      </c>
      <c r="C89" s="97"/>
      <c r="D89" s="97"/>
      <c r="E89" s="117"/>
      <c r="F89" s="35" t="s">
        <v>123</v>
      </c>
      <c r="G89" s="37" t="n">
        <f aca="false">(G88/G87)</f>
        <v>2509.53469573493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2332.73558407516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1749.83356112024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92177.8248350821</v>
      </c>
      <c r="C90" s="97"/>
      <c r="D90" s="97"/>
      <c r="E90" s="117"/>
      <c r="F90" s="35" t="s">
        <v>124</v>
      </c>
      <c r="G90" s="37" t="n">
        <f aca="false">((G89*(G85))+G77)</f>
        <v>85324.1796549877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79313.0098585554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59494.3410780882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92177.8248350821</v>
      </c>
      <c r="C92" s="97"/>
      <c r="D92" s="97"/>
      <c r="E92" s="117"/>
      <c r="F92" s="60" t="s">
        <v>126</v>
      </c>
      <c r="G92" s="69" t="n">
        <f aca="false">(G90+G91)</f>
        <v>85324.1796549877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79313.0098585554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59494.3410780882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2711.11249514947</v>
      </c>
      <c r="C95" s="97"/>
      <c r="D95" s="97"/>
      <c r="E95" s="117"/>
      <c r="F95" s="99" t="s">
        <v>128</v>
      </c>
      <c r="G95" s="100" t="n">
        <f aca="false">G92/(G85)</f>
        <v>2509.53469573493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2332.73558407516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1749.83356112024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2711.11249514947</v>
      </c>
      <c r="C96" s="97"/>
      <c r="D96" s="97"/>
      <c r="E96" s="117"/>
      <c r="F96" s="101" t="s">
        <v>129</v>
      </c>
      <c r="G96" s="102" t="n">
        <f aca="false">G94+G95</f>
        <v>2509.53469573493</v>
      </c>
      <c r="H96" s="37"/>
      <c r="J96" s="101" t="s">
        <v>129</v>
      </c>
      <c r="K96" s="102" t="n">
        <f aca="false">(K94+K95)</f>
        <v>1510.88328112579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2332.73558407516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1749.83356112024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131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8</v>
      </c>
      <c r="C108" s="111"/>
      <c r="D108" s="111"/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</v>
      </c>
      <c r="D122" s="127" t="n">
        <f aca="false">D4</f>
        <v>0</v>
      </c>
      <c r="E122" s="128" t="n">
        <v>0</v>
      </c>
      <c r="F122" s="127" t="n">
        <f aca="false">F4</f>
        <v>0</v>
      </c>
      <c r="G122" s="458" t="n">
        <v>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</v>
      </c>
      <c r="F123" s="134" t="n">
        <f aca="false">F5</f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81823.984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2711.11249514947</v>
      </c>
      <c r="B167" s="181" t="str">
        <f aca="false">B94</f>
        <v>0</v>
      </c>
      <c r="C167" s="178"/>
      <c r="D167" s="178"/>
      <c r="E167" s="181" t="n">
        <f aca="false">B96</f>
        <v>2711.11249514947</v>
      </c>
      <c r="F167" s="27"/>
      <c r="G167" s="27" t="n">
        <f aca="false">ROUND(G95,2)</f>
        <v>2509.53</v>
      </c>
      <c r="H167" s="37"/>
      <c r="J167" s="180" t="n">
        <f aca="false">K95</f>
        <v>1510.88328112579</v>
      </c>
      <c r="K167" s="181" t="n">
        <f aca="false">K94</f>
        <v>0</v>
      </c>
      <c r="L167" s="178"/>
      <c r="M167" s="178"/>
      <c r="N167" s="181" t="n">
        <f aca="false">K96</f>
        <v>1510.88328112579</v>
      </c>
      <c r="O167" s="27"/>
      <c r="P167" s="27"/>
      <c r="Q167" s="37"/>
      <c r="S167" s="180" t="n">
        <f aca="false">T95</f>
        <v>2332.73558407516</v>
      </c>
      <c r="T167" s="181" t="n">
        <f aca="false">T94</f>
        <v>0</v>
      </c>
      <c r="U167" s="178"/>
      <c r="V167" s="178"/>
      <c r="W167" s="181" t="n">
        <f aca="false">T96</f>
        <v>2332.73558407516</v>
      </c>
      <c r="X167" s="27"/>
      <c r="Y167" s="27"/>
      <c r="Z167" s="37"/>
      <c r="AB167" s="180" t="n">
        <f aca="false">AC95</f>
        <v>1749.83356112024</v>
      </c>
      <c r="AC167" s="181" t="n">
        <f aca="false">AC94</f>
        <v>0</v>
      </c>
      <c r="AD167" s="178"/>
      <c r="AE167" s="178"/>
      <c r="AF167" s="181" t="n">
        <f aca="false">AC96</f>
        <v>1749.83356112024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233" t="n">
        <f aca="false">K30</f>
        <v>35000</v>
      </c>
      <c r="C170" s="185"/>
      <c r="D170" s="27"/>
      <c r="E170" s="186" t="n">
        <f aca="false">IF(A111="YES",A40,0)</f>
        <v>5677.5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5677.5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5677.5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5677.5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16031.26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98105.23</v>
      </c>
      <c r="F182" s="27"/>
      <c r="G182" s="27"/>
      <c r="H182" s="109"/>
      <c r="J182" s="115" t="n">
        <f aca="false">(J167*K59)+N185-N179-J185</f>
        <v>19277.535558277</v>
      </c>
      <c r="K182" s="107" t="n">
        <f aca="false">K114</f>
        <v>239.99</v>
      </c>
      <c r="L182" s="107"/>
      <c r="M182" s="27"/>
      <c r="N182" s="107" t="n">
        <f aca="false">N179+J182+K182+J185</f>
        <v>57307.521558277</v>
      </c>
      <c r="O182" s="27"/>
      <c r="P182" s="27"/>
      <c r="Q182" s="109"/>
      <c r="S182" s="115" t="n">
        <f aca="false">(S167*T59)+W185-W179-S185</f>
        <v>15147.0093485554</v>
      </c>
      <c r="T182" s="107" t="n">
        <f aca="false">T114</f>
        <v>199.99</v>
      </c>
      <c r="U182" s="107"/>
      <c r="V182" s="27"/>
      <c r="W182" s="107" t="n">
        <f aca="false">W179+S182+T182+S185</f>
        <v>85200.4998585554</v>
      </c>
      <c r="X182" s="27"/>
      <c r="Y182" s="27"/>
      <c r="Z182" s="109"/>
      <c r="AB182" s="115" t="n">
        <f aca="false">(AB167*AC59)+AF185-AF179-AB185</f>
        <v>11810.6020780882</v>
      </c>
      <c r="AC182" s="107" t="n">
        <f aca="false">AC114</f>
        <v>239.99</v>
      </c>
      <c r="AD182" s="107"/>
      <c r="AE182" s="27"/>
      <c r="AF182" s="107" t="n">
        <f aca="false">AF179+AB182+AC182+AB185</f>
        <v>65421.8310780882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(IF(E170=0,E167+A185,E170+A185))</f>
        <v>5687.5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5697.5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5687.5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5687.5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B68</f>
        <v>0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569.903563189236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3467.82829513889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1669.89356318924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1575.40288767361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2711.11249514947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1510.88328112579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2332.73558407516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1749.83356112024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9177.53599999999</v>
      </c>
      <c r="B201" s="190" t="n">
        <f aca="false">E179+A201+B182+A185</f>
        <v>91251.51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2711.11249514947</v>
      </c>
      <c r="B212" s="181" t="str">
        <f aca="false">B167</f>
        <v>0</v>
      </c>
      <c r="C212" s="178"/>
      <c r="D212" s="178"/>
      <c r="E212" s="181" t="n">
        <f aca="false">E167</f>
        <v>2711.11249514947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16031.26</v>
      </c>
      <c r="B224" s="107" t="str">
        <f aca="false">B182</f>
        <v>239.99</v>
      </c>
      <c r="C224" s="107"/>
      <c r="D224" s="117"/>
      <c r="E224" s="107" t="n">
        <f aca="false">E182</f>
        <v>98105.23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2711.11249514947</v>
      </c>
      <c r="B230" s="107" t="str">
        <f aca="false">B167</f>
        <v>0</v>
      </c>
      <c r="C230" s="190"/>
      <c r="D230" s="190"/>
      <c r="E230" s="107" t="n">
        <f aca="false">E167</f>
        <v>2711.11249514947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5677.5</v>
      </c>
      <c r="B233" s="107" t="n">
        <f aca="false">E185</f>
        <v>5687.5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0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11603.3216666667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6863.71999999999</v>
      </c>
      <c r="C254" s="201"/>
      <c r="D254" s="202" t="s">
        <v>227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6963.71166666665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6863.71999999999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</v>
      </c>
      <c r="C261" s="36"/>
      <c r="D261" s="170" t="s">
        <v>232</v>
      </c>
      <c r="E261" s="170"/>
      <c r="F261" s="155" t="n">
        <f aca="false">B68*1.2</f>
        <v>0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6963.71166666665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5" customWidth="true" hidden="false" style="6" width="18.88" collapsed="false" outlineLevel="0"/>
    <col min="6" max="6" customWidth="true" hidden="false" style="6" width="32.51" collapsed="false" outlineLevel="0"/>
    <col min="7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555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400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7570.0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 t="n">
        <v>0</v>
      </c>
      <c r="J32" s="33" t="s">
        <v>45</v>
      </c>
      <c r="K32" s="455" t="n">
        <v>3731.0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1229.52019526256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50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43610.824612853</v>
      </c>
      <c r="N39" s="6" t="n">
        <f aca="false">K39-L39</f>
        <v>14014.165387147</v>
      </c>
      <c r="P39" s="216"/>
    </row>
    <row r="40" customFormat="false" ht="19.5" hidden="false" customHeight="false" outlineLevel="0" collapsed="false">
      <c r="A40" s="317" t="n">
        <f aca="false">E36*A45/100</f>
        <v>28050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14014.165387147</v>
      </c>
      <c r="N40" s="6" t="n">
        <f aca="false">N38-N39</f>
        <v>-11102.485387147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(K32/K36/100)*C45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513" t="n">
        <v>100.0</v>
      </c>
      <c r="B45" s="97"/>
      <c r="C45" s="512" t="n">
        <v>100.0</v>
      </c>
      <c r="D45" s="512"/>
      <c r="E45" s="512"/>
      <c r="F45" s="97"/>
      <c r="G45" s="97"/>
      <c r="H45" s="37"/>
      <c r="J45" s="7" t="s">
        <v>376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1179.52019526256</v>
      </c>
      <c r="L47" s="7" t="n">
        <f aca="false">L49-K42</f>
        <v>750</v>
      </c>
      <c r="M47" s="6" t="n">
        <f aca="false">K47-L47</f>
        <v>429.520195262557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1229.52019526256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1229.52019526256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0.024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31903.2839611046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19015.0423232124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2070.5996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0.05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1229.52019526256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1229.52019526256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82823.984</v>
      </c>
      <c r="C81" s="97"/>
      <c r="D81" s="97"/>
      <c r="E81" s="117"/>
      <c r="F81" s="29" t="s">
        <v>115</v>
      </c>
      <c r="G81" s="31" t="n">
        <f aca="false">G158</f>
        <v>82823.984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19898.2397027793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29.6156943349079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62925.7442972207</v>
      </c>
      <c r="C88" s="97"/>
      <c r="D88" s="97"/>
      <c r="E88" s="117"/>
      <c r="F88" s="35" t="s">
        <v>122</v>
      </c>
      <c r="G88" s="37" t="n">
        <f aca="false">G81-G86</f>
        <v>59731.3230890458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50868.5773840425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2124.74317115876</v>
      </c>
      <c r="C89" s="97"/>
      <c r="D89" s="97"/>
      <c r="E89" s="117"/>
      <c r="F89" s="35" t="s">
        <v>123</v>
      </c>
      <c r="G89" s="37" t="n">
        <f aca="false">(G88/G87)</f>
        <v>1878.09419739637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1756.50769579041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74366.0109905566</v>
      </c>
      <c r="C90" s="97"/>
      <c r="D90" s="97"/>
      <c r="E90" s="117"/>
      <c r="F90" s="35" t="s">
        <v>124</v>
      </c>
      <c r="G90" s="37" t="n">
        <f aca="false">((G89*(G85))+G77)</f>
        <v>65733.2969088731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61477.7693526645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74366.0109905566</v>
      </c>
      <c r="C92" s="97"/>
      <c r="D92" s="97"/>
      <c r="E92" s="117"/>
      <c r="F92" s="60" t="s">
        <v>126</v>
      </c>
      <c r="G92" s="69" t="n">
        <f aca="false">(G90+G91)</f>
        <v>65733.2969088731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61477.7693526645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2124.74317115876</v>
      </c>
      <c r="C95" s="97"/>
      <c r="D95" s="97"/>
      <c r="E95" s="117"/>
      <c r="F95" s="99" t="s">
        <v>128</v>
      </c>
      <c r="G95" s="100" t="n">
        <f aca="false">G92/(G85)</f>
        <v>1878.09419739637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1756.50769579041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2204.97174258733</v>
      </c>
      <c r="C96" s="97"/>
      <c r="D96" s="97"/>
      <c r="E96" s="117"/>
      <c r="F96" s="101" t="s">
        <v>129</v>
      </c>
      <c r="G96" s="102" t="n">
        <f aca="false">G94+G95</f>
        <v>1944.95134025352</v>
      </c>
      <c r="H96" s="37"/>
      <c r="J96" s="101" t="s">
        <v>129</v>
      </c>
      <c r="K96" s="102" t="n">
        <f aca="false">(K94+K95)</f>
        <v>1559.82468568742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1818.2219815047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1261.42725558184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133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400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402</v>
      </c>
      <c r="C108" s="111"/>
      <c r="D108" s="111"/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200.0</v>
      </c>
      <c r="C111" s="111"/>
      <c r="D111" s="111"/>
      <c r="E111" s="111" t="n">
        <v>200.0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-59433.8783333333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82823.984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2124.74317115876</v>
      </c>
      <c r="B167" s="181" t="n">
        <f aca="false">B94</f>
        <v>80.2285714285714</v>
      </c>
      <c r="C167" s="178"/>
      <c r="D167" s="178"/>
      <c r="E167" s="181" t="n">
        <f aca="false">B96</f>
        <v>2204.97174258733</v>
      </c>
      <c r="F167" s="27"/>
      <c r="G167" s="27" t="n">
        <f aca="false">ROUND(G95,2)</f>
        <v>1878.09</v>
      </c>
      <c r="H167" s="37"/>
      <c r="J167" s="180" t="n">
        <f aca="false">K95</f>
        <v>1481.82468568742</v>
      </c>
      <c r="K167" s="181" t="n">
        <f aca="false">K94</f>
        <v>78</v>
      </c>
      <c r="L167" s="178"/>
      <c r="M167" s="178"/>
      <c r="N167" s="181" t="n">
        <f aca="false">K96</f>
        <v>1559.82468568742</v>
      </c>
      <c r="O167" s="27"/>
      <c r="P167" s="27"/>
      <c r="Q167" s="37"/>
      <c r="S167" s="180" t="n">
        <f aca="false">T95</f>
        <v>1756.50769579041</v>
      </c>
      <c r="T167" s="181" t="n">
        <f aca="false">T94</f>
        <v>61.7142857142857</v>
      </c>
      <c r="U167" s="178"/>
      <c r="V167" s="178"/>
      <c r="W167" s="181" t="n">
        <f aca="false">T96</f>
        <v>1818.2219815047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74.0571428571429</v>
      </c>
      <c r="AD167" s="178"/>
      <c r="AE167" s="178"/>
      <c r="AF167" s="181" t="n">
        <f aca="false">AC96</f>
        <v>1261.42725558184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184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G158</f>
        <v>82823.984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19591.92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102665.89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19684.2688426644</v>
      </c>
      <c r="T182" s="107" t="n">
        <f aca="false">T114</f>
        <v>199.99</v>
      </c>
      <c r="U182" s="107"/>
      <c r="V182" s="27"/>
      <c r="W182" s="107" t="n">
        <f aca="false">W179+S182+T182+S185</f>
        <v>89737.7593526645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0.136739976</v>
      </c>
      <c r="B188" s="107" t="n">
        <f aca="false">(G158*B67)/1.2</f>
        <v>2070.5996</v>
      </c>
      <c r="C188" s="97"/>
      <c r="D188" s="97"/>
      <c r="E188" s="107" t="n">
        <f aca="false">(E40*A108)*0.1*C45/100</f>
        <v>54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582.029170916667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2224.59126666667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3554.61475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1718.01917091667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1620.66699166667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2204.97174258733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1559.82468568742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1818.2219815047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1261.42725558184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10959.166</v>
      </c>
      <c r="B201" s="190" t="n">
        <f aca="false">E179+A201+B182+A185</f>
        <v>94033.14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2124.74317115876</v>
      </c>
      <c r="B212" s="181" t="n">
        <f aca="false">B167</f>
        <v>80.2285714285714</v>
      </c>
      <c r="C212" s="178"/>
      <c r="D212" s="178"/>
      <c r="E212" s="181" t="n">
        <f aca="false">E167</f>
        <v>2204.97174258733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82823.984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19591.92</v>
      </c>
      <c r="B224" s="107" t="str">
        <f aca="false">B182</f>
        <v>239.99</v>
      </c>
      <c r="C224" s="107"/>
      <c r="D224" s="117"/>
      <c r="E224" s="107" t="n">
        <f aca="false">E182</f>
        <v>102665.89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2124.74317115876</v>
      </c>
      <c r="B230" s="107" t="n">
        <f aca="false">B167</f>
        <v>80.2285714285714</v>
      </c>
      <c r="C230" s="190"/>
      <c r="D230" s="190"/>
      <c r="E230" s="107" t="n">
        <f aca="false">E167</f>
        <v>2204.97174258733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2070.5996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13727.9212666667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8642.75</v>
      </c>
      <c r="C254" s="201"/>
      <c r="D254" s="202" t="s">
        <v>227</v>
      </c>
      <c r="E254" s="202"/>
      <c r="F254" s="204" t="n">
        <f aca="false">F261+F267+F269+B270+B271</f>
        <v>2484.71952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639.991666666667</v>
      </c>
      <c r="C255" s="201"/>
      <c r="D255" s="202" t="s">
        <v>229</v>
      </c>
      <c r="E255" s="202"/>
      <c r="F255" s="204" t="n">
        <f aca="false">(B254-F254)+B255</f>
        <v>6798.02214666667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8642.75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B68*1.2</f>
        <v>2484.71952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0.3</v>
      </c>
      <c r="C262" s="36"/>
      <c r="D262" s="170" t="s">
        <v>233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6798.02214666667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34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11355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 t="n">
        <v>0</v>
      </c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1566.92467304909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1566.92467304909</v>
      </c>
      <c r="B36" s="236" t="str">
        <f aca="false">IF(B26="YES",K42,"0.00")</f>
        <v>0.00</v>
      </c>
      <c r="C36" s="236"/>
      <c r="D36" s="236"/>
      <c r="E36" s="236" t="n">
        <f aca="false">K31</f>
        <v>11355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33233.5481360284</v>
      </c>
      <c r="N39" s="6" t="n">
        <f aca="false">K39-L39</f>
        <v>24391.4418639716</v>
      </c>
      <c r="P39" s="216"/>
    </row>
    <row r="40" customFormat="false" ht="19.5" hidden="false" customHeight="false" outlineLevel="0" collapsed="false">
      <c r="A40" s="317" t="n">
        <f aca="false">E36*A45/100</f>
        <v>11355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9462.5</v>
      </c>
      <c r="L40" s="7" t="n">
        <f aca="false">K39-L39</f>
        <v>24391.4418639716</v>
      </c>
      <c r="N40" s="6" t="n">
        <f aca="false">N38-N39</f>
        <v>-21479.7618639716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(K32/K36/100)*C45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7790.17126095915</v>
      </c>
      <c r="L44" s="7"/>
      <c r="P44" s="216"/>
    </row>
    <row r="45" customFormat="false" ht="19.5" hidden="false" customHeight="false" outlineLevel="0" collapsed="false">
      <c r="A45" s="513" t="n">
        <v>100</v>
      </c>
      <c r="B45" s="97"/>
      <c r="C45" s="512" t="n">
        <v>100</v>
      </c>
      <c r="D45" s="512"/>
      <c r="E45" s="512"/>
      <c r="F45" s="97"/>
      <c r="G45" s="97"/>
      <c r="H45" s="37"/>
      <c r="J45" s="7" t="s">
        <v>376</v>
      </c>
      <c r="K45" s="7" t="n">
        <f aca="false">(K39-K44)</f>
        <v>49834.8187390409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31.8042210938366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1566.92467304909</v>
      </c>
      <c r="L47" s="7" t="n">
        <f aca="false">L49-K42</f>
        <v>800</v>
      </c>
      <c r="M47" s="6" t="n">
        <f aca="false">K47-L47</f>
        <v>766.924673049091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1566.92467304909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1566.92467304909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31855.251407174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-3472.33199844117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19802.1465698388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-16.5222106284054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2045.5996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1566.92467304909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1566.92467304909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1566.92467304909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1566.92467304909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11355</v>
      </c>
      <c r="C82" s="97"/>
      <c r="D82" s="97"/>
      <c r="E82" s="117"/>
      <c r="F82" s="35" t="s">
        <v>116</v>
      </c>
      <c r="G82" s="37" t="n">
        <f aca="false">IF(A111="YES",A40,0)</f>
        <v>11355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11355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11355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8132.25716209324</v>
      </c>
      <c r="C86" s="97"/>
      <c r="D86" s="97"/>
      <c r="E86" s="117"/>
      <c r="F86" s="35" t="s">
        <v>120</v>
      </c>
      <c r="G86" s="37" t="n">
        <f aca="false">(G82/((1+G84)^(G85+1)))</f>
        <v>9398.84162634722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7765.14651861989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7765.14651861989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28.8995114056174</v>
      </c>
      <c r="C87" s="97"/>
      <c r="D87" s="97"/>
      <c r="E87" s="117"/>
      <c r="F87" s="35" t="s">
        <v>121</v>
      </c>
      <c r="G87" s="37" t="n">
        <f aca="false">((1-(1/((1+G84)^G85)))/G84)</f>
        <v>30.9764939580949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73691.7268379068</v>
      </c>
      <c r="C88" s="97"/>
      <c r="D88" s="97"/>
      <c r="E88" s="117"/>
      <c r="F88" s="35" t="s">
        <v>122</v>
      </c>
      <c r="G88" s="37" t="n">
        <f aca="false">G81-G86</f>
        <v>72425.1423736528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62078.3539913801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45596.0924813801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2549.92985187918</v>
      </c>
      <c r="C89" s="97"/>
      <c r="D89" s="97"/>
      <c r="E89" s="117"/>
      <c r="F89" s="35" t="s">
        <v>123</v>
      </c>
      <c r="G89" s="37" t="n">
        <f aca="false">(G88/G87)</f>
        <v>2338.06777718711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2195.42676842815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1612.52474547323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86697.6149638922</v>
      </c>
      <c r="C90" s="97"/>
      <c r="D90" s="97"/>
      <c r="E90" s="117"/>
      <c r="F90" s="35" t="s">
        <v>124</v>
      </c>
      <c r="G90" s="37" t="n">
        <f aca="false">((G89*(G85))+G77)</f>
        <v>79494.3044243618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74644.510126557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54825.8413460898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86697.6149638922</v>
      </c>
      <c r="C92" s="97"/>
      <c r="D92" s="97"/>
      <c r="E92" s="117"/>
      <c r="F92" s="60" t="s">
        <v>126</v>
      </c>
      <c r="G92" s="69" t="n">
        <f aca="false">(G90+G91)</f>
        <v>79494.3044243618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74644.510126557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54825.8413460898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str">
        <f aca="false">IF(B26="YES",((E40/B85)*(1+A108)*(C45/100)),"0")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2549.92985187918</v>
      </c>
      <c r="C95" s="97"/>
      <c r="D95" s="97"/>
      <c r="E95" s="117"/>
      <c r="F95" s="99" t="s">
        <v>128</v>
      </c>
      <c r="G95" s="100" t="n">
        <f aca="false">G92/(G85)</f>
        <v>2338.06777718711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2195.42676842815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1612.52474547323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2549.92985187918</v>
      </c>
      <c r="C96" s="97"/>
      <c r="D96" s="97"/>
      <c r="E96" s="117"/>
      <c r="F96" s="101" t="s">
        <v>129</v>
      </c>
      <c r="G96" s="102" t="n">
        <f aca="false">G94+G95</f>
        <v>2338.06777718711</v>
      </c>
      <c r="H96" s="37"/>
      <c r="J96" s="101" t="s">
        <v>129</v>
      </c>
      <c r="K96" s="102" t="n">
        <f aca="false">(K94+K95)</f>
        <v>1510.88328112579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2195.42676842815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1612.52474547323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8</v>
      </c>
      <c r="C108" s="111"/>
      <c r="D108" s="111"/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n">
        <v>0.3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</v>
      </c>
      <c r="D122" s="127" t="n">
        <f aca="false">D4</f>
        <v>0</v>
      </c>
      <c r="E122" s="128" t="n">
        <v>0</v>
      </c>
      <c r="F122" s="127" t="n">
        <f aca="false">F4</f>
        <v>0</v>
      </c>
      <c r="G122" s="458" t="n">
        <v>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</v>
      </c>
      <c r="F123" s="134" t="n">
        <f aca="false">F5</f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81823.984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2549.92985187918</v>
      </c>
      <c r="B167" s="181" t="str">
        <f aca="false">B94</f>
        <v>0</v>
      </c>
      <c r="C167" s="178"/>
      <c r="D167" s="178"/>
      <c r="E167" s="181" t="n">
        <f aca="false">B96</f>
        <v>2549.92985187918</v>
      </c>
      <c r="F167" s="27"/>
      <c r="G167" s="27" t="n">
        <f aca="false">ROUND(G95,2)</f>
        <v>2338.07</v>
      </c>
      <c r="H167" s="37"/>
      <c r="J167" s="180" t="n">
        <f aca="false">K95</f>
        <v>1510.88328112579</v>
      </c>
      <c r="K167" s="181" t="n">
        <f aca="false">K94</f>
        <v>0</v>
      </c>
      <c r="L167" s="178"/>
      <c r="M167" s="178"/>
      <c r="N167" s="181" t="n">
        <f aca="false">K96</f>
        <v>1510.88328112579</v>
      </c>
      <c r="O167" s="27"/>
      <c r="P167" s="27"/>
      <c r="Q167" s="37"/>
      <c r="S167" s="180" t="n">
        <f aca="false">T95</f>
        <v>2195.42676842815</v>
      </c>
      <c r="T167" s="181" t="n">
        <f aca="false">T94</f>
        <v>0</v>
      </c>
      <c r="U167" s="178"/>
      <c r="V167" s="178"/>
      <c r="W167" s="181" t="n">
        <f aca="false">T96</f>
        <v>2195.42676842815</v>
      </c>
      <c r="X167" s="27"/>
      <c r="Y167" s="27"/>
      <c r="Z167" s="37"/>
      <c r="AB167" s="180" t="n">
        <f aca="false">AC95</f>
        <v>1612.52474547323</v>
      </c>
      <c r="AC167" s="181" t="n">
        <f aca="false">AC94</f>
        <v>0</v>
      </c>
      <c r="AD167" s="178"/>
      <c r="AE167" s="178"/>
      <c r="AF167" s="181" t="n">
        <f aca="false">AC96</f>
        <v>1612.52474547323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184" t="n">
        <f aca="false">K30</f>
        <v>35000</v>
      </c>
      <c r="C170" s="185"/>
      <c r="D170" s="27"/>
      <c r="E170" s="186" t="n">
        <f aca="false">IF(A111="YES",A40,0)</f>
        <v>11355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11355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11355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11355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16228.64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98302.608</v>
      </c>
      <c r="F182" s="27"/>
      <c r="G182" s="27"/>
      <c r="H182" s="109"/>
      <c r="J182" s="115" t="n">
        <f aca="false">(J167*K59)+N185-N179-J185</f>
        <v>24955.035558277</v>
      </c>
      <c r="K182" s="107" t="n">
        <f aca="false">K114</f>
        <v>239.99</v>
      </c>
      <c r="L182" s="107"/>
      <c r="M182" s="27"/>
      <c r="N182" s="107" t="n">
        <f aca="false">N179+J182+K182+J185</f>
        <v>62985.021558277</v>
      </c>
      <c r="O182" s="27"/>
      <c r="P182" s="27"/>
      <c r="Q182" s="109"/>
      <c r="S182" s="115" t="n">
        <f aca="false">(S167*T59)+W185-W179-S185</f>
        <v>16156.009616557</v>
      </c>
      <c r="T182" s="107" t="n">
        <f aca="false">T114</f>
        <v>199.99</v>
      </c>
      <c r="U182" s="107"/>
      <c r="V182" s="27"/>
      <c r="W182" s="107" t="n">
        <f aca="false">W179+S182+T182+S185</f>
        <v>86209.500126557</v>
      </c>
      <c r="X182" s="27"/>
      <c r="Y182" s="27"/>
      <c r="Z182" s="109"/>
      <c r="AB182" s="115" t="n">
        <f aca="false">(AB167*AC59)+AF185-AF179-AB185</f>
        <v>12819.6023460898</v>
      </c>
      <c r="AC182" s="107" t="n">
        <f aca="false">AC114</f>
        <v>239.99</v>
      </c>
      <c r="AD182" s="107"/>
      <c r="AE182" s="27"/>
      <c r="AF182" s="107" t="n">
        <f aca="false">AF179+AB182+AC182+AB185</f>
        <v>66430.8313460898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2239.988</v>
      </c>
      <c r="C185" s="107"/>
      <c r="D185" s="27"/>
      <c r="E185" s="107" t="n">
        <f aca="false">IF( E170=0 , A185+E167, E170+A185)</f>
        <v>11365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11375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11365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11365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0</v>
      </c>
      <c r="B188" s="107" t="n">
        <f aca="false">(G158*B67)/1.2</f>
        <v>2045.5996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569.903563189236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2145.5896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3467.82829513889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1669.89356318924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1575.40288767361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2549.92985187918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1510.88328112579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2195.42676842815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1612.52474547323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9025.39599999999</v>
      </c>
      <c r="B201" s="190" t="n">
        <f aca="false">E179+A201+(B182*1.2)+A185</f>
        <v>91099.368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2549.92985187918</v>
      </c>
      <c r="B212" s="181" t="str">
        <f aca="false">B167</f>
        <v>0</v>
      </c>
      <c r="C212" s="178"/>
      <c r="D212" s="178"/>
      <c r="E212" s="181" t="n">
        <f aca="false">E167</f>
        <v>2549.92985187918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16228.64</v>
      </c>
      <c r="B224" s="107" t="str">
        <f aca="false">B182</f>
        <v>199.99</v>
      </c>
      <c r="C224" s="107"/>
      <c r="D224" s="117"/>
      <c r="E224" s="107" t="n">
        <f aca="false">E182</f>
        <v>98302.608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2549.92985187918</v>
      </c>
      <c r="B230" s="107" t="str">
        <f aca="false">B167</f>
        <v>0</v>
      </c>
      <c r="C230" s="190"/>
      <c r="D230" s="190"/>
      <c r="E230" s="107" t="n">
        <f aca="false">E167</f>
        <v>2549.92985187918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11355</v>
      </c>
      <c r="B233" s="107" t="n">
        <f aca="false">E185</f>
        <v>11365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0</v>
      </c>
      <c r="B236" s="107" t="n">
        <f aca="false">E233+A236</f>
        <v>41.0219928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2045.5996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13648.9196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7213.23999999999</v>
      </c>
      <c r="C254" s="201"/>
      <c r="D254" s="202" t="s">
        <v>227</v>
      </c>
      <c r="E254" s="202"/>
      <c r="F254" s="204" t="n">
        <f aca="false">F261+F267+F269+B270+B271</f>
        <v>2454.71952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4858.51047999999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7213.23999999999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B68*1.2</f>
        <v>2454.71952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4858.51047999999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 t="s">
        <v>27</v>
      </c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</v>
      </c>
      <c r="D3" s="267" t="n">
        <v>833.33</v>
      </c>
      <c r="E3" s="505" t="n">
        <v>0</v>
      </c>
      <c r="F3" s="67"/>
      <c r="G3" s="67" t="n">
        <v>25000</v>
      </c>
      <c r="H3" s="67"/>
      <c r="I3" s="67" t="s">
        <v>28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</v>
      </c>
      <c r="C4" s="0" t="n">
        <v>0</v>
      </c>
      <c r="D4" s="0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28050</v>
      </c>
      <c r="I31" s="242" t="n">
        <f aca="false">IF(C107="YES",H31,0)</f>
        <v>28050</v>
      </c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2160</v>
      </c>
      <c r="J32" s="67"/>
      <c r="K32" s="67" t="n">
        <v>2160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1239.52019526256</v>
      </c>
      <c r="E33" s="220"/>
      <c r="F33" s="67"/>
      <c r="G33" s="223" t="s">
        <v>365</v>
      </c>
      <c r="H33" s="466" t="n">
        <f aca="false">E21-E11+((E16*20%)+(E19*20%)+(E20*20%))</f>
        <v>57624.99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1179.52019526256</v>
      </c>
      <c r="B36" s="107" t="n">
        <f aca="false">IF(B26="YES",H42,"")</f>
        <v>60</v>
      </c>
      <c r="C36" s="225"/>
      <c r="D36" s="188" t="n">
        <f aca="false">I31</f>
        <v>28050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57624.99</v>
      </c>
      <c r="I39" s="242" t="n">
        <f aca="false">(I48*H46)+H44</f>
        <v>62861.0430417268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28050</v>
      </c>
      <c r="B40" s="111" t="n">
        <f aca="false">IF(B26="YES",H42,"0")</f>
        <v>60</v>
      </c>
      <c r="C40" s="111"/>
      <c r="D40" s="188" t="n">
        <f aca="false">I32</f>
        <v>2160</v>
      </c>
      <c r="E40" s="220"/>
      <c r="F40" s="67"/>
      <c r="G40" s="67" t="s">
        <v>116</v>
      </c>
      <c r="H40" s="242" t="n">
        <f aca="false">A40/1.2</f>
        <v>23375</v>
      </c>
      <c r="I40" s="242" t="n">
        <f aca="false">H39-I39</f>
        <v>-5236.05304172679</v>
      </c>
      <c r="J40" s="67" t="n">
        <v>24541.66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60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19140.2079659795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383</v>
      </c>
      <c r="H45" s="242" t="n">
        <f aca="false">(H39-H44)</f>
        <v>38484.7820340206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1179.52019526256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1239.52019526256</v>
      </c>
      <c r="I48" s="242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1239.52019526256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7178.84874</v>
      </c>
      <c r="C64" s="219" t="n">
        <v>10000</v>
      </c>
      <c r="D64" s="294" t="n">
        <f aca="false">B64-A143</f>
        <v>7178.84874</v>
      </c>
      <c r="E64" s="220"/>
      <c r="F64" s="67"/>
      <c r="G64" s="288" t="s">
        <v>100</v>
      </c>
      <c r="H64" s="137" t="n">
        <f aca="false">H61*H63</f>
        <v>7178.84874</v>
      </c>
      <c r="I64" s="219"/>
      <c r="J64" s="294" t="n">
        <f aca="false">H64-G145</f>
        <v>7178.84874</v>
      </c>
      <c r="K64" s="220"/>
      <c r="L64" s="67"/>
      <c r="M64" s="288" t="s">
        <v>100</v>
      </c>
      <c r="N64" s="137" t="n">
        <f aca="false">N61*N63</f>
        <v>7178.84874</v>
      </c>
      <c r="O64" s="219"/>
      <c r="P64" s="294" t="n">
        <f aca="false">N64-M145</f>
        <v>7178.84874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219"/>
      <c r="D67" s="294"/>
      <c r="E67" s="220"/>
      <c r="F67" s="67"/>
      <c r="G67" s="288" t="s">
        <v>103</v>
      </c>
      <c r="H67" s="137" t="n">
        <f aca="false">(H61*H66)/1.2</f>
        <v>1139.4998</v>
      </c>
      <c r="I67" s="219"/>
      <c r="J67" s="294"/>
      <c r="K67" s="220"/>
      <c r="L67" s="67"/>
      <c r="M67" s="288" t="s">
        <v>103</v>
      </c>
      <c r="N67" s="137" t="n">
        <f aca="false">(N61*N66)/1.2</f>
        <v>1139.4998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477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294" t="n">
        <f aca="false">B73+B71</f>
        <v>380</v>
      </c>
      <c r="E73" s="220"/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437" t="s">
        <v>288</v>
      </c>
      <c r="B74" s="438" t="n">
        <v>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439" t="s">
        <v>289</v>
      </c>
      <c r="B75" s="440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441" t="s">
        <v>290</v>
      </c>
      <c r="B76" s="442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8625.51540666667</v>
      </c>
      <c r="C81" s="219"/>
      <c r="D81" s="219"/>
      <c r="E81" s="220"/>
      <c r="F81" s="67"/>
      <c r="G81" s="307" t="s">
        <v>112</v>
      </c>
      <c r="H81" s="308" t="n">
        <f aca="false">SUM(J64:J80)</f>
        <v>8244.59874</v>
      </c>
      <c r="I81" s="219"/>
      <c r="J81" s="219"/>
      <c r="K81" s="220"/>
      <c r="L81" s="67"/>
      <c r="M81" s="307" t="s">
        <v>112</v>
      </c>
      <c r="N81" s="308" t="n">
        <f aca="false">SUM(P64:P80)</f>
        <v>7900.84874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239.597650185185</v>
      </c>
      <c r="C82" s="219"/>
      <c r="D82" s="219"/>
      <c r="E82" s="220"/>
      <c r="F82" s="67"/>
      <c r="G82" s="218" t="s">
        <v>113</v>
      </c>
      <c r="H82" s="304" t="n">
        <f aca="false">H81/H29</f>
        <v>229.016631666667</v>
      </c>
      <c r="I82" s="219"/>
      <c r="J82" s="219"/>
      <c r="K82" s="220"/>
      <c r="L82" s="67"/>
      <c r="M82" s="218" t="s">
        <v>113</v>
      </c>
      <c r="N82" s="304" t="n">
        <f aca="false">N81/H29</f>
        <v>219.468020555556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1179.52019526256</v>
      </c>
      <c r="C83" s="219"/>
      <c r="D83" s="219"/>
      <c r="E83" s="220"/>
      <c r="F83" s="67"/>
      <c r="G83" s="309" t="s">
        <v>114</v>
      </c>
      <c r="H83" s="310" t="n">
        <f aca="false">H47</f>
        <v>1179.52019526256</v>
      </c>
      <c r="I83" s="219"/>
      <c r="J83" s="219"/>
      <c r="K83" s="220"/>
      <c r="L83" s="67"/>
      <c r="M83" s="309" t="s">
        <v>114</v>
      </c>
      <c r="N83" s="310" t="n">
        <f aca="false">H47</f>
        <v>1179.52019526256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51088.2424361187</v>
      </c>
      <c r="C85" s="219"/>
      <c r="D85" s="219"/>
      <c r="E85" s="220"/>
      <c r="F85" s="67"/>
      <c r="G85" s="291" t="s">
        <v>124</v>
      </c>
      <c r="H85" s="135" t="n">
        <f aca="false">((H83*H29)+H81)*1.2</f>
        <v>60848.7909233425</v>
      </c>
      <c r="I85" s="219"/>
      <c r="J85" s="219"/>
      <c r="K85" s="220"/>
      <c r="L85" s="67"/>
      <c r="M85" s="291" t="s">
        <v>124</v>
      </c>
      <c r="N85" s="135" t="n">
        <f aca="false">((N83*H29)+N81)</f>
        <v>50363.575769452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432.776559563733</v>
      </c>
      <c r="C86" s="219"/>
      <c r="D86" s="219"/>
      <c r="E86" s="220"/>
      <c r="F86" s="67"/>
      <c r="G86" s="218" t="s">
        <v>125</v>
      </c>
      <c r="H86" s="304" t="n">
        <f aca="false">((((H83*H29)+H81))/(1-H70))*H70</f>
        <v>429.54975440036</v>
      </c>
      <c r="I86" s="219"/>
      <c r="J86" s="219"/>
      <c r="K86" s="220"/>
      <c r="L86" s="67"/>
      <c r="M86" s="218" t="s">
        <v>125</v>
      </c>
      <c r="N86" s="304" t="n">
        <f aca="false">(N85/(1-N70))*N70</f>
        <v>426.63779393243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51521.0189956824</v>
      </c>
      <c r="C87" s="219"/>
      <c r="D87" s="219"/>
      <c r="E87" s="220"/>
      <c r="F87" s="67"/>
      <c r="G87" s="288" t="s">
        <v>126</v>
      </c>
      <c r="H87" s="137" t="n">
        <f aca="false">IF(H110="YES",((H85+H86)-K114),(H85+H86))</f>
        <v>61278.3406777428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50790.2135633845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IF(B99=Y98,(D40+(D40*B105))/(B58),(D40+(D40*B105))/(B57+B58))*(C45/100)</f>
        <v>78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75.8634146341463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63.219512195122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1431.13941654673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1494.5936750669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1238.78569666791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1509.13941654673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1570.45708970104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1302.00520886304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350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 t="s">
        <v>351</v>
      </c>
      <c r="C107" s="226" t="s">
        <v>27</v>
      </c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27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1494.5936750669</v>
      </c>
      <c r="H127" s="181" t="n">
        <f aca="false">IF(G105="YES",H89*H57,0)</f>
        <v>455.180487804878</v>
      </c>
      <c r="I127" s="181"/>
      <c r="J127" s="338" t="n">
        <f aca="false">H91</f>
        <v>1570.45708970104</v>
      </c>
      <c r="K127" s="220"/>
      <c r="L127" s="67"/>
      <c r="M127" s="337" t="n">
        <f aca="false">N90</f>
        <v>1238.78569666791</v>
      </c>
      <c r="N127" s="181" t="n">
        <f aca="false">IF(M105="YES",N89*N57,0)</f>
        <v>379.317073170732</v>
      </c>
      <c r="O127" s="181"/>
      <c r="P127" s="181" t="n">
        <f aca="false">N91</f>
        <v>1302.00520886304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1431.13941654673</v>
      </c>
      <c r="B128" s="325" t="n">
        <f aca="false">IF(A105="YES",B89,0)</f>
        <v>78</v>
      </c>
      <c r="C128" s="329"/>
      <c r="D128" s="325" t="n">
        <f aca="false">B91</f>
        <v>1509.13941654673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1431.13941654673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8967.56205040139</v>
      </c>
      <c r="H133" s="107" t="n">
        <f aca="false">IF(G105="YES",H89*H57,0)</f>
        <v>455.180487804878</v>
      </c>
      <c r="I133" s="225"/>
      <c r="J133" s="188" t="n">
        <f aca="false">H91*H57</f>
        <v>9422.74253820627</v>
      </c>
      <c r="K133" s="220"/>
      <c r="L133" s="67"/>
      <c r="M133" s="189" t="n">
        <f aca="false">N90*N57</f>
        <v>7432.71418000748</v>
      </c>
      <c r="N133" s="107" t="n">
        <f aca="false">IF(M105="YES",N89*N57,0)</f>
        <v>379.317073170732</v>
      </c>
      <c r="O133" s="225"/>
      <c r="P133" s="188" t="n">
        <f aca="false">N91*N57</f>
        <v>7812.03125317822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1509.13941654673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1431.13941654673</v>
      </c>
      <c r="B137" s="42" t="n">
        <f aca="false">IF(A105="YES",B89,0)</f>
        <v>78</v>
      </c>
      <c r="C137" s="321"/>
      <c r="D137" s="42" t="n">
        <f aca="false">B91</f>
        <v>1509.13941654673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1139.4998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1139.4998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43.2</v>
      </c>
      <c r="H142" s="107" t="n">
        <f aca="false">G102-100</f>
        <v>99.99</v>
      </c>
      <c r="I142" s="107"/>
      <c r="J142" s="107" t="n">
        <f aca="false">(H139+J139+G142+H142)-H145</f>
        <v>1282.6898</v>
      </c>
      <c r="K142" s="109"/>
      <c r="L142" s="67"/>
      <c r="M142" s="115" t="n">
        <f aca="false">IF(M105="YES",((B36*N105)*0.1)*(M130),0)</f>
        <v>43.2</v>
      </c>
      <c r="N142" s="107" t="n">
        <f aca="false">M102-100</f>
        <v>99.99</v>
      </c>
      <c r="O142" s="107"/>
      <c r="P142" s="107" t="n">
        <f aca="false">(N139+P139+M142+N142)-N145</f>
        <v>1282.6898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42" t="n">
        <f aca="false">B102</f>
        <v>400</v>
      </c>
      <c r="C148" s="42"/>
      <c r="D148" s="42" t="n">
        <f aca="false">IF(A105="YES",(B40*B105)*B125,0)*0.1</f>
        <v>64.8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864.79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1570.45708970104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1302.00520886304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1509.13941654673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1431.13941654673</v>
      </c>
      <c r="B177" s="362" t="n">
        <f aca="false">IF(A105="YES",B89,0)</f>
        <v>78</v>
      </c>
      <c r="C177" s="364"/>
      <c r="D177" s="362" t="n">
        <f aca="false">B91</f>
        <v>1509.13941654673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1431.13941654673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1509.13941654673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1431.13941654673</v>
      </c>
      <c r="B186" s="107" t="n">
        <f aca="false">IF(A105="YES",B89,0)</f>
        <v>78</v>
      </c>
      <c r="C186" s="360"/>
      <c r="D186" s="107" t="n">
        <f aca="false">B91</f>
        <v>1509.13941654673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64.8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864.79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7178.84874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300</v>
      </c>
      <c r="C211" s="324" t="s">
        <v>228</v>
      </c>
      <c r="D211" s="379" t="n">
        <f aca="false">B225+E221+B221+B223</f>
        <v>987.99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7866.83874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7178.84874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300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7866.83874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648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432.776559563733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198" colorId="64" zoomScale="95" zoomScaleNormal="95" zoomScalePageLayoutView="100" workbookViewId="0">
      <selection pane="topLeft" activeCell="B219" activeCellId="0" sqref="B219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</v>
      </c>
      <c r="D3" s="267" t="n">
        <v>833.33</v>
      </c>
      <c r="E3" s="505" t="n">
        <v>0</v>
      </c>
      <c r="F3" s="67"/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</v>
      </c>
      <c r="C4" s="0" t="n">
        <v>0</v>
      </c>
      <c r="D4" s="0" t="n">
        <v>0</v>
      </c>
      <c r="E4" s="297"/>
      <c r="F4" s="67"/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28050</v>
      </c>
      <c r="I31" s="67"/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1800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1229.52019526256</v>
      </c>
      <c r="E33" s="220"/>
      <c r="F33" s="67"/>
      <c r="G33" s="223" t="s">
        <v>365</v>
      </c>
      <c r="H33" s="466" t="n">
        <f aca="false">E21-E11+((E16*20%)+(E19*20%)+(E20*20%))</f>
        <v>57624.99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1179.52019526256</v>
      </c>
      <c r="B36" s="107" t="n">
        <f aca="false">IF(B26="YES",H42,"")</f>
        <v>50</v>
      </c>
      <c r="C36" s="225"/>
      <c r="D36" s="188" t="n">
        <f aca="false">H31</f>
        <v>28050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57624.99</v>
      </c>
      <c r="I39" s="242" t="n">
        <f aca="false">(I48*H46)+H44</f>
        <v>63187.3179303518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28050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(A40)/1.2</f>
        <v>23375</v>
      </c>
      <c r="I40" s="242" t="n">
        <f aca="false">H39-I39</f>
        <v>-5562.32793035177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19140.2079659795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516" t="n">
        <v>100</v>
      </c>
      <c r="D45" s="516"/>
      <c r="E45" s="220"/>
      <c r="F45" s="67"/>
      <c r="G45" s="67" t="s">
        <v>383</v>
      </c>
      <c r="H45" s="242" t="n">
        <f aca="false">(H39-H44)</f>
        <v>38484.7820340206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1179.52019526256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1229.52019526256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1229.52019526256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7178.84874</v>
      </c>
      <c r="C64" s="219" t="n">
        <v>10000</v>
      </c>
      <c r="D64" s="294" t="n">
        <f aca="false">B64-A143</f>
        <v>7178.84874</v>
      </c>
      <c r="E64" s="472" t="n">
        <f aca="false">D64/(B58+B57)</f>
        <v>199.412465</v>
      </c>
      <c r="F64" s="67"/>
      <c r="G64" s="288" t="s">
        <v>100</v>
      </c>
      <c r="H64" s="137" t="n">
        <f aca="false">H61*H63</f>
        <v>7178.84874</v>
      </c>
      <c r="I64" s="219"/>
      <c r="J64" s="294" t="n">
        <f aca="false">H64-G145</f>
        <v>7178.84874</v>
      </c>
      <c r="K64" s="220"/>
      <c r="L64" s="67"/>
      <c r="M64" s="288" t="s">
        <v>100</v>
      </c>
      <c r="N64" s="137" t="n">
        <f aca="false">N61*N63</f>
        <v>7178.84874</v>
      </c>
      <c r="O64" s="219"/>
      <c r="P64" s="294" t="n">
        <f aca="false">N64-M145</f>
        <v>7178.84874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219"/>
      <c r="D67" s="294"/>
      <c r="E67" s="220"/>
      <c r="F67" s="67"/>
      <c r="G67" s="288" t="s">
        <v>103</v>
      </c>
      <c r="H67" s="137" t="n">
        <f aca="false">(H61*H66)/1.2</f>
        <v>1139.4998</v>
      </c>
      <c r="I67" s="219"/>
      <c r="J67" s="294"/>
      <c r="K67" s="220"/>
      <c r="L67" s="67"/>
      <c r="M67" s="288" t="s">
        <v>103</v>
      </c>
      <c r="N67" s="137" t="n">
        <f aca="false">(N61*N66)/1.2</f>
        <v>1139.4998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294" t="n">
        <f aca="false">B73+B71</f>
        <v>380</v>
      </c>
      <c r="E73" s="220"/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355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1083.33333333333</v>
      </c>
      <c r="C76" s="219"/>
      <c r="D76" s="294" t="n">
        <f aca="false">B76</f>
        <v>1083.33333333333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472" t="n">
        <f aca="false">(D73+D76+D79+D80)/(B58+B57)</f>
        <v>51.7592592592593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9708.84874</v>
      </c>
      <c r="C81" s="219"/>
      <c r="D81" s="219"/>
      <c r="E81" s="472"/>
      <c r="F81" s="67"/>
      <c r="G81" s="307" t="s">
        <v>112</v>
      </c>
      <c r="H81" s="308" t="n">
        <f aca="false">SUM(J64:J80)</f>
        <v>8244.59874</v>
      </c>
      <c r="I81" s="219"/>
      <c r="J81" s="219"/>
      <c r="K81" s="220"/>
      <c r="L81" s="67"/>
      <c r="M81" s="307" t="s">
        <v>112</v>
      </c>
      <c r="N81" s="308" t="n">
        <f aca="false">SUM(P64:P80)</f>
        <v>7900.84874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269.690242777778</v>
      </c>
      <c r="C82" s="219"/>
      <c r="D82" s="219"/>
      <c r="E82" s="472"/>
      <c r="F82" s="67"/>
      <c r="G82" s="218" t="s">
        <v>113</v>
      </c>
      <c r="H82" s="304" t="n">
        <f aca="false">H81/H29</f>
        <v>229.016631666667</v>
      </c>
      <c r="I82" s="219"/>
      <c r="J82" s="219"/>
      <c r="K82" s="220"/>
      <c r="L82" s="67"/>
      <c r="M82" s="218" t="s">
        <v>113</v>
      </c>
      <c r="N82" s="304" t="n">
        <f aca="false">N81/H29</f>
        <v>219.468020555556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1179.52019526256</v>
      </c>
      <c r="C83" s="219"/>
      <c r="D83" s="219"/>
      <c r="E83" s="472" t="n">
        <f aca="false">B83+E80+E77+E64</f>
        <v>1443.03759853416</v>
      </c>
      <c r="F83" s="67"/>
      <c r="G83" s="309" t="s">
        <v>114</v>
      </c>
      <c r="H83" s="310" t="n">
        <f aca="false">H47</f>
        <v>1179.52019526256</v>
      </c>
      <c r="I83" s="219"/>
      <c r="J83" s="219"/>
      <c r="K83" s="220"/>
      <c r="L83" s="67"/>
      <c r="M83" s="309" t="s">
        <v>114</v>
      </c>
      <c r="N83" s="310" t="n">
        <f aca="false">H47</f>
        <v>1179.52019526256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62605.8909233424</v>
      </c>
      <c r="C85" s="219"/>
      <c r="D85" s="219"/>
      <c r="E85" s="472" t="n">
        <f aca="false">B85/(B58+B57)</f>
        <v>1739.0525256484</v>
      </c>
      <c r="F85" s="67"/>
      <c r="G85" s="291" t="s">
        <v>124</v>
      </c>
      <c r="H85" s="135" t="n">
        <f aca="false">((H83*H29)+H81)*1.2</f>
        <v>60848.7909233425</v>
      </c>
      <c r="I85" s="219"/>
      <c r="J85" s="219"/>
      <c r="K85" s="220"/>
      <c r="L85" s="67"/>
      <c r="M85" s="291" t="s">
        <v>124</v>
      </c>
      <c r="N85" s="135" t="n">
        <f aca="false">((N83*H29)+N81)</f>
        <v>50363.575769452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((((B83*H29)+B81))/(1-B70))*B70</f>
        <v>441.953647099029</v>
      </c>
      <c r="C86" s="219"/>
      <c r="D86" s="219"/>
      <c r="E86" s="472" t="n">
        <f aca="false">B86/(B58+B57)</f>
        <v>12.2764901971953</v>
      </c>
      <c r="F86" s="67"/>
      <c r="G86" s="218" t="s">
        <v>125</v>
      </c>
      <c r="H86" s="304" t="n">
        <f aca="false">((((H83*H29)+H81))/(1-H70))*H70</f>
        <v>429.54975440036</v>
      </c>
      <c r="I86" s="219"/>
      <c r="J86" s="219"/>
      <c r="K86" s="220"/>
      <c r="L86" s="67"/>
      <c r="M86" s="218" t="s">
        <v>125</v>
      </c>
      <c r="N86" s="304" t="n">
        <f aca="false">(N85/(1-N70))*N70</f>
        <v>426.63779393243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63047.8445704415</v>
      </c>
      <c r="C87" s="219"/>
      <c r="D87" s="219"/>
      <c r="E87" s="472" t="n">
        <f aca="false">E86+E85</f>
        <v>1751.3290158456</v>
      </c>
      <c r="F87" s="67"/>
      <c r="G87" s="288" t="s">
        <v>126</v>
      </c>
      <c r="H87" s="137" t="n">
        <f aca="false">IF(H110="YES",((H85+H86)-K114),(H85+H86))</f>
        <v>61278.3406777428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50790.2135633845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IF(B99=Y98,(D40+(D40*B105))/(B58),(D40+(D40*B105))/(B57+B58))*1.2*(C45/100)</f>
        <v>78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1751.3290158456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1494.5936750669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1238.78569666791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1829.3290158456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1557.81318726202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1291.46862349718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E118+E117-E114</f>
        <v>1239.99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1494.5936750669</v>
      </c>
      <c r="H127" s="181" t="n">
        <f aca="false">IF(G105="YES",H89*H57,0)</f>
        <v>379.317073170732</v>
      </c>
      <c r="I127" s="181"/>
      <c r="J127" s="338" t="n">
        <f aca="false">H91</f>
        <v>1557.81318726202</v>
      </c>
      <c r="K127" s="220"/>
      <c r="L127" s="67"/>
      <c r="M127" s="337" t="n">
        <f aca="false">N90</f>
        <v>1238.78569666791</v>
      </c>
      <c r="N127" s="181" t="n">
        <f aca="false">IF(M105="YES",N89*N57,0)</f>
        <v>316.09756097561</v>
      </c>
      <c r="O127" s="181"/>
      <c r="P127" s="181" t="n">
        <f aca="false">N91</f>
        <v>1291.46862349718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1751.3290158456</v>
      </c>
      <c r="B128" s="325" t="n">
        <f aca="false">IF(A105="YES",B89,0)</f>
        <v>78</v>
      </c>
      <c r="C128" s="329"/>
      <c r="D128" s="325" t="n">
        <f aca="false">B91</f>
        <v>1829.3290158456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1751.3290158456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8967.56205040139</v>
      </c>
      <c r="H133" s="107" t="n">
        <f aca="false">IF(G105="YES",H89*H57,0)</f>
        <v>379.317073170732</v>
      </c>
      <c r="I133" s="225"/>
      <c r="J133" s="188" t="n">
        <f aca="false">H91*H57</f>
        <v>9346.87912357212</v>
      </c>
      <c r="K133" s="220"/>
      <c r="L133" s="67"/>
      <c r="M133" s="189" t="n">
        <f aca="false">N90*N57</f>
        <v>7432.71418000748</v>
      </c>
      <c r="N133" s="107" t="n">
        <f aca="false">IF(M105="YES",N89*N57,0)</f>
        <v>316.09756097561</v>
      </c>
      <c r="O133" s="225"/>
      <c r="P133" s="188" t="n">
        <f aca="false">N91*N57</f>
        <v>7748.81174098309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1829.3290158456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1751.3290158456</v>
      </c>
      <c r="B137" s="42" t="n">
        <f aca="false">IF(A105="YES",B89,0)</f>
        <v>78</v>
      </c>
      <c r="C137" s="321"/>
      <c r="D137" s="42" t="n">
        <f aca="false">B91</f>
        <v>1829.3290158456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1139.4998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1139.4998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IF(A105="YES",G18*0.000002,0)*1.2*100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n">
        <f aca="false">(H139+J139+G142+H142)-H145</f>
        <v>1275.4898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n">
        <f aca="false">(N139+P139+M142+N142)-N145</f>
        <v>1275.4898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42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853.991666666667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1557.81318726202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1291.46862349718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1829.3290158456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1751.3290158456</v>
      </c>
      <c r="B177" s="362" t="n">
        <f aca="false">IF(A105="YES",B89,0)</f>
        <v>78</v>
      </c>
      <c r="C177" s="364"/>
      <c r="D177" s="362" t="n">
        <f aca="false">B91</f>
        <v>1829.3290158456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1751.3290158456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1829.3290158456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1751.3290158456</v>
      </c>
      <c r="B186" s="107" t="n">
        <f aca="false">IF(A105="YES",B89,0)</f>
        <v>78</v>
      </c>
      <c r="C186" s="360"/>
      <c r="D186" s="107" t="n">
        <f aca="false">B91</f>
        <v>1829.3290158456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IF(A105="YES",G18*0.000002,0)*1.2*100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(E118/1.2)-100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853.991666666667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7178.84874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300</v>
      </c>
      <c r="C211" s="324" t="s">
        <v>228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7758.84040666667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7178.84874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300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7758.84040666667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441.953647099029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9" colorId="64" zoomScale="95" zoomScaleNormal="95" zoomScalePageLayoutView="100" workbookViewId="0">
      <selection pane="topLeft" activeCell="B219" activeCellId="0" sqref="B219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</v>
      </c>
      <c r="D3" s="267" t="n">
        <v>833.33</v>
      </c>
      <c r="E3" s="505" t="n">
        <v>0</v>
      </c>
      <c r="F3" s="67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</v>
      </c>
      <c r="C4" s="0" t="n">
        <v>0</v>
      </c>
      <c r="D4" s="0" t="n">
        <v>0</v>
      </c>
      <c r="E4" s="297"/>
      <c r="F4" s="67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-28758.33</v>
      </c>
      <c r="C5" s="504" t="n">
        <v>0</v>
      </c>
      <c r="D5" s="504" t="n">
        <v>0</v>
      </c>
      <c r="E5" s="304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-28758.33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84254.16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18"/>
      <c r="B8" s="219"/>
      <c r="C8" s="219"/>
      <c r="D8" s="219"/>
      <c r="E8" s="220"/>
      <c r="F8" s="67"/>
      <c r="G8" s="461" t="n">
        <f aca="false">G9*100/B3</f>
        <v>-120.602172571645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18875</v>
      </c>
      <c r="C9" s="491"/>
      <c r="D9" s="491"/>
      <c r="E9" s="514" t="n">
        <f aca="false">(B7+C7+D7+E3)</f>
        <v>85087.49</v>
      </c>
      <c r="F9" s="67"/>
      <c r="G9" s="460" t="n">
        <f aca="false">E9-G11</f>
        <v>-66929.1766666667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85733.32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(E9+E10)*0.2</f>
        <v>17146.664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103529.984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100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103409.984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35000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18925</v>
      </c>
      <c r="I31" s="67"/>
      <c r="J31" s="67"/>
      <c r="K31" s="67" t="n">
        <v>10000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6218.1</v>
      </c>
      <c r="J32" s="67"/>
      <c r="K32" s="67" t="n">
        <v>14400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2416.33694228443</v>
      </c>
      <c r="E33" s="220"/>
      <c r="F33" s="67"/>
      <c r="G33" s="223" t="s">
        <v>365</v>
      </c>
      <c r="H33" s="466" t="n">
        <f aca="false">E21-E11+((E16*20%)+(E19*20%)+(E20*20%))</f>
        <v>86283.32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2327.50694228443</v>
      </c>
      <c r="B36" s="107" t="n">
        <f aca="false">IF(B26="YES",H42,"")</f>
        <v>88.83</v>
      </c>
      <c r="C36" s="225"/>
      <c r="D36" s="188" t="n">
        <f aca="false">H31</f>
        <v>18925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86283.32</v>
      </c>
      <c r="I39" s="242" t="n">
        <f aca="false">(I48*H46)+H44</f>
        <v>54192.0892553037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18925</v>
      </c>
      <c r="B40" s="111" t="n">
        <f aca="false">IF(B26="YES",H42,"0")</f>
        <v>88.83</v>
      </c>
      <c r="C40" s="111"/>
      <c r="D40" s="188" t="n">
        <f aca="false">I32</f>
        <v>6218.1</v>
      </c>
      <c r="E40" s="220"/>
      <c r="F40" s="67"/>
      <c r="G40" s="67" t="s">
        <v>116</v>
      </c>
      <c r="H40" s="242" t="n">
        <f aca="false">A40/1.2</f>
        <v>15770.8333333333</v>
      </c>
      <c r="I40" s="242" t="n">
        <f aca="false">H39-I39</f>
        <v>32091.2307446964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88.83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12791.3910567846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50</v>
      </c>
      <c r="D45" s="469"/>
      <c r="E45" s="220"/>
      <c r="F45" s="67"/>
      <c r="G45" s="67" t="s">
        <v>383</v>
      </c>
      <c r="H45" s="242" t="n">
        <f aca="false">(H39-H44)</f>
        <v>73491.9289432154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31.5753854942677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2327.50694228443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2416.33694228443</v>
      </c>
      <c r="I48" s="242" t="n">
        <f aca="false">I49-H42</f>
        <v>1311.17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2416.33694228443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7079.1425075</v>
      </c>
      <c r="I64" s="219"/>
      <c r="J64" s="294" t="n">
        <f aca="false">H64-G145</f>
        <v>7079.1425075</v>
      </c>
      <c r="K64" s="220"/>
      <c r="L64" s="67"/>
      <c r="M64" s="288" t="s">
        <v>100</v>
      </c>
      <c r="N64" s="137" t="n">
        <f aca="false">N61*N63</f>
        <v>7079.1425075</v>
      </c>
      <c r="O64" s="219"/>
      <c r="P64" s="294" t="n">
        <f aca="false">N64-M145</f>
        <v>7079.1425075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398</v>
      </c>
      <c r="B65" s="298" t="n">
        <v>300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1115.76022083333</v>
      </c>
      <c r="I67" s="219"/>
      <c r="J67" s="294"/>
      <c r="K67" s="220"/>
      <c r="L67" s="67"/>
      <c r="M67" s="288" t="s">
        <v>103</v>
      </c>
      <c r="N67" s="137" t="n">
        <f aca="false">(N61*N66)/1.2</f>
        <v>1115.76022083333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238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355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1040</v>
      </c>
      <c r="C76" s="219"/>
      <c r="D76" s="294" t="n">
        <f aca="false">B76</f>
        <v>1040</v>
      </c>
      <c r="E76" s="220"/>
      <c r="F76" s="67"/>
      <c r="G76" s="288" t="s">
        <v>290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51.8571428571429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12481.6666666667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8126.6425075</v>
      </c>
      <c r="I81" s="219"/>
      <c r="J81" s="219"/>
      <c r="K81" s="220"/>
      <c r="L81" s="67"/>
      <c r="M81" s="307" t="s">
        <v>112</v>
      </c>
      <c r="N81" s="308" t="n">
        <f aca="false">SUM(P64:P80)</f>
        <v>7796.6425075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356.619047619048</v>
      </c>
      <c r="C82" s="479"/>
      <c r="D82" s="219"/>
      <c r="E82" s="472"/>
      <c r="F82" s="67"/>
      <c r="G82" s="218" t="s">
        <v>113</v>
      </c>
      <c r="H82" s="304" t="n">
        <f aca="false">H81/H29</f>
        <v>232.189785928571</v>
      </c>
      <c r="I82" s="219"/>
      <c r="J82" s="219"/>
      <c r="K82" s="220"/>
      <c r="L82" s="67"/>
      <c r="M82" s="218" t="s">
        <v>113</v>
      </c>
      <c r="N82" s="304" t="n">
        <f aca="false">N81/H29</f>
        <v>222.7612145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2327.50694228443</v>
      </c>
      <c r="C83" s="479"/>
      <c r="D83" s="219"/>
      <c r="E83" s="472" t="n">
        <f aca="false">B83+E80+E77+E64</f>
        <v>2677.77678355428</v>
      </c>
      <c r="F83" s="67"/>
      <c r="G83" s="309" t="s">
        <v>114</v>
      </c>
      <c r="H83" s="310" t="n">
        <f aca="false">H47</f>
        <v>2327.50694228443</v>
      </c>
      <c r="I83" s="219"/>
      <c r="J83" s="219"/>
      <c r="K83" s="220"/>
      <c r="L83" s="67"/>
      <c r="M83" s="309" t="s">
        <v>114</v>
      </c>
      <c r="N83" s="310" t="n">
        <f aca="false">H47</f>
        <v>2327.50694228443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93944.4096466219</v>
      </c>
      <c r="C85" s="479"/>
      <c r="D85" s="479"/>
      <c r="E85" s="472" t="n">
        <f aca="false">B85/(B58+B57)</f>
        <v>2684.12598990348</v>
      </c>
      <c r="F85" s="67"/>
      <c r="G85" s="291" t="s">
        <v>124</v>
      </c>
      <c r="H85" s="135" t="n">
        <f aca="false">((H83*H29)+H81)*1.2</f>
        <v>107507.262584946</v>
      </c>
      <c r="I85" s="219"/>
      <c r="J85" s="219"/>
      <c r="K85" s="220"/>
      <c r="L85" s="67"/>
      <c r="M85" s="291" t="s">
        <v>124</v>
      </c>
      <c r="N85" s="135" t="n">
        <f aca="false">((N83*H29)+N81)</f>
        <v>89259.3854874552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795.817911488124</v>
      </c>
      <c r="C86" s="479" t="s">
        <v>241</v>
      </c>
      <c r="D86" s="219"/>
      <c r="E86" s="472" t="n">
        <f aca="false">B86/(B58+B57)</f>
        <v>22.7376546139464</v>
      </c>
      <c r="F86" s="67"/>
      <c r="G86" s="218" t="s">
        <v>125</v>
      </c>
      <c r="H86" s="304" t="n">
        <f aca="false">((((H83*H29)+H81))/(1-H70))*H70</f>
        <v>758.925814940121</v>
      </c>
      <c r="I86" s="219"/>
      <c r="J86" s="219"/>
      <c r="K86" s="220"/>
      <c r="L86" s="67"/>
      <c r="M86" s="218" t="s">
        <v>125</v>
      </c>
      <c r="N86" s="304" t="n">
        <f aca="false">(N85/(1-N70))*N70</f>
        <v>756.130332890908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94740.22755811</v>
      </c>
      <c r="C87" s="479"/>
      <c r="D87" s="481"/>
      <c r="E87" s="472" t="n">
        <f aca="false">E86+E85</f>
        <v>2706.86364451743</v>
      </c>
      <c r="F87" s="67"/>
      <c r="G87" s="288" t="s">
        <v>126</v>
      </c>
      <c r="H87" s="137" t="n">
        <f aca="false">IF(H110="YES",((H85+H86)-K114),(H85+H86))</f>
        <v>108266.188399886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90015.5158203461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115.479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223.8516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186.543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2706.86364451743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2706.65470999716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2250.38789550865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2822.34264451743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2930.50630999716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2436.93089550865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2706.65470999716</v>
      </c>
      <c r="H127" s="181" t="n">
        <f aca="false">IF(G105="YES",H89*H57,0)</f>
        <v>1343.1096</v>
      </c>
      <c r="I127" s="181"/>
      <c r="J127" s="338" t="n">
        <f aca="false">H91</f>
        <v>2930.50630999716</v>
      </c>
      <c r="K127" s="220"/>
      <c r="L127" s="67"/>
      <c r="M127" s="337" t="n">
        <f aca="false">N90</f>
        <v>2250.38789550865</v>
      </c>
      <c r="N127" s="181" t="n">
        <f aca="false">IF(M105="YES",N89*N57,0)</f>
        <v>1119.258</v>
      </c>
      <c r="O127" s="181"/>
      <c r="P127" s="181" t="n">
        <f aca="false">N91</f>
        <v>2436.93089550865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2706.86364451743</v>
      </c>
      <c r="B128" s="325" t="n">
        <f aca="false">IF(A105="YES",B89,0)</f>
        <v>115.479</v>
      </c>
      <c r="C128" s="329"/>
      <c r="D128" s="325" t="n">
        <f aca="false">B91</f>
        <v>2822.34264451743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n">
        <v>0</v>
      </c>
      <c r="C130" s="336"/>
      <c r="D130" s="335" t="s">
        <v>309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2706.86364451743</v>
      </c>
      <c r="C131" s="321"/>
      <c r="D131" s="42" t="n">
        <f aca="false">IF(A105="YES",B89*B57,0)</f>
        <v>115.479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16239.928259983</v>
      </c>
      <c r="H133" s="107" t="n">
        <f aca="false">IF(G105="YES",H89*H57,0)</f>
        <v>1343.1096</v>
      </c>
      <c r="I133" s="225"/>
      <c r="J133" s="188" t="n">
        <f aca="false">H91*H57</f>
        <v>17583.037859983</v>
      </c>
      <c r="K133" s="220"/>
      <c r="L133" s="67"/>
      <c r="M133" s="189" t="n">
        <f aca="false">N90*N57</f>
        <v>13502.3273730519</v>
      </c>
      <c r="N133" s="107" t="n">
        <f aca="false">IF(M105="YES",N89*N57,0)</f>
        <v>1119.258</v>
      </c>
      <c r="O133" s="225"/>
      <c r="P133" s="188" t="n">
        <f aca="false">N91*N57</f>
        <v>14621.5853730519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2822.34264451743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0.621179904</v>
      </c>
      <c r="H136" s="107" t="n">
        <f aca="false">IF(G105="YES",E15*0.000002,0)</f>
        <v>0.207059968</v>
      </c>
      <c r="I136" s="107"/>
      <c r="J136" s="107" t="n">
        <f aca="false">G136+H136</f>
        <v>0.828239872</v>
      </c>
      <c r="K136" s="109"/>
      <c r="L136" s="67"/>
      <c r="M136" s="115" t="n">
        <f aca="false">E15*0.000006</f>
        <v>0.621179904</v>
      </c>
      <c r="N136" s="107" t="n">
        <f aca="false">IF(M105="YES",E15*0.000002,0)</f>
        <v>0.207059968</v>
      </c>
      <c r="O136" s="107"/>
      <c r="P136" s="107" t="n">
        <f aca="false">M136+N136</f>
        <v>0.828239872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2706.86364451743</v>
      </c>
      <c r="B137" s="42" t="n">
        <f aca="false">IF(A105="YES",B89,0)</f>
        <v>115.479</v>
      </c>
      <c r="C137" s="321"/>
      <c r="D137" s="42" t="n">
        <f aca="false">B91</f>
        <v>2822.34264451743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1115.76022083333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1115.76022083333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62.181</v>
      </c>
      <c r="H142" s="107" t="n">
        <f aca="false">G102-100</f>
        <v>99.99</v>
      </c>
      <c r="I142" s="107"/>
      <c r="J142" s="107" t="n">
        <f aca="false">(H139+J139+G142+H142)-H145</f>
        <v>1277.93122083333</v>
      </c>
      <c r="K142" s="109"/>
      <c r="L142" s="67"/>
      <c r="M142" s="115" t="n">
        <f aca="false">IF(M105="YES",((B36*N105)*0.1)*(M130),0)</f>
        <v>62.181</v>
      </c>
      <c r="N142" s="107" t="n">
        <f aca="false">M102-100</f>
        <v>99.99</v>
      </c>
      <c r="O142" s="107"/>
      <c r="P142" s="107" t="n">
        <f aca="false">(N139+P139+M142+N142)-N145</f>
        <v>1277.93122083333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107" t="n">
        <f aca="false">B102</f>
        <v>400</v>
      </c>
      <c r="C148" s="42"/>
      <c r="D148" s="42" t="n">
        <f aca="false">IF(A105="YES",(B40*B105)*B125,0)*0.1</f>
        <v>93.2715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893.2615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2930.50630999716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2436.93089550865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2822.34264451743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2706.86364451743</v>
      </c>
      <c r="B177" s="362" t="n">
        <f aca="false">IF(A105="YES",B89,0)</f>
        <v>115.479</v>
      </c>
      <c r="C177" s="364"/>
      <c r="D177" s="362" t="n">
        <f aca="false">B91</f>
        <v>2822.34264451743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2706.86364451743</v>
      </c>
      <c r="C180" s="360"/>
      <c r="D180" s="107" t="n">
        <f aca="false">IF(A105="YES",B89*B57,0)</f>
        <v>115.479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2822.34264451743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2706.86364451743</v>
      </c>
      <c r="B186" s="107" t="n">
        <f aca="false">IF(A105="YES",B89,0)</f>
        <v>115.479</v>
      </c>
      <c r="C186" s="360"/>
      <c r="D186" s="107" t="n">
        <f aca="false">B91</f>
        <v>2822.34264451743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93.2715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893.2615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300</v>
      </c>
      <c r="C211" s="324" t="s">
        <v>228</v>
      </c>
      <c r="D211" s="379" t="n">
        <f aca="false">B225+E221+B221+B223</f>
        <v>1272.705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10972.705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300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10972.705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932.715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795.817911488124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95" zoomScaleNormal="95" zoomScalePageLayoutView="100" workbookViewId="0">
      <selection pane="topLeft" activeCell="B97" activeCellId="0" sqref="B97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46854.17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46854.17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47687.5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550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9647.5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55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58525</v>
      </c>
      <c r="F15" s="67"/>
      <c r="G15" s="277" t="n">
        <f aca="false">E15</f>
        <v>58525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57885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58525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18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6000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12</v>
      </c>
      <c r="B44" s="108" t="n">
        <v>1</v>
      </c>
      <c r="C44" s="108"/>
      <c r="D44" s="108" t="n">
        <v>1</v>
      </c>
      <c r="E44" s="108"/>
      <c r="F44" s="67"/>
      <c r="G44" s="67" t="s">
        <v>267</v>
      </c>
      <c r="H44" s="242" t="n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n">
        <v>0.01</v>
      </c>
      <c r="C47" s="435"/>
      <c r="D47" s="108" t="n">
        <v>1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 t="s">
        <v>399</v>
      </c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26" t="s">
        <v>28</v>
      </c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283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91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12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57885</v>
      </c>
      <c r="C67" s="219"/>
      <c r="D67" s="219"/>
      <c r="E67" s="220"/>
      <c r="F67" s="67"/>
      <c r="G67" s="218" t="s">
        <v>23</v>
      </c>
      <c r="H67" s="294" t="n">
        <f aca="false">G18</f>
        <v>57885</v>
      </c>
      <c r="I67" s="219"/>
      <c r="J67" s="219"/>
      <c r="K67" s="220"/>
      <c r="L67" s="67"/>
      <c r="M67" s="218" t="s">
        <v>23</v>
      </c>
      <c r="N67" s="294" t="n">
        <f aca="false">G18</f>
        <v>57885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B68+(B68*0.25*(H29/12-1))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4051.95</v>
      </c>
      <c r="C70" s="219"/>
      <c r="D70" s="294" t="n">
        <f aca="false">B70-A151</f>
        <v>4051.95</v>
      </c>
      <c r="E70" s="220" t="n">
        <f aca="false">D70/12</f>
        <v>337.6625</v>
      </c>
      <c r="F70" s="67"/>
      <c r="G70" s="288" t="s">
        <v>100</v>
      </c>
      <c r="H70" s="137" t="n">
        <f aca="false">H67*H69</f>
        <v>4051.95</v>
      </c>
      <c r="I70" s="219"/>
      <c r="J70" s="294" t="n">
        <f aca="false">H70-G151</f>
        <v>4051.95</v>
      </c>
      <c r="K70" s="220"/>
      <c r="L70" s="67"/>
      <c r="M70" s="288" t="s">
        <v>100</v>
      </c>
      <c r="N70" s="137" t="n">
        <f aca="false">N67*N69</f>
        <v>4051.95</v>
      </c>
      <c r="O70" s="219"/>
      <c r="P70" s="294" t="n">
        <f aca="false">N70-M151</f>
        <v>4051.95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6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 t="n">
        <f aca="false">B71+(B71*0.5*(H29/12-1))</f>
        <v>0.01</v>
      </c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B67*B72</f>
        <v>578.85</v>
      </c>
      <c r="C73" s="219"/>
      <c r="D73" s="294"/>
      <c r="E73" s="220"/>
      <c r="F73" s="67"/>
      <c r="G73" s="288" t="s">
        <v>103</v>
      </c>
      <c r="H73" s="137" t="n">
        <f aca="false">H67*H72</f>
        <v>289.425</v>
      </c>
      <c r="I73" s="219"/>
      <c r="J73" s="294"/>
      <c r="K73" s="220"/>
      <c r="L73" s="67"/>
      <c r="M73" s="288" t="s">
        <v>103</v>
      </c>
      <c r="N73" s="137" t="n">
        <f aca="false">N67*N72</f>
        <v>289.425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v>0</v>
      </c>
      <c r="C84" s="219"/>
      <c r="D84" s="294" t="n">
        <f aca="false">B84</f>
        <v>0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4711.95</v>
      </c>
      <c r="C87" s="219"/>
      <c r="D87" s="219"/>
      <c r="E87" s="220"/>
      <c r="F87" s="67"/>
      <c r="G87" s="307" t="s">
        <v>112</v>
      </c>
      <c r="H87" s="308" t="n">
        <f aca="false">SUM(J70:J86)</f>
        <v>7205.53333333333</v>
      </c>
      <c r="I87" s="219"/>
      <c r="J87" s="219"/>
      <c r="K87" s="220"/>
      <c r="L87" s="67"/>
      <c r="M87" s="307" t="s">
        <v>112</v>
      </c>
      <c r="N87" s="308" t="n">
        <f aca="false">SUM(P70:P86)</f>
        <v>7165.95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392.6625</v>
      </c>
      <c r="C88" s="219"/>
      <c r="D88" s="219"/>
      <c r="E88" s="220"/>
      <c r="F88" s="67"/>
      <c r="G88" s="218" t="s">
        <v>113</v>
      </c>
      <c r="H88" s="304" t="n">
        <f aca="false">H87/H29</f>
        <v>600.461111111111</v>
      </c>
      <c r="I88" s="219"/>
      <c r="J88" s="219"/>
      <c r="K88" s="220"/>
      <c r="L88" s="67"/>
      <c r="M88" s="218" t="s">
        <v>113</v>
      </c>
      <c r="N88" s="304" t="n">
        <f aca="false">N87/H29</f>
        <v>597.1625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10723.95</v>
      </c>
      <c r="C91" s="219"/>
      <c r="D91" s="219"/>
      <c r="E91" s="220"/>
      <c r="F91" s="67"/>
      <c r="G91" s="291" t="s">
        <v>124</v>
      </c>
      <c r="H91" s="135" t="n">
        <f aca="false">((H89*H29)+H87)*1.2</f>
        <v>15861.04</v>
      </c>
      <c r="I91" s="219"/>
      <c r="J91" s="219"/>
      <c r="K91" s="220"/>
      <c r="L91" s="67"/>
      <c r="M91" s="291" t="s">
        <v>124</v>
      </c>
      <c r="N91" s="135" t="n">
        <f aca="false">((N89*H29)+N87)</f>
        <v>13177.95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90.8442718838241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111.967809600645</v>
      </c>
      <c r="I92" s="219"/>
      <c r="J92" s="219"/>
      <c r="K92" s="220"/>
      <c r="L92" s="67"/>
      <c r="M92" s="218" t="s">
        <v>125</v>
      </c>
      <c r="N92" s="304" t="n">
        <f aca="false">(N91/(1-N76))*N76</f>
        <v>111.632492940702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10814.7942718838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17973.0078096006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15289.5824929407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((H44*B35)+((H44*B35)*B111))/(B63+B64)</f>
        <v>31.304347826087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IF(B105=Y104,(B93-D111)/(B64),B93/(B63+B64))</f>
        <v>470.208446603645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501.512794429732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 t="s">
        <v>295</v>
      </c>
      <c r="B105" s="316" t="s">
        <v>277</v>
      </c>
      <c r="C105" s="316"/>
      <c r="D105" s="428" t="n">
        <v>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8" t="n">
        <v>0.2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/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199.99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218"/>
      <c r="B129" s="219"/>
      <c r="C129" s="219"/>
      <c r="D129" s="219"/>
      <c r="E129" s="220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18" t="s">
        <v>192</v>
      </c>
      <c r="B130" s="176" t="n">
        <v>1200</v>
      </c>
      <c r="C130" s="176"/>
      <c r="D130" s="219"/>
      <c r="E130" s="220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18"/>
      <c r="B131" s="219"/>
      <c r="C131" s="219"/>
      <c r="D131" s="219"/>
      <c r="E131" s="220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18" t="s">
        <v>92</v>
      </c>
      <c r="B132" s="219" t="s">
        <v>93</v>
      </c>
      <c r="C132" s="219"/>
      <c r="D132" s="219" t="s">
        <v>95</v>
      </c>
      <c r="E132" s="220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32" t="n">
        <f aca="false">A158</f>
        <v>12</v>
      </c>
      <c r="B133" s="233" t="n">
        <f aca="false">B157</f>
        <v>5000</v>
      </c>
      <c r="C133" s="234"/>
      <c r="D133" s="233" t="n">
        <f aca="false">B64</f>
        <v>11</v>
      </c>
      <c r="E133" s="220"/>
      <c r="F133" s="67"/>
      <c r="G133" s="232" t="n">
        <f aca="false">G158</f>
        <v>12</v>
      </c>
      <c r="H133" s="233" t="n">
        <f aca="false">B157</f>
        <v>5000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5000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18"/>
      <c r="B134" s="219"/>
      <c r="C134" s="219"/>
      <c r="D134" s="219"/>
      <c r="E134" s="220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31" t="s">
        <v>352</v>
      </c>
      <c r="B135" s="332" t="s">
        <v>262</v>
      </c>
      <c r="C135" s="332"/>
      <c r="D135" s="332" t="s">
        <v>129</v>
      </c>
      <c r="E135" s="220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7" t="n">
        <f aca="false">B96</f>
        <v>470.208446603645</v>
      </c>
      <c r="B136" s="181" t="n">
        <f aca="false">IF(A111="YES",B95*B63,0)</f>
        <v>375.652173913043</v>
      </c>
      <c r="C136" s="181"/>
      <c r="D136" s="181" t="n">
        <f aca="false">B97</f>
        <v>501.512794429732</v>
      </c>
      <c r="E136" s="220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218"/>
      <c r="B137" s="219"/>
      <c r="C137" s="219"/>
      <c r="D137" s="219"/>
      <c r="E137" s="220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218" t="s">
        <v>353</v>
      </c>
      <c r="B138" s="219" t="s">
        <v>251</v>
      </c>
      <c r="C138" s="219"/>
      <c r="D138" s="219" t="s">
        <v>255</v>
      </c>
      <c r="E138" s="220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89" t="n">
        <f aca="false">B96*B63</f>
        <v>5642.50135924373</v>
      </c>
      <c r="B139" s="107" t="n">
        <f aca="false">IF(A111="YES",B95*B63,0)</f>
        <v>375.652173913043</v>
      </c>
      <c r="C139" s="225"/>
      <c r="D139" s="188" t="n">
        <f aca="false">B97*B63</f>
        <v>6018.15353315678</v>
      </c>
      <c r="E139" s="220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218"/>
      <c r="B140" s="219"/>
      <c r="C140" s="219"/>
      <c r="D140" s="219"/>
      <c r="E140" s="220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218" t="s">
        <v>264</v>
      </c>
      <c r="B141" s="219" t="s">
        <v>265</v>
      </c>
      <c r="C141" s="219"/>
      <c r="D141" s="219" t="s">
        <v>269</v>
      </c>
      <c r="E141" s="220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115" t="n">
        <f aca="false">E15*0.000006</f>
        <v>0.35115</v>
      </c>
      <c r="B142" s="107" t="n">
        <f aca="false">IF(A111="YES",E15*0.000002,0)</f>
        <v>0.11705</v>
      </c>
      <c r="C142" s="107"/>
      <c r="D142" s="107" t="n">
        <f aca="false">A142+B142</f>
        <v>0.4682</v>
      </c>
      <c r="E142" s="109"/>
      <c r="F142" s="67"/>
      <c r="G142" s="115" t="n">
        <f aca="false">E15*0.000006</f>
        <v>0.35115</v>
      </c>
      <c r="H142" s="107" t="n">
        <f aca="false">IF(G111="YES",E15*0.000002,0)</f>
        <v>0.11705</v>
      </c>
      <c r="I142" s="107"/>
      <c r="J142" s="107" t="n">
        <f aca="false">G142+H142</f>
        <v>0.4682</v>
      </c>
      <c r="K142" s="109"/>
      <c r="L142" s="67"/>
      <c r="M142" s="115" t="n">
        <f aca="false">E15*0.000006</f>
        <v>0.35115</v>
      </c>
      <c r="N142" s="107" t="n">
        <f aca="false">IF(M111="YES",E15*0.000002,0)</f>
        <v>0.11705</v>
      </c>
      <c r="O142" s="107"/>
      <c r="P142" s="107" t="n">
        <f aca="false">M142+N142</f>
        <v>0.4682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218"/>
      <c r="B143" s="219"/>
      <c r="C143" s="219"/>
      <c r="D143" s="219"/>
      <c r="E143" s="220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218" t="s">
        <v>149</v>
      </c>
      <c r="B144" s="219" t="s">
        <v>319</v>
      </c>
      <c r="C144" s="219"/>
      <c r="D144" s="219" t="s">
        <v>320</v>
      </c>
      <c r="E144" s="220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115" t="n">
        <f aca="false">A108</f>
        <v>199.99</v>
      </c>
      <c r="B145" s="107" t="n">
        <f aca="false">B73/1.2</f>
        <v>482.375</v>
      </c>
      <c r="C145" s="107"/>
      <c r="D145" s="107" t="n">
        <f aca="false">B108*0.9</f>
        <v>0</v>
      </c>
      <c r="E145" s="109"/>
      <c r="F145" s="67"/>
      <c r="G145" s="115" t="n">
        <f aca="false">G108</f>
        <v>239.988</v>
      </c>
      <c r="H145" s="107" t="n">
        <f aca="false">H73/1.2</f>
        <v>241.1875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241.1875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218"/>
      <c r="B146" s="219"/>
      <c r="C146" s="219"/>
      <c r="D146" s="219"/>
      <c r="E146" s="220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218" t="s">
        <v>322</v>
      </c>
      <c r="B147" s="219" t="s">
        <v>323</v>
      </c>
      <c r="C147" s="219"/>
      <c r="D147" s="219" t="s">
        <v>324</v>
      </c>
      <c r="E147" s="220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IF(A111="YES",((A41*B111)*0.1)*(A133),0)</f>
        <v>12</v>
      </c>
      <c r="B148" s="107" t="n">
        <f aca="false">A108-100</f>
        <v>99.99</v>
      </c>
      <c r="C148" s="107"/>
      <c r="D148" s="107" t="n">
        <f aca="false">(B145+D145+A148+B148)-B151</f>
        <v>594.365</v>
      </c>
      <c r="E148" s="109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1473.1755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1433.1775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218"/>
      <c r="B149" s="219"/>
      <c r="C149" s="219"/>
      <c r="D149" s="219"/>
      <c r="E149" s="220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218" t="s">
        <v>326</v>
      </c>
      <c r="B150" s="219" t="s">
        <v>327</v>
      </c>
      <c r="C150" s="219"/>
      <c r="D150" s="219"/>
      <c r="E150" s="220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v>0</v>
      </c>
      <c r="B151" s="107" t="n">
        <f aca="false">(B145+D145+A148+B148)*(A151/B70)</f>
        <v>0</v>
      </c>
      <c r="C151" s="219"/>
      <c r="D151" s="219"/>
      <c r="E151" s="220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218"/>
      <c r="B152" s="219"/>
      <c r="C152" s="219"/>
      <c r="D152" s="219"/>
      <c r="E152" s="220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218"/>
      <c r="B153" s="219"/>
      <c r="C153" s="219"/>
      <c r="D153" s="219"/>
      <c r="E153" s="220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284" t="s">
        <v>332</v>
      </c>
      <c r="B154" s="219"/>
      <c r="C154" s="219"/>
      <c r="D154" s="285"/>
      <c r="E154" s="286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218"/>
      <c r="B155" s="253"/>
      <c r="C155" s="253"/>
      <c r="D155" s="219"/>
      <c r="E155" s="220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254" t="s">
        <v>92</v>
      </c>
      <c r="B156" s="255" t="s">
        <v>93</v>
      </c>
      <c r="C156" s="255"/>
      <c r="D156" s="219"/>
      <c r="E156" s="220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4"/>
      <c r="B157" s="256" t="n">
        <f aca="false">B57</f>
        <v>5000</v>
      </c>
      <c r="C157" s="256"/>
      <c r="D157" s="219"/>
      <c r="E157" s="220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258" t="n">
        <f aca="false">A58</f>
        <v>12</v>
      </c>
      <c r="B158" s="78" t="n">
        <f aca="false">B97</f>
        <v>501.512794429732</v>
      </c>
      <c r="C158" s="78"/>
      <c r="D158" s="219"/>
      <c r="E158" s="220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18"/>
      <c r="B159" s="219"/>
      <c r="C159" s="219"/>
      <c r="D159" s="219"/>
      <c r="E159" s="220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18"/>
      <c r="B160" s="219"/>
      <c r="C160" s="219"/>
      <c r="D160" s="219"/>
      <c r="E160" s="220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18"/>
      <c r="B161" s="219"/>
      <c r="C161" s="219"/>
      <c r="D161" s="219"/>
      <c r="E161" s="220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218"/>
      <c r="B162" s="219"/>
      <c r="C162" s="219"/>
      <c r="D162" s="219"/>
      <c r="E162" s="220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88"/>
      <c r="B163" s="289"/>
      <c r="C163" s="289"/>
      <c r="D163" s="289"/>
      <c r="E163" s="290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6" colorId="64" zoomScale="95" zoomScaleNormal="95" zoomScalePageLayoutView="100" workbookViewId="0">
      <selection pane="topLeft" activeCell="A183" activeCellId="0" sqref="A183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17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n">
        <f aca="false">IF(B38="YES",D38+A41,D38)</f>
        <v>500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0</v>
      </c>
      <c r="C44" s="108"/>
      <c r="D44" s="282" t="n">
        <f aca="false">A44+B44</f>
        <v>1</v>
      </c>
      <c r="E44" s="282"/>
      <c r="F44" s="67"/>
      <c r="G44" s="67" t="s">
        <v>267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6" t="n">
        <v>100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 t="n">
        <f aca="false">B65+(B65*0.5*(H29/12-1))</f>
        <v>100</v>
      </c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100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 t="n">
        <f aca="false">IF(G18&gt;40000,325,0)</f>
        <v>325</v>
      </c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14549.478992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14652.1881014635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1221.01567512196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1221.01567512196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1245.60562200914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28</v>
      </c>
      <c r="B105" s="316" t="n">
        <v>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1221.01567512196</v>
      </c>
      <c r="B128" s="325" t="n">
        <f aca="false">IF(A105="YES",B89,0)</f>
        <v>0</v>
      </c>
      <c r="C128" s="330"/>
      <c r="D128" s="325" t="n">
        <f aca="false">B91</f>
        <v>1221.01567512196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1245.60562200914</v>
      </c>
      <c r="H130" s="181" t="n">
        <f aca="false">IF(G105="YES",H89*H57,0)</f>
        <v>0</v>
      </c>
      <c r="I130" s="181"/>
      <c r="J130" s="338" t="n">
        <f aca="false">H91</f>
        <v>1245.60562200914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1221.01567512196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1245.60562200914</v>
      </c>
      <c r="H133" s="107" t="n">
        <f aca="false">IF(G105="YES",H89*H57,0)</f>
        <v>0</v>
      </c>
      <c r="I133" s="225"/>
      <c r="J133" s="188" t="n">
        <f aca="false">H91*H57</f>
        <v>1245.60562200914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1221.01567512196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1221.01567512196</v>
      </c>
      <c r="B137" s="42" t="n">
        <f aca="false">IF(A105="YES",B89,0)</f>
        <v>0</v>
      </c>
      <c r="C137" s="321"/>
      <c r="D137" s="42" t="n">
        <f aca="false">B91</f>
        <v>1221.01567512196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G18*0.000002*1.2*100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1561.83794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100</v>
      </c>
      <c r="B148" s="42" t="n">
        <f aca="false">B102</f>
        <v>400</v>
      </c>
      <c r="C148" s="42"/>
      <c r="D148" s="42" t="n">
        <f aca="false">IF(A105="YES",(A38/100*B105)*B125,0)*0.001</f>
        <v>0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599.99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1245.60562200914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1221.01567512196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1221.01567512196</v>
      </c>
      <c r="B171" s="362" t="n">
        <f aca="false">IF(A105="YES",B89,0)</f>
        <v>0</v>
      </c>
      <c r="C171" s="365"/>
      <c r="D171" s="362" t="n">
        <f aca="false">B91</f>
        <v>1221.01567512196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1221.01567512196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1221.01567512196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1221.01567512196</v>
      </c>
      <c r="B180" s="107" t="n">
        <f aca="false">IF(A105="YES",B89,0)</f>
        <v>0</v>
      </c>
      <c r="C180" s="360"/>
      <c r="D180" s="107" t="n">
        <f aca="false">B91</f>
        <v>1221.01567512196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49.22639136</v>
      </c>
      <c r="B183" s="372" t="n">
        <f aca="false">G18*0.000002*1.2*100</f>
        <v>16.40879712</v>
      </c>
      <c r="C183" s="373"/>
      <c r="D183" s="372" t="n">
        <f aca="false">A183+B183</f>
        <v>65.63518848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100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599.99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100</v>
      </c>
      <c r="C205" s="324" t="s">
        <v>228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5025.88916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4785.89916</v>
      </c>
      <c r="C211" s="383" t="s">
        <v>232</v>
      </c>
      <c r="D211" s="321"/>
      <c r="E211" s="384" t="n">
        <f aca="false">B66</f>
        <v>100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100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5025.88916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7" activeCellId="0" sqref="B67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100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100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12124.5658266667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12227.2749361302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1018.93957801085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1078.93957801085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1317.60562200914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20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1018.93957801085</v>
      </c>
      <c r="B128" s="325" t="n">
        <f aca="false">IF(A105="YES",B89,0)</f>
        <v>60</v>
      </c>
      <c r="C128" s="330"/>
      <c r="D128" s="325" t="n">
        <f aca="false">B91</f>
        <v>1078.93957801085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1245.60562200914</v>
      </c>
      <c r="H130" s="181" t="n">
        <f aca="false">IF(G105="YES",H89*H57,0)</f>
        <v>72</v>
      </c>
      <c r="I130" s="181"/>
      <c r="J130" s="338" t="n">
        <f aca="false">H91</f>
        <v>1317.60562200914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1018.93957801085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1245.60562200914</v>
      </c>
      <c r="H133" s="107" t="n">
        <f aca="false">IF(G105="YES",H89*H57,0)</f>
        <v>72</v>
      </c>
      <c r="I133" s="225"/>
      <c r="J133" s="188" t="n">
        <f aca="false">H91*H57</f>
        <v>1317.60562200914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1078.93957801085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1018.93957801085</v>
      </c>
      <c r="B137" s="42" t="n">
        <f aca="false">IF(A105="YES",B89,0)</f>
        <v>60</v>
      </c>
      <c r="C137" s="321"/>
      <c r="D137" s="42" t="n">
        <f aca="false">B91</f>
        <v>1078.93957801085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G18*0.000002*100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1569.03794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100</v>
      </c>
      <c r="B148" s="42" t="n">
        <f aca="false">B102</f>
        <v>400</v>
      </c>
      <c r="C148" s="42"/>
      <c r="D148" s="42" t="n">
        <f aca="false">IF(A105="YES",(A38/100*B105)*B125,0)*0.001</f>
        <v>12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611.99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1317.60562200914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1078.93957801085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1018.93957801085</v>
      </c>
      <c r="B171" s="362" t="n">
        <f aca="false">IF(A105="YES",B89,0)</f>
        <v>60</v>
      </c>
      <c r="C171" s="365"/>
      <c r="D171" s="362" t="n">
        <f aca="false">B91</f>
        <v>1078.93957801085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1018.93957801085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1078.93957801085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1018.93957801085</v>
      </c>
      <c r="B180" s="107" t="n">
        <f aca="false">IF(A105="YES",B89,0)</f>
        <v>60</v>
      </c>
      <c r="C180" s="360"/>
      <c r="D180" s="107" t="n">
        <f aca="false">B91</f>
        <v>1078.93957801085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41.0219928</v>
      </c>
      <c r="B183" s="372" t="n">
        <f aca="false">G18*0.000002*100</f>
        <v>13.6739976</v>
      </c>
      <c r="C183" s="373"/>
      <c r="D183" s="372" t="n">
        <f aca="false">A183+B183</f>
        <v>54.6959904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100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611.99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100</v>
      </c>
      <c r="C205" s="324" t="s">
        <v>228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5145.88916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4785.89916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100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5145.88916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2024-07-16T16:59:20Z</dcterms:modified>
  <cp:revision>980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