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<sst xmlns="http://schemas.openxmlformats.org/spreadsheetml/2006/main" count="32334" uniqueCount="393">
  <si>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</si>
  <si>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</si>
  <si>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</si>
  <si>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</si>
  <si>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</si>
  <si>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</si>
  <si>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</si>
  <si>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</si>
  <si>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</si>
  <si>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</si>
  <si>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</si>
  <si>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</si>
  <si>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</si>
  <si>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</si>
  <si>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</si>
  <si>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</si>
  <si>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</si>
  <si>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</si>
  <si>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</si>
  <si>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</si>
  <si>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</si>
  <si>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</si>
  <si>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</si>
  <si>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</si>
  <si>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</si>
  <si>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</si>
  <si>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</si>
  <si>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</si>
  <si>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</si>
  <si>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</si>
  <si>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</si>
  <si>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</si>
  <si>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</si>
  <si>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</si>
  <si>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</si>
  <si>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</si>
  <si>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</si>
  <si>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</si>
  <si>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</si>
  <si>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</si>
  <si>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</si>
  <si>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</si>
  <si>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</si>
  <si>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</si>
  <si>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</si>
  <si>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</si>
  <si>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</si>
  <si>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</si>
  <si>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</si>
  <si>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</si>
  <si>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</si>
  <si>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</si>
  <si>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</si>
  <si>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</si>
  <si>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</si>
  <si>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</si>
  <si>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</si>
  <si>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</si>
  <si>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</si>
  <si>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</si>
  <si>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</si>
  <si>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</si>
  <si>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</si>
  <si>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</si>
  <si>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</si>
  <si>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</si>
  <si>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</si>
  <si>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</si>
  <si>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</si>
  <si>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</si>
  <si>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</si>
  <si>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</si>
  <si>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</si>
  <si>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</si>
  <si>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</si>
  <si>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</si>
  <si>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</si>
  <si>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</si>
  <si>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</si>
  <si>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</si>
  <si>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</si>
  <si>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</si>
  <si>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</si>
  <si>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</si>
  <si>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</si>
  <si>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</si>
  <si>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</si>
  <si>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</si>
  <si>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</si>
  <si>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</si>
  <si>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</si>
  <si>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</si>
  <si>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</si>
  <si>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</si>
  <si>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</si>
  <si>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</si>
  <si>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</si>
  <si>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</si>
  <si>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</si>
  <si>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</si>
  <si>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</si>
  <si>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</si>
  <si>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</si>
  <si>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</si>
  <si>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</si>
  <si>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</si>
  <si>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</si>
  <si>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</si>
  <si>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</si>
  <si>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</si>
  <si>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</si>
  <si>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</si>
  <si>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</si>
  <si>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</si>
  <si>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</si>
  <si>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</si>
  <si>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</si>
  <si>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</si>
  <si>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</si>
  <si>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</si>
  <si>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</si>
  <si>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</si>
  <si>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</si>
  <si>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</si>
  <si>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</si>
  <si>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</si>
  <si>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</si>
  <si>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</si>
  <si>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</si>
  <si>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</si>
  <si>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</si>
  <si>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</si>
  <si>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</si>
  <si>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</si>
  <si>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</si>
  <si>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</si>
  <si>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</si>
  <si>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</si>
  <si>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</si>
  <si>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</si>
  <si>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</si>
  <si>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</si>
  <si>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</si>
  <si>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</si>
  <si>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</si>
  <si>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</si>
  <si>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</si>
  <si>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</si>
  <si>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</si>
  <si>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</si>
  <si>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</si>
  <si>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</si>
  <si>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</si>
  <si>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</si>
  <si>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</si>
  <si>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</si>
  <si>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</si>
  <si>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</si>
  <si>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</si>
  <si>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</si>
  <si>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</si>
  <si>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</si>
  <si>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</si>
  <si>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</si>
  <si>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</si>
  <si>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</si>
  <si>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</si>
  <si>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</si>
  <si>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</si>
  <si>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</si>
  <si>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</si>
  <si>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</si>
  <si>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</si>
  <si>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</si>
  <si>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</si>
  <si>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</si>
  <si>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</si>
  <si>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</si>
  <si>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</si>
  <si>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</si>
  <si>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</si>
  <si>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</si>
  <si>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</si>
  <si>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</si>
  <si>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</si>
  <si>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</si>
  <si>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</si>
  <si>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</si>
  <si>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</si>
  <si>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</si>
  <si>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</si>
  <si>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</si>
  <si>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</si>
  <si>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</si>
  <si>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</si>
  <si>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</si>
  <si>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</si>
  <si>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</si>
  <si>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</si>
  <si>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</si>
  <si>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</si>
  <si>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</si>
  <si>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</si>
  <si>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</si>
  <si>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</si>
  <si>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</si>
  <si>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</si>
  <si>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</si>
  <si>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</si>
  <si>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</si>
  <si>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</si>
  <si>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</si>
  <si>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</si>
  <si>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</si>
  <si>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</si>
  <si>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</si>
  <si>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</si>
  <si>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</si>
  <si>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</si>
  <si>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</si>
  <si>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</si>
  <si>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</si>
  <si>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</si>
  <si>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</si>
  <si>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</si>
  <si>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</si>
  <si>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</si>
  <si>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</si>
  <si>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</si>
  <si>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</si>
  <si>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</si>
  <si>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</si>
  <si>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</si>
  <si>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</si>
  <si>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</si>
  <si>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</si>
  <si>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</si>
  <si>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</si>
  <si>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</si>
  <si>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</si>
  <si>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</si>
  <si>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</si>
  <si>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</si>
  <si>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</si>
  <si>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</si>
  <si>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</si>
  <si>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</si>
  <si>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</si>
  <si>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</si>
  <si>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</si>
  <si>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</si>
  <si>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</si>
  <si>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</si>
  <si>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</si>
  <si>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</si>
  <si>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</si>
  <si>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</si>
  <si>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</si>
  <si>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</si>
  <si>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</si>
  <si>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</si>
  <si>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</si>
  <si>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</si>
  <si>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</si>
  <si>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</si>
  <si>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</si>
  <si>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</si>
  <si>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</si>
  <si>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</si>
  <si>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</si>
  <si>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</si>
  <si>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</si>
  <si>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</si>
  <si>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</si>
  <si>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</si>
  <si>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</si>
  <si>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</si>
  <si>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</si>
  <si>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</si>
  <si>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</si>
  <si>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</si>
  <si>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</si>
  <si>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</si>
  <si>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</si>
  <si>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</si>
  <si>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</si>
  <si>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</si>
  <si>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</si>
  <si>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</si>
  <si>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</si>
  <si>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</si>
  <si>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</si>
  <si>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</si>
  <si>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</si>
  <si>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</si>
  <si>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</si>
  <si>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</si>
  <si>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</si>
  <si>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</si>
  <si>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</si>
  <si>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</si>
  <si>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</si>
  <si>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</si>
  <si>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</si>
  <si>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</si>
  <si>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</si>
  <si>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</si>
  <si>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</si>
  <si>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</si>
  <si>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</si>
  <si>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</si>
  <si>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</si>
  <si>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</si>
  <si>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</si>
  <si>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</si>
  <si>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</si>
  <si>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</si>
  <si>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</si>
  <si>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</si>
  <si>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</si>
  <si>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</si>
  <si>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</si>
  <si>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</si>
  <si>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</si>
  <si>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</si>
  <si>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</si>
  <si>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</si>
  <si>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</si>
  <si>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</si>
  <si>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</si>
  <si>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</si>
  <si>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</si>
  <si>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</si>
  <si>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</si>
  <si>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</si>
  <si>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</si>
  <si>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</si>
  <si>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</si>
  <si>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</si>
  <si>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</si>
  <si>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</si>
  <si>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</si>
  <si>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</si>
  <si>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</si>
  <si>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</si>
  <si>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</si>
  <si>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</si>
  <si>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</si>
  <si>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</si>
  <si>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</si>
  <si>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</si>
  <si>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</si>
  <si>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</si>
  <si>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</si>
  <si>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</si>
  <si>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</si>
  <si>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</si>
  <si>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</si>
  <si>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</si>
  <si>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</si>
  <si>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</si>
  <si>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</si>
  <si>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</si>
  <si>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</si>
  <si>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</si>
  <si>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</si>
  <si>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</si>
  <si>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</si>
  <si>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</si>
  <si>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</si>
  <si>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</si>
  <si>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</si>
  <si>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</si>
  <si>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</si>
  <si>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</si>
  <si>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</si>
  <si>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</si>
  <si>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</si>
  <si>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</si>
  <si>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</si>
  <si>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</si>
  <si>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</si>
  <si>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312.00</t>
  </si>
  <si>
    <t xml:space="preserve">22648.00</t>
  </si>
  <si>
    <t xml:space="preserve">OTR to change</t>
  </si>
  <si>
    <t xml:space="preserve">RFL included?</t>
  </si>
  <si>
    <t>NO</t>
  </si>
  <si>
    <t>50</t>
  </si>
  <si>
    <t>A1 Credit</t>
  </si>
  <si>
    <t>YES</t>
  </si>
  <si>
    <t>199.99</t>
  </si>
  <si>
    <t>0</t>
  </si>
  <si>
    <t>100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</si>
</sst>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1" sqref="A173 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15166.67</v>
      </c>
      <c r="C2" s="4" t="s">
        <v>2</v>
      </c>
      <c r="D2" s="5" t="n">
        <f aca="false">C9</f>
        <v>3033.334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18200.004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3033.334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15166.67</v>
      </c>
      <c r="C15" s="9" t="n">
        <f aca="false">SUM(C9:C13)</f>
        <v>3033.334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18200.004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15166.67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18200.004</v>
      </c>
      <c r="B37" s="31"/>
      <c r="C37" s="40" t="s">
        <v>45</v>
      </c>
      <c r="D37" s="40"/>
      <c r="E37" s="31"/>
      <c r="F37" s="42" t="n">
        <f aca="false">A37-C37</f>
        <v>17200.004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3033.334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169.4445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380.5555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383.222166666667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333.222166666667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383.222166666667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11525.3876327075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383.222166666667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383.222166666667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383.222166666667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17200.004</v>
      </c>
      <c r="C90" s="31"/>
      <c r="D90" s="31"/>
      <c r="E90" s="22"/>
      <c r="F90" s="24" t="s">
        <v>106</v>
      </c>
      <c r="G90" s="26" t="n">
        <f aca="false">F37</f>
        <v>17200.004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10845.0622001204</v>
      </c>
      <c r="C97" s="31"/>
      <c r="D97" s="31"/>
      <c r="E97" s="22"/>
      <c r="F97" s="30" t="s">
        <v>113</v>
      </c>
      <c r="G97" s="32" t="n">
        <f aca="false">G90-G95</f>
        <v>10451.934698559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1048.85342115523</v>
      </c>
      <c r="C98" s="31"/>
      <c r="D98" s="31"/>
      <c r="E98" s="22"/>
      <c r="F98" s="30" t="s">
        <v>114</v>
      </c>
      <c r="G98" s="32" t="n">
        <f aca="false">(G97/G96)</f>
        <v>981.334613263741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11537.3876327075</v>
      </c>
      <c r="C99" s="31"/>
      <c r="D99" s="31"/>
      <c r="E99" s="22"/>
      <c r="F99" s="30" t="s">
        <v>115</v>
      </c>
      <c r="G99" s="32" t="n">
        <f aca="false">((G98*(G94))+G86)</f>
        <v>10794.6807459012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11537.3876327075</v>
      </c>
      <c r="C101" s="31"/>
      <c r="D101" s="31"/>
      <c r="E101" s="22"/>
      <c r="F101" s="55" t="s">
        <v>117</v>
      </c>
      <c r="G101" s="64" t="n">
        <f aca="false">(G99+G100)</f>
        <v>10794.6807459012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1048.85342115523</v>
      </c>
      <c r="C104" s="31"/>
      <c r="D104" s="31"/>
      <c r="E104" s="22"/>
      <c r="F104" s="94" t="s">
        <v>119</v>
      </c>
      <c r="G104" s="95" t="n">
        <f aca="false">G101/(G94)</f>
        <v>981.334613263741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1133.94433024614</v>
      </c>
      <c r="C105" s="31"/>
      <c r="D105" s="31"/>
      <c r="E105" s="22" t="s">
        <v>18</v>
      </c>
      <c r="F105" s="96" t="s">
        <v>120</v>
      </c>
      <c r="G105" s="97" t="n">
        <f aca="false">G103+G104</f>
        <v>981.334613263741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18200.004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18200.004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18200.004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18200.004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18200.004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15166.67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3033.334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18200.004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18200.004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-15166.67</v>
      </c>
      <c r="I157" s="1" t="n">
        <f aca="false">(H157-G90)/1.2</f>
        <v>-26972.2283333333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1048.85342115523</v>
      </c>
      <c r="B176" s="176" t="n">
        <f aca="false">B103</f>
        <v>85.0909090909091</v>
      </c>
      <c r="C176" s="173"/>
      <c r="D176" s="173"/>
      <c r="E176" s="176" t="n">
        <f aca="false">B105</f>
        <v>1133.94433024614</v>
      </c>
      <c r="F176" s="22"/>
      <c r="G176" s="22" t="n">
        <f aca="false">ROUND(G104,2)</f>
        <v>981.33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18737.3876327076</v>
      </c>
      <c r="B191" s="102" t="str">
        <f aca="false">B123</f>
        <v>239.99</v>
      </c>
      <c r="C191" s="102"/>
      <c r="D191" s="22"/>
      <c r="E191" s="102" t="n">
        <f aca="false">E188+A191+B191+A194</f>
        <v>18987.3776327076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-15166.67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1133.94433024614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17994.63</v>
      </c>
      <c r="B210" s="185" t="n">
        <f aca="false">E188+A210+B191+A194</f>
        <v>18244.62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1048.85342115523</v>
      </c>
      <c r="B221" s="176" t="n">
        <f aca="false">B176</f>
        <v>85.0909090909091</v>
      </c>
      <c r="C221" s="173"/>
      <c r="D221" s="173"/>
      <c r="E221" s="176" t="n">
        <f aca="false">E176</f>
        <v>1133.94433024614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18737.3876327076</v>
      </c>
      <c r="B233" s="102" t="str">
        <f aca="false">B191</f>
        <v>239.99</v>
      </c>
      <c r="C233" s="102"/>
      <c r="D233" s="112"/>
      <c r="E233" s="102" t="n">
        <f aca="false">E191</f>
        <v>18987.3776327076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1048.85342115523</v>
      </c>
      <c r="B239" s="102" t="n">
        <f aca="false">B176</f>
        <v>85.0909090909091</v>
      </c>
      <c r="C239" s="185"/>
      <c r="D239" s="185"/>
      <c r="E239" s="102" t="n">
        <f aca="false">E176</f>
        <v>1133.94433024614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-15166.67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-15066.6783333333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752.757632707548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852.749299374214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11537.3876327075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852.749299374214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1" sqref="A173 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1" sqref="A173 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1" sqref="A173 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217.829834120331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167.829834120331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-38286.3120530432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5435.41495666158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167.829834120331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217.829834120331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217.829834120331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453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167.829834120331</v>
      </c>
      <c r="C83" s="469"/>
      <c r="D83" s="214"/>
      <c r="E83" s="462" t="n">
        <f aca="false">B83+E80+E77+E64</f>
        <v>493.751902021565</v>
      </c>
      <c r="F83" s="62"/>
      <c r="G83" s="304" t="s">
        <v>105</v>
      </c>
      <c r="H83" s="305" t="n">
        <f aca="false">H47</f>
        <v>167.829834120331</v>
      </c>
      <c r="I83" s="214"/>
      <c r="J83" s="214"/>
      <c r="K83" s="215"/>
      <c r="L83" s="62"/>
      <c r="M83" s="304" t="s">
        <v>105</v>
      </c>
      <c r="N83" s="305" t="n">
        <f aca="false">H47</f>
        <v>167.829834120331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21596.7488339983</v>
      </c>
      <c r="C85" s="469"/>
      <c r="D85" s="469"/>
      <c r="E85" s="462" t="n">
        <f aca="false">B85/(B58+B57)</f>
        <v>599.909689833286</v>
      </c>
      <c r="F85" s="62"/>
      <c r="G85" s="287" t="s">
        <v>115</v>
      </c>
      <c r="H85" s="130" t="n">
        <f aca="false">((H83*H29)+H81)*1.2</f>
        <v>8529.14883399828</v>
      </c>
      <c r="I85" s="214"/>
      <c r="J85" s="214"/>
      <c r="K85" s="215"/>
      <c r="L85" s="62"/>
      <c r="M85" s="287" t="s">
        <v>115</v>
      </c>
      <c r="N85" s="130" t="n">
        <f aca="false">((N83*H29)+N81)</f>
        <v>6763.8740283319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152.457888098011</v>
      </c>
      <c r="C86" s="469" t="s">
        <v>231</v>
      </c>
      <c r="D86" s="214"/>
      <c r="E86" s="462" t="n">
        <f aca="false">B86/(B58+B57)</f>
        <v>4.23494133605587</v>
      </c>
      <c r="F86" s="62"/>
      <c r="G86" s="213" t="s">
        <v>116</v>
      </c>
      <c r="H86" s="299" t="n">
        <f aca="false">((((H83*H29)+H81))/(1-H70))*H70</f>
        <v>60.2098041932109</v>
      </c>
      <c r="I86" s="214"/>
      <c r="J86" s="214"/>
      <c r="K86" s="215"/>
      <c r="L86" s="62"/>
      <c r="M86" s="213" t="s">
        <v>116</v>
      </c>
      <c r="N86" s="299" t="n">
        <f aca="false">(N85/(1-N70))*N70</f>
        <v>57.2978437252803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21749.2067220963</v>
      </c>
      <c r="C87" s="469"/>
      <c r="D87" s="471"/>
      <c r="E87" s="462" t="n">
        <f aca="false">E86+E85</f>
        <v>604.144631169341</v>
      </c>
      <c r="F87" s="62"/>
      <c r="G87" s="284" t="s">
        <v>117</v>
      </c>
      <c r="H87" s="132" t="n">
        <f aca="false">IF(H110="YES",((H85+H86)-K114),(H85+H86))</f>
        <v>8589.35863819149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6821.17187205718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78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604.144631169341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209.496552151012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166.370045659931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682.144631169341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420.228259468085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341.979801757492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209.496552151012</v>
      </c>
      <c r="H127" s="176" t="n">
        <f aca="false">IF(G105="YES",H89*H57,0)</f>
        <v>1264.39024390244</v>
      </c>
      <c r="I127" s="176"/>
      <c r="J127" s="333" t="n">
        <f aca="false">H91</f>
        <v>420.228259468085</v>
      </c>
      <c r="K127" s="215"/>
      <c r="L127" s="62"/>
      <c r="M127" s="332" t="n">
        <f aca="false">N90</f>
        <v>166.370045659931</v>
      </c>
      <c r="N127" s="176" t="n">
        <f aca="false">IF(M105="YES",N89*N57,0)</f>
        <v>1053.65853658537</v>
      </c>
      <c r="O127" s="176"/>
      <c r="P127" s="176" t="n">
        <f aca="false">N91</f>
        <v>341.979801757492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604.144631169341</v>
      </c>
      <c r="B128" s="320" t="n">
        <f aca="false">IF(A105="YES",B89,0)</f>
        <v>78</v>
      </c>
      <c r="C128" s="324"/>
      <c r="D128" s="320" t="n">
        <f aca="false">B91</f>
        <v>682.144631169341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604.144631169341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1256.97931290607</v>
      </c>
      <c r="H133" s="102" t="n">
        <f aca="false">IF(G105="YES",H89*H57,0)</f>
        <v>1264.39024390244</v>
      </c>
      <c r="I133" s="220"/>
      <c r="J133" s="183" t="n">
        <f aca="false">H91*H57</f>
        <v>2521.36955680851</v>
      </c>
      <c r="K133" s="215"/>
      <c r="L133" s="62"/>
      <c r="M133" s="184" t="n">
        <f aca="false">N90*N57</f>
        <v>998.220273959588</v>
      </c>
      <c r="N133" s="102" t="n">
        <f aca="false">IF(M105="YES",N89*N57,0)</f>
        <v>1053.65853658537</v>
      </c>
      <c r="O133" s="220"/>
      <c r="P133" s="183" t="n">
        <f aca="false">N91*N57</f>
        <v>2051.87881054495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682.144631169341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604.144631169341</v>
      </c>
      <c r="B137" s="37" t="n">
        <f aca="false">IF(A105="YES",B89,0)</f>
        <v>78</v>
      </c>
      <c r="C137" s="316"/>
      <c r="D137" s="37" t="n">
        <f aca="false">B91</f>
        <v>682.144631169341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453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1006.99166666667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420.228259468085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341.979801757492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682.144631169341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604.144631169341</v>
      </c>
      <c r="B177" s="354" t="n">
        <f aca="false">IF(A105="YES",B89,0)</f>
        <v>78</v>
      </c>
      <c r="C177" s="356"/>
      <c r="D177" s="354" t="n">
        <f aca="false">B91</f>
        <v>682.144631169341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604.144631169341</v>
      </c>
      <c r="C180" s="352"/>
      <c r="D180" s="102" t="n">
        <f aca="false">IF(A105="YES",B89*B57,0)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682.144631169341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604.144631169341</v>
      </c>
      <c r="B186" s="102" t="n">
        <f aca="false">IF(A105="YES",B89,0)</f>
        <v>78</v>
      </c>
      <c r="C186" s="352"/>
      <c r="D186" s="102" t="n">
        <f aca="false">B91</f>
        <v>682.144631169341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453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1006.99166666667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453</v>
      </c>
      <c r="C211" s="319" t="s">
        <v>218</v>
      </c>
      <c r="D211" s="369" t="n">
        <f aca="false">B225+E221+B221+B223</f>
        <v>879.991666666667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10426.9916666667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453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10426.9916666667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152.457888098011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45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326.166666666667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7442.672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7495.21204033885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78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624.601003361571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702.601003361571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1239.99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624.601003361571</v>
      </c>
      <c r="B134" s="320" t="n">
        <f aca="false">IF(A111="YES",B95,0)</f>
        <v>78</v>
      </c>
      <c r="C134" s="324"/>
      <c r="D134" s="320" t="n">
        <f aca="false">B97</f>
        <v>702.601003361571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624.601003361571</v>
      </c>
      <c r="C137" s="316"/>
      <c r="D137" s="37" t="n">
        <f aca="false">IF(A111="YES",B95*B63,0)</f>
        <v>78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702.601003361571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624.601003361571</v>
      </c>
      <c r="B143" s="37" t="n">
        <f aca="false">IF(A111="YES",B95,0)</f>
        <v>78</v>
      </c>
      <c r="C143" s="316"/>
      <c r="D143" s="37" t="n">
        <f aca="false">B97</f>
        <v>702.601003361571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741.071666666667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702.601003361571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624.601003361571</v>
      </c>
      <c r="B177" s="354" t="n">
        <f aca="false">IF(A111="YES",B95,0)</f>
        <v>78</v>
      </c>
      <c r="C177" s="356"/>
      <c r="D177" s="354" t="n">
        <f aca="false">A177+B177</f>
        <v>702.601003361571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624.601003361571</v>
      </c>
      <c r="C180" s="352"/>
      <c r="D180" s="102" t="n">
        <f aca="false">IF(A111="YES",B95*B63,0)</f>
        <v>78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702.601003361571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624.601003361571</v>
      </c>
      <c r="B186" s="102" t="n">
        <f aca="false">IF(A111="YES",B95,0)</f>
        <v>78</v>
      </c>
      <c r="C186" s="352"/>
      <c r="D186" s="102" t="n">
        <f aca="false">B97</f>
        <v>702.601003361571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741.071666666667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45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6202.22666666667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6254.76670700551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521.230558917126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586.230558917126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1239.988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521.230558917126</v>
      </c>
      <c r="B134" s="320" t="n">
        <f aca="false">IF(A111="YES",B95,0)</f>
        <v>65</v>
      </c>
      <c r="C134" s="325"/>
      <c r="D134" s="320" t="n">
        <f aca="false">B97</f>
        <v>586.230558917126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521.230558917126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586.230558917126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521.230558917126</v>
      </c>
      <c r="B143" s="37" t="n">
        <f aca="false">IF(A111="YES",B95,0)</f>
        <v>65</v>
      </c>
      <c r="C143" s="316"/>
      <c r="D143" s="37" t="n">
        <f aca="false">B97</f>
        <v>586.230558917126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741.07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586.230558917126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521.230558917126</v>
      </c>
      <c r="B177" s="354" t="n">
        <f aca="false">IF(A111="YES",B95,0)</f>
        <v>65</v>
      </c>
      <c r="C177" s="357"/>
      <c r="D177" s="354" t="n">
        <f aca="false">B91</f>
        <v>6202.22666666667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521.230558917126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586.230558917126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521.230558917126</v>
      </c>
      <c r="B186" s="102" t="n">
        <f aca="false">IF(A111="YES",B95,0)</f>
        <v>65</v>
      </c>
      <c r="C186" s="352"/>
      <c r="D186" s="102" t="n">
        <f aca="false">B97</f>
        <v>586.230558917126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741.07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1" sqref="A173 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22648</v>
      </c>
      <c r="B37" s="31"/>
      <c r="C37" s="40" t="s">
        <v>45</v>
      </c>
      <c r="D37" s="40"/>
      <c r="E37" s="31"/>
      <c r="F37" s="42" t="n">
        <f aca="false">A37-C37</f>
        <v>21648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3718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82.3636363636364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417.636363636364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418.606060606061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418.606060606061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22308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22308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22308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22308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19099.7204474994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21513.62890368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21513.62890368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212.325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1603.3875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209.1375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171.2765625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418.606060606061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418.606060606061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418.606060606061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21648</v>
      </c>
      <c r="C90" s="31"/>
      <c r="D90" s="31"/>
      <c r="E90" s="22"/>
      <c r="F90" s="24" t="s">
        <v>106</v>
      </c>
      <c r="G90" s="26" t="n">
        <f aca="false">F37</f>
        <v>21648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18269.5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18269.5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16392.1760889046</v>
      </c>
      <c r="C97" s="31"/>
      <c r="D97" s="31"/>
      <c r="E97" s="22"/>
      <c r="F97" s="30" t="s">
        <v>113</v>
      </c>
      <c r="G97" s="32" t="n">
        <f aca="false">G90-G95</f>
        <v>15623.6270487143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18260.9407086168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18260.9407086168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597.241263984356</v>
      </c>
      <c r="C98" s="31"/>
      <c r="D98" s="31"/>
      <c r="E98" s="22"/>
      <c r="F98" s="30" t="s">
        <v>114</v>
      </c>
      <c r="G98" s="32" t="n">
        <f aca="false">(G97/G96)</f>
        <v>533.091955497554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672.675903239999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672.675903239999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19111.7204474994</v>
      </c>
      <c r="C99" s="31"/>
      <c r="D99" s="31"/>
      <c r="E99" s="22"/>
      <c r="F99" s="30" t="s">
        <v>115</v>
      </c>
      <c r="G99" s="32" t="n">
        <f aca="false">((G98*(G94))+G86)</f>
        <v>17058.9425759217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21525.62890368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21525.62890368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19111.7204474994</v>
      </c>
      <c r="C101" s="31"/>
      <c r="D101" s="31"/>
      <c r="E101" s="22"/>
      <c r="F101" s="55" t="s">
        <v>117</v>
      </c>
      <c r="G101" s="64" t="n">
        <f aca="false">(G99+G100)</f>
        <v>17058.9425759217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21525.62890368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21525.62890368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597.241263984356</v>
      </c>
      <c r="C104" s="31"/>
      <c r="D104" s="31"/>
      <c r="E104" s="22"/>
      <c r="F104" s="94" t="s">
        <v>119</v>
      </c>
      <c r="G104" s="95" t="n">
        <f aca="false">G101/(G94)</f>
        <v>533.091955497554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672.675903239999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672.675903239999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597.241263984356</v>
      </c>
      <c r="C105" s="31"/>
      <c r="D105" s="31"/>
      <c r="E105" s="22" t="s">
        <v>18</v>
      </c>
      <c r="F105" s="96" t="s">
        <v>120</v>
      </c>
      <c r="G105" s="97" t="n">
        <f aca="false">G103+G104</f>
        <v>533.091955497554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672.675903239999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672.675903239999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17895</v>
      </c>
      <c r="C130" s="39" t="n">
        <f aca="false">B130</f>
        <v>17895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17895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17895</v>
      </c>
      <c r="U130" s="39" t="n">
        <f aca="false">T130</f>
        <v>17895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17895</v>
      </c>
      <c r="AD130" s="39" t="n">
        <f aca="false">AC130</f>
        <v>17895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4473.75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4473.75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17895</v>
      </c>
      <c r="C134" s="64" t="n">
        <f aca="false">C130-C133</f>
        <v>17895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17895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17895</v>
      </c>
      <c r="U134" s="64" t="n">
        <f aca="false">U130-U133</f>
        <v>13421.25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17895</v>
      </c>
      <c r="AD134" s="64" t="n">
        <f aca="false">AD130-AD133</f>
        <v>13421.25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17895</v>
      </c>
      <c r="H144" s="152" t="n">
        <f aca="false">C134+E134+G134+H137</f>
        <v>17895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17895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17895</v>
      </c>
      <c r="Z144" s="152" t="n">
        <f aca="false">U134+W134+Y134+Z137</f>
        <v>13421.25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17895</v>
      </c>
      <c r="AI144" s="152" t="n">
        <f aca="false">AD134+AF134+AH134+AI137</f>
        <v>13421.25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3718</v>
      </c>
      <c r="H146" s="32" t="n">
        <f aca="false">(H144+H145)*20%</f>
        <v>3718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3718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3718</v>
      </c>
      <c r="Z146" s="32" t="n">
        <f aca="false">(Z144+Z145)*20%</f>
        <v>2823.25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3718</v>
      </c>
      <c r="AI146" s="32" t="n">
        <f aca="false">(AI144+AI145)*20%</f>
        <v>2823.25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22648</v>
      </c>
      <c r="H150" s="156" t="n">
        <f aca="false">(H144+H145+H148+H149+H146)-H147</f>
        <v>22648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22648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22648</v>
      </c>
      <c r="Z150" s="156" t="n">
        <f aca="false">(Z144+Z145+Z148+Z149+Z146)-Z147</f>
        <v>17269.5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22648</v>
      </c>
      <c r="AI150" s="156" t="n">
        <f aca="false">(AI144+AI145+AI148+AI149+AI146)-AI147</f>
        <v>17269.5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22648</v>
      </c>
      <c r="H156" s="163" t="n">
        <f aca="false">H150-((H153*1.2)+(H154*1.2)+(H155*1.2)+(H151*1.2))</f>
        <v>22648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22648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22648</v>
      </c>
      <c r="Z156" s="163" t="n">
        <f aca="false">Z150-((Z153*1.2)+(Z154*1.2)+(Z155*1.2)+(Z151*1.2))</f>
        <v>17269.5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22648</v>
      </c>
      <c r="AI156" s="163" t="n">
        <f aca="false">AI150-((AI153*1.2)+(AI154*1.2)+(AI155*1.2)+(AI151*1.2))</f>
        <v>17269.5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-18040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12871.004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-5378.5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-5378.5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22648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18269.5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18269.5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597.241263984356</v>
      </c>
      <c r="B176" s="176" t="n">
        <f aca="false">B103</f>
        <v>0</v>
      </c>
      <c r="C176" s="173"/>
      <c r="D176" s="173"/>
      <c r="E176" s="176" t="n">
        <f aca="false">B105</f>
        <v>597.241263984356</v>
      </c>
      <c r="F176" s="22"/>
      <c r="G176" s="22" t="n">
        <f aca="false">ROUND(G104,2)</f>
        <v>533.09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672.675903239999</v>
      </c>
      <c r="T176" s="177" t="n">
        <f aca="false">T103</f>
        <v>0</v>
      </c>
      <c r="U176" s="174"/>
      <c r="V176" s="174"/>
      <c r="W176" s="177" t="n">
        <f aca="false">T105</f>
        <v>672.675903239999</v>
      </c>
      <c r="X176" s="22"/>
      <c r="Y176" s="22"/>
      <c r="Z176" s="32"/>
      <c r="AB176" s="175" t="n">
        <f aca="false">AC104</f>
        <v>672.675903239999</v>
      </c>
      <c r="AC176" s="177" t="n">
        <f aca="false">AC103</f>
        <v>0</v>
      </c>
      <c r="AD176" s="174"/>
      <c r="AE176" s="174"/>
      <c r="AF176" s="177" t="n">
        <f aca="false">AC105</f>
        <v>672.675903239999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18590</v>
      </c>
      <c r="B182" s="102" t="n">
        <f aca="false">H146</f>
        <v>3718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14116.25</v>
      </c>
      <c r="T182" s="37" t="n">
        <f aca="false">Z146</f>
        <v>2823.25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14116.25</v>
      </c>
      <c r="AC182" s="37" t="n">
        <f aca="false">AI146</f>
        <v>2823.25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22648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17269.5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17269.5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22648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18269.5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18269.5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3663.72044749938</v>
      </c>
      <c r="B191" s="102" t="str">
        <f aca="false">B123</f>
        <v>199.99</v>
      </c>
      <c r="C191" s="102"/>
      <c r="D191" s="22"/>
      <c r="E191" s="102" t="n">
        <f aca="false">E188+A191+(B191*1.2)+A194</f>
        <v>26561.7084474994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3268.12890367996</v>
      </c>
      <c r="T191" s="37" t="n">
        <f aca="false">T123</f>
        <v>199.99</v>
      </c>
      <c r="U191" s="37"/>
      <c r="V191" s="22"/>
      <c r="W191" s="37" t="n">
        <f aca="false">W188+S191+T191+S194</f>
        <v>21747.61890368</v>
      </c>
      <c r="X191" s="22"/>
      <c r="Y191" s="22"/>
      <c r="Z191" s="104"/>
      <c r="AB191" s="110" t="n">
        <f aca="false">(AB176*AC68)+AF194-AF188-AB194</f>
        <v>3268.12890367996</v>
      </c>
      <c r="AC191" s="37" t="n">
        <f aca="false">AC123</f>
        <v>239.99</v>
      </c>
      <c r="AD191" s="37"/>
      <c r="AE191" s="22"/>
      <c r="AF191" s="37" t="n">
        <f aca="false">AF188+AB191+AC191+AB194</f>
        <v>21787.61890368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4.4616</v>
      </c>
      <c r="B197" s="102" t="n">
        <f aca="false">(G167*B76)/1.2</f>
        <v>176.9375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0.045296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142.73046875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142.73046875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276.9275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12871.004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1242.72046875</v>
      </c>
      <c r="U200" s="31"/>
      <c r="V200" s="31"/>
      <c r="W200" s="37" t="n">
        <f aca="false">Z157</f>
        <v>-5378.5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1282.72046875</v>
      </c>
      <c r="AD200" s="31"/>
      <c r="AE200" s="31"/>
      <c r="AF200" s="37" t="n">
        <f aca="false">AI157</f>
        <v>-5378.5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597.241263984356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672.675903239999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672.675903239999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1610.88</v>
      </c>
      <c r="B210" s="185" t="n">
        <f aca="false">ROUND((E188+A210+(B191*1.2)+A194),2)</f>
        <v>24508.87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597.241263984356</v>
      </c>
      <c r="B221" s="176" t="n">
        <f aca="false">B176</f>
        <v>0</v>
      </c>
      <c r="C221" s="173"/>
      <c r="D221" s="173"/>
      <c r="E221" s="176" t="n">
        <f aca="false">E176</f>
        <v>597.241263984356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18590</v>
      </c>
      <c r="B224" s="102" t="n">
        <f aca="false">B182</f>
        <v>3718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22648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22648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3663.72044749938</v>
      </c>
      <c r="B233" s="102" t="str">
        <f aca="false">B191</f>
        <v>199.99</v>
      </c>
      <c r="C233" s="102"/>
      <c r="D233" s="112"/>
      <c r="E233" s="102" t="n">
        <f aca="false">E191</f>
        <v>26561.7084474994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597.241263984356</v>
      </c>
      <c r="B239" s="102" t="n">
        <f aca="false">B176</f>
        <v>0</v>
      </c>
      <c r="C239" s="185"/>
      <c r="D239" s="185"/>
      <c r="E239" s="102" t="n">
        <f aca="false">E176</f>
        <v>597.241263984356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13.3848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4.4616</v>
      </c>
      <c r="B245" s="102" t="n">
        <f aca="false">E242+A245</f>
        <v>17.8464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176.9375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276.9275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2062.83844749938</v>
      </c>
      <c r="C263" s="196"/>
      <c r="D263" s="197" t="s">
        <v>217</v>
      </c>
      <c r="E263" s="197"/>
      <c r="F263" s="199" t="n">
        <f aca="false">F270+F276+F278+B279+B280</f>
        <v>212.325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1950.50344749938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2062.83844749938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212.325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1950.50344749938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1" sqref="A173 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22648</v>
      </c>
      <c r="B37" s="31"/>
      <c r="C37" s="40" t="s">
        <v>45</v>
      </c>
      <c r="D37" s="40"/>
      <c r="E37" s="31"/>
      <c r="F37" s="42" t="n">
        <f aca="false">A37-C37</f>
        <v>21648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3718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82.3636363636364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467.636363636364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468.606060606061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468.606060606061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22308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22308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22308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22308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19099.7204474994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21513.62890368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21513.62890368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212.325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1603.3875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209.1375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171.2765625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468.606060606061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468.606060606061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468.606060606061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21648</v>
      </c>
      <c r="C90" s="31"/>
      <c r="D90" s="31"/>
      <c r="E90" s="22"/>
      <c r="F90" s="24" t="s">
        <v>106</v>
      </c>
      <c r="G90" s="26" t="n">
        <f aca="false">F37</f>
        <v>21648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18269.5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18269.5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16392.1760889046</v>
      </c>
      <c r="C97" s="31"/>
      <c r="D97" s="31"/>
      <c r="E97" s="22"/>
      <c r="F97" s="30" t="s">
        <v>113</v>
      </c>
      <c r="G97" s="32" t="n">
        <f aca="false">G90-G95</f>
        <v>15623.6270487143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18260.9407086168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18260.9407086168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597.241263984356</v>
      </c>
      <c r="C98" s="31"/>
      <c r="D98" s="31"/>
      <c r="E98" s="22"/>
      <c r="F98" s="30" t="s">
        <v>114</v>
      </c>
      <c r="G98" s="32" t="n">
        <f aca="false">(G97/G96)</f>
        <v>533.091955497554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672.675903239999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672.675903239999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19111.7204474994</v>
      </c>
      <c r="C99" s="31"/>
      <c r="D99" s="31"/>
      <c r="E99" s="22"/>
      <c r="F99" s="30" t="s">
        <v>115</v>
      </c>
      <c r="G99" s="32" t="n">
        <f aca="false">((G98*(G94))+G86)</f>
        <v>17058.9425759217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21525.62890368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21525.62890368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19111.7204474994</v>
      </c>
      <c r="C101" s="31"/>
      <c r="D101" s="31"/>
      <c r="E101" s="22"/>
      <c r="F101" s="55" t="s">
        <v>117</v>
      </c>
      <c r="G101" s="64" t="n">
        <f aca="false">(G99+G100)</f>
        <v>17058.9425759217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21525.62890368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21525.62890368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80.4375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597.241263984356</v>
      </c>
      <c r="C104" s="31"/>
      <c r="D104" s="31"/>
      <c r="E104" s="22"/>
      <c r="F104" s="94" t="s">
        <v>119</v>
      </c>
      <c r="G104" s="95" t="n">
        <f aca="false">G101/(G94)</f>
        <v>533.091955497554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672.675903239999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672.675903239999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677.678763984356</v>
      </c>
      <c r="C105" s="31"/>
      <c r="D105" s="31"/>
      <c r="E105" s="22" t="s">
        <v>19</v>
      </c>
      <c r="F105" s="96" t="s">
        <v>120</v>
      </c>
      <c r="G105" s="97" t="n">
        <f aca="false">G103+G104</f>
        <v>533.091955497554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672.675903239999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672.675903239999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17895</v>
      </c>
      <c r="C130" s="39" t="n">
        <f aca="false">B130</f>
        <v>17895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17895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17895</v>
      </c>
      <c r="U130" s="39" t="n">
        <f aca="false">T130</f>
        <v>17895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17895</v>
      </c>
      <c r="AD130" s="39" t="n">
        <f aca="false">AC130</f>
        <v>17895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4473.75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4473.75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17895</v>
      </c>
      <c r="C134" s="64" t="n">
        <f aca="false">C130-C133</f>
        <v>17895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17895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17895</v>
      </c>
      <c r="U134" s="64" t="n">
        <f aca="false">U130-U133</f>
        <v>13421.25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17895</v>
      </c>
      <c r="AD134" s="64" t="n">
        <f aca="false">AD130-AD133</f>
        <v>13421.25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17895</v>
      </c>
      <c r="H144" s="152" t="n">
        <f aca="false">C134+E134+G134+H137</f>
        <v>17895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17895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17895</v>
      </c>
      <c r="Z144" s="152" t="n">
        <f aca="false">U134+W134+Y134+Z137</f>
        <v>13421.25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17895</v>
      </c>
      <c r="AI144" s="152" t="n">
        <f aca="false">AD134+AF134+AH134+AI137</f>
        <v>13421.25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3718</v>
      </c>
      <c r="H146" s="32" t="n">
        <f aca="false">(H144+H145)*20%</f>
        <v>3718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3718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3718</v>
      </c>
      <c r="Z146" s="32" t="n">
        <f aca="false">(Z144+Z145)*20%</f>
        <v>2823.25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3718</v>
      </c>
      <c r="AI146" s="32" t="n">
        <f aca="false">(AI144+AI145)*20%</f>
        <v>2823.25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22648</v>
      </c>
      <c r="H150" s="156" t="n">
        <f aca="false">(H144+H145+H148+H149+H146)-H147</f>
        <v>22648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22648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22648</v>
      </c>
      <c r="Z150" s="156" t="n">
        <f aca="false">(Z144+Z145+Z148+Z149+Z146)-Z147</f>
        <v>17269.5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22648</v>
      </c>
      <c r="AI150" s="156" t="n">
        <f aca="false">(AI144+AI145+AI148+AI149+AI146)-AI147</f>
        <v>17269.5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22648</v>
      </c>
      <c r="H156" s="163" t="n">
        <f aca="false">H150-((H153*1.2)+(H154*1.2)+(H155*1.2)+(H151*1.2))</f>
        <v>22648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22648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22648</v>
      </c>
      <c r="Z156" s="163" t="n">
        <f aca="false">Z150-((Z153*1.2)+(Z154*1.2)+(Z155*1.2)+(Z151*1.2))</f>
        <v>17269.5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22648</v>
      </c>
      <c r="AI156" s="163" t="n">
        <f aca="false">AI150-((AI153*1.2)+(AI154*1.2)+(AI155*1.2)+(AI151*1.2))</f>
        <v>17269.5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-18040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12871.004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-5378.5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-5378.5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22648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18269.5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18269.5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597.241263984356</v>
      </c>
      <c r="B176" s="176" t="n">
        <f aca="false">B103</f>
        <v>80.4375</v>
      </c>
      <c r="C176" s="173"/>
      <c r="D176" s="173"/>
      <c r="E176" s="176" t="n">
        <f aca="false">B105</f>
        <v>677.678763984356</v>
      </c>
      <c r="F176" s="22"/>
      <c r="G176" s="22" t="n">
        <f aca="false">ROUND(G104,2)</f>
        <v>533.09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672.675903239999</v>
      </c>
      <c r="T176" s="177" t="n">
        <f aca="false">T103</f>
        <v>0</v>
      </c>
      <c r="U176" s="174"/>
      <c r="V176" s="174"/>
      <c r="W176" s="177" t="n">
        <f aca="false">T105</f>
        <v>672.675903239999</v>
      </c>
      <c r="X176" s="22"/>
      <c r="Y176" s="22"/>
      <c r="Z176" s="32"/>
      <c r="AB176" s="175" t="n">
        <f aca="false">AC104</f>
        <v>672.675903239999</v>
      </c>
      <c r="AC176" s="177" t="n">
        <f aca="false">AC103</f>
        <v>0</v>
      </c>
      <c r="AD176" s="174"/>
      <c r="AE176" s="174"/>
      <c r="AF176" s="177" t="n">
        <f aca="false">AC105</f>
        <v>672.675903239999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18590</v>
      </c>
      <c r="B182" s="102" t="n">
        <f aca="false">H146</f>
        <v>3718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14116.25</v>
      </c>
      <c r="T182" s="37" t="n">
        <f aca="false">Z146</f>
        <v>2823.25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14116.25</v>
      </c>
      <c r="AC182" s="37" t="n">
        <f aca="false">AI146</f>
        <v>2823.25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22648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17269.5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17269.5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22648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18269.5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18269.5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3663.72044749938</v>
      </c>
      <c r="B191" s="102" t="str">
        <f aca="false">B123</f>
        <v>239.99</v>
      </c>
      <c r="C191" s="102"/>
      <c r="D191" s="22"/>
      <c r="E191" s="102" t="n">
        <f aca="false">E188+A191+B191+A194</f>
        <v>26561.7104474994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3268.12890367996</v>
      </c>
      <c r="T191" s="37" t="n">
        <f aca="false">T123</f>
        <v>199.99</v>
      </c>
      <c r="U191" s="37"/>
      <c r="V191" s="22"/>
      <c r="W191" s="37" t="n">
        <f aca="false">W188+S191+T191+S194</f>
        <v>21747.61890368</v>
      </c>
      <c r="X191" s="22"/>
      <c r="Y191" s="22"/>
      <c r="Z191" s="104"/>
      <c r="AB191" s="110" t="n">
        <f aca="false">(AB176*AC68)+AF194-AF188-AB194</f>
        <v>3268.12890367996</v>
      </c>
      <c r="AC191" s="37" t="n">
        <f aca="false">AC123</f>
        <v>239.99</v>
      </c>
      <c r="AD191" s="37"/>
      <c r="AE191" s="22"/>
      <c r="AF191" s="37" t="n">
        <f aca="false">AF188+AB191+AC191+AB194</f>
        <v>21787.61890368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5.35392</v>
      </c>
      <c r="B197" s="102" t="n">
        <f aca="false">(G167*B76)/1.2</f>
        <v>176.9375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0.045296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142.73046875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142.73046875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326.429166666667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12871.004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1242.72046875</v>
      </c>
      <c r="U200" s="31"/>
      <c r="V200" s="31"/>
      <c r="W200" s="37" t="n">
        <f aca="false">Z157</f>
        <v>-5378.5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1282.72046875</v>
      </c>
      <c r="AD200" s="31"/>
      <c r="AE200" s="31"/>
      <c r="AF200" s="37" t="n">
        <f aca="false">AI157</f>
        <v>-5378.5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677.678763984356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672.675903239999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672.675903239999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1610.88</v>
      </c>
      <c r="B210" s="185" t="n">
        <f aca="false">E188+A210+B191+A194</f>
        <v>24508.87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597.241263984356</v>
      </c>
      <c r="B221" s="176" t="n">
        <f aca="false">B176</f>
        <v>80.4375</v>
      </c>
      <c r="C221" s="173"/>
      <c r="D221" s="173"/>
      <c r="E221" s="176" t="n">
        <f aca="false">E176</f>
        <v>677.678763984356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18590</v>
      </c>
      <c r="B224" s="102" t="n">
        <f aca="false">B182</f>
        <v>3718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22648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22648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3663.72044749938</v>
      </c>
      <c r="B233" s="102" t="str">
        <f aca="false">B191</f>
        <v>239.99</v>
      </c>
      <c r="C233" s="102"/>
      <c r="D233" s="112"/>
      <c r="E233" s="102" t="n">
        <f aca="false">E191</f>
        <v>26561.7104474994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597.241263984356</v>
      </c>
      <c r="B239" s="102" t="n">
        <f aca="false">B176</f>
        <v>80.4375</v>
      </c>
      <c r="C239" s="185"/>
      <c r="D239" s="185"/>
      <c r="E239" s="102" t="n">
        <f aca="false">E176</f>
        <v>677.678763984356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16.06176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5.35392</v>
      </c>
      <c r="B245" s="102" t="n">
        <f aca="false">E242+A245</f>
        <v>21.41568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176.9375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326.429166666667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2062.84044749938</v>
      </c>
      <c r="C263" s="196"/>
      <c r="D263" s="197" t="s">
        <v>217</v>
      </c>
      <c r="E263" s="197"/>
      <c r="F263" s="199" t="n">
        <f aca="false">F270+F276+F278+B279+B280</f>
        <v>212.325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594.991666666667</v>
      </c>
      <c r="C264" s="196"/>
      <c r="D264" s="197" t="s">
        <v>219</v>
      </c>
      <c r="E264" s="197"/>
      <c r="F264" s="199" t="n">
        <f aca="false">(B263-F263)+B264</f>
        <v>2445.50711416605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2062.84044749938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212.325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2445.50711416605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1" sqref="A173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1" sqref="A173 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382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19517.2894080402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16697.6147049928</v>
      </c>
      <c r="C88" s="92" t="n">
        <f aca="false">B81-B86</f>
        <v>16697.6147049928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625.847112183074</v>
      </c>
      <c r="C89" s="92" t="n">
        <f aca="false">(B88/B87)</f>
        <v>625.847112183074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20027.1075898584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20027.1075898584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14.04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625.847112183074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639.887112183074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625.847112183074</v>
      </c>
      <c r="B167" s="176" t="n">
        <f aca="false">B94</f>
        <v>14.04</v>
      </c>
      <c r="C167" s="173"/>
      <c r="D167" s="173"/>
      <c r="E167" s="176" t="n">
        <f aca="false">B96</f>
        <v>639.887112183074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4579.10758985836</v>
      </c>
      <c r="B182" s="102" t="str">
        <f aca="false">B114</f>
        <v>239.99</v>
      </c>
      <c r="C182" s="102"/>
      <c r="D182" s="22"/>
      <c r="E182" s="102" t="n">
        <f aca="false">E179+A182+B182+A185</f>
        <v>27477.0975898584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6.24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283.169166666667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639.887112183074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625.847112183074</v>
      </c>
      <c r="B212" s="176" t="n">
        <f aca="false">B167</f>
        <v>14.04</v>
      </c>
      <c r="C212" s="173"/>
      <c r="D212" s="173"/>
      <c r="E212" s="176" t="n">
        <f aca="false">E167</f>
        <v>639.887112183074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4579.10758985836</v>
      </c>
      <c r="B224" s="102" t="str">
        <f aca="false">B182</f>
        <v>239.99</v>
      </c>
      <c r="C224" s="102"/>
      <c r="D224" s="112"/>
      <c r="E224" s="102" t="n">
        <f aca="false">E182</f>
        <v>27477.0975898584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625.847112183074</v>
      </c>
      <c r="B230" s="102" t="n">
        <f aca="false">B167</f>
        <v>14.04</v>
      </c>
      <c r="C230" s="185"/>
      <c r="D230" s="185"/>
      <c r="E230" s="102" t="n">
        <f aca="false">E167</f>
        <v>639.887112183074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6.24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283.169166666667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2978.22758985836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162.391666666667</v>
      </c>
      <c r="C255" s="196"/>
      <c r="D255" s="197" t="s">
        <v>219</v>
      </c>
      <c r="E255" s="197"/>
      <c r="F255" s="199" t="n">
        <f aca="false">(B254-F254)+B255</f>
        <v>2928.29425652503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2978.22758985836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62.4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2928.29425652503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199.99</v>
      </c>
      <c r="C182" s="102"/>
      <c r="D182" s="22"/>
      <c r="E182" s="102" t="n">
        <f aca="false">E179+A182+(B182*1.2)+A185</f>
        <v>26561.7084474994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199.99</v>
      </c>
      <c r="C224" s="102"/>
      <c r="D224" s="112"/>
      <c r="E224" s="102" t="n">
        <f aca="false">E182</f>
        <v>26561.7084474994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1950.50544749938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1950.50544749938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73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382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18601.9022656812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15.21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612.451263984356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n">
        <f aca="false">B94</f>
        <v>15.21</v>
      </c>
      <c r="C167" s="173"/>
      <c r="D167" s="173"/>
      <c r="E167" s="176" t="n">
        <f aca="false">B96</f>
        <v>612.451263984356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239.99</v>
      </c>
      <c r="C182" s="102"/>
      <c r="D182" s="22"/>
      <c r="E182" s="102" t="n">
        <f aca="false">E179+A182+B182+A185</f>
        <v>26561.7104474994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9.36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286.289166666667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612.451263984356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n">
        <f aca="false">B167</f>
        <v>15.21</v>
      </c>
      <c r="C212" s="173"/>
      <c r="D212" s="173"/>
      <c r="E212" s="176" t="n">
        <f aca="false">E167</f>
        <v>612.451263984356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239.99</v>
      </c>
      <c r="C224" s="102"/>
      <c r="D224" s="112"/>
      <c r="E224" s="102" t="n">
        <f aca="false">E182</f>
        <v>26561.7104474994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n">
        <f aca="false">B167</f>
        <v>15.21</v>
      </c>
      <c r="C230" s="185"/>
      <c r="D230" s="185"/>
      <c r="E230" s="102" t="n">
        <f aca="false">E167</f>
        <v>612.451263984356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E188</f>
        <v>9.36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286.289166666667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193.591666666667</v>
      </c>
      <c r="C255" s="196"/>
      <c r="D255" s="197" t="s">
        <v>219</v>
      </c>
      <c r="E255" s="197"/>
      <c r="F255" s="199" t="n">
        <f aca="false">(B254-F254)+B255</f>
        <v>2044.10711416605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93.6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2044.10711416605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B91</f>
        <v>10680.272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-28758.33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-28758.33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84254.16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85087.49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85733.32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17146.664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103529.984</v>
      </c>
      <c r="F15" s="62"/>
      <c r="G15" s="273" t="n">
        <f aca="false">E15</f>
        <v>103529.984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103529.984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0.621179904</v>
      </c>
      <c r="H142" s="102" t="n">
        <f aca="false">IF(G111="YES",E15*0.000002,0)</f>
        <v>0.207059968</v>
      </c>
      <c r="I142" s="102"/>
      <c r="J142" s="102" t="n">
        <f aca="false">G142+H142</f>
        <v>0.828239872</v>
      </c>
      <c r="K142" s="104"/>
      <c r="L142" s="62"/>
      <c r="M142" s="110" t="n">
        <f aca="false">E15*0.000006</f>
        <v>0.621179904</v>
      </c>
      <c r="N142" s="102" t="n">
        <f aca="false">IF(M111="YES",E15*0.000002,0)</f>
        <v>0.207059968</v>
      </c>
      <c r="O142" s="102"/>
      <c r="P142" s="102" t="n">
        <f aca="false">M142+N142</f>
        <v>0.828239872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72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B97</f>
        <v>896.30560199005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1" sqref="A173 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1" sqref="A173 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3663.68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26561.668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3663.68</v>
      </c>
      <c r="B224" s="102" t="str">
        <f aca="false">B182</f>
        <v>199.99</v>
      </c>
      <c r="C224" s="102"/>
      <c r="D224" s="112"/>
      <c r="E224" s="102" t="n">
        <f aca="false">E182</f>
        <v>26561.668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4.4616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1950.465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1950.465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-28758.33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2419.8332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233.3332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53075.9968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599.9968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53075.9968</v>
      </c>
      <c r="F9" s="151"/>
      <c r="G9" s="135"/>
      <c r="H9" s="439" t="n">
        <f aca="false">B7+D7+F7+H3</f>
        <v>53675.9936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53775.9936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10755.19872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65181.19232</v>
      </c>
      <c r="I15" s="2"/>
      <c r="J15" s="16" t="n">
        <f aca="false">H15</f>
        <v>65181.19232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67714.992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64701.19232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1494.5872774441</v>
      </c>
      <c r="F33" s="231"/>
      <c r="G33" s="231"/>
      <c r="H33" s="46"/>
      <c r="I33" s="2"/>
      <c r="J33" s="33" t="s">
        <v>356</v>
      </c>
      <c r="K33" s="47" t="n">
        <f aca="false">H21-H11+(H16*20%)</f>
        <v>54025.9936</v>
      </c>
      <c r="L33" s="1" t="n">
        <f aca="false">H21-H11+(H16*20%)</f>
        <v>54025.9936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1494.5872774441</v>
      </c>
      <c r="B36" s="231" t="str">
        <f aca="false">IF(B26="YES",K42,"0.00")</f>
        <v>0.00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54025.9936</v>
      </c>
      <c r="L39" s="2" t="n">
        <f aca="false">(L47*K46)+K44</f>
        <v>31935.1862592019</v>
      </c>
      <c r="N39" s="1" t="n">
        <f aca="false">K39-L39</f>
        <v>22090.8073407981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22090.8073407981</v>
      </c>
      <c r="N40" s="1" t="n">
        <f aca="false">N38-N39</f>
        <v>-19179.1273407981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6491.80938413263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47534.1842158674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1494.5872774441</v>
      </c>
      <c r="L47" s="2" t="n">
        <f aca="false">L49-K42</f>
        <v>800</v>
      </c>
      <c r="M47" s="1" t="n">
        <f aca="false">K47-L47</f>
        <v>694.587277444099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1494.5872774441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1494.5872774441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67714.992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67714.992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67714.992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67714.992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25363.1666761981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-8250.89968037378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-2391.55237995202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-2391.55237995202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617.996392583333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5008.08795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663.04263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469.865452708333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1494.5872774441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1494.5872774441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1494.5872774441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1494.5872774441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75737.43024</v>
      </c>
      <c r="C81" s="92"/>
      <c r="D81" s="92"/>
      <c r="E81" s="112"/>
      <c r="F81" s="24" t="s">
        <v>106</v>
      </c>
      <c r="G81" s="26" t="n">
        <f aca="false">G158</f>
        <v>75737.43024</v>
      </c>
      <c r="H81" s="32"/>
      <c r="J81" s="24" t="s">
        <v>106</v>
      </c>
      <c r="K81" s="26" t="n">
        <f aca="false">P158</f>
        <v>32395.016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47986.259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47986.259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7306.11138283233</v>
      </c>
      <c r="C86" s="92"/>
      <c r="D86" s="92"/>
      <c r="E86" s="112"/>
      <c r="F86" s="30" t="s">
        <v>111</v>
      </c>
      <c r="G86" s="32" t="n">
        <f aca="false">(G82/((1+G84)^(G85+1)))</f>
        <v>7832.36802195601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68431.3188571677</v>
      </c>
      <c r="C88" s="92"/>
      <c r="D88" s="92"/>
      <c r="E88" s="112"/>
      <c r="F88" s="30" t="s">
        <v>113</v>
      </c>
      <c r="G88" s="32" t="n">
        <f aca="false">G81-G86</f>
        <v>67905.062218044</v>
      </c>
      <c r="H88" s="32"/>
      <c r="J88" s="30" t="s">
        <v>113</v>
      </c>
      <c r="K88" s="32" t="n">
        <f aca="false">K81-K86</f>
        <v>32395.016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41515.3035678168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41515.3035678168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2284.52121725711</v>
      </c>
      <c r="C89" s="92"/>
      <c r="D89" s="92"/>
      <c r="E89" s="112"/>
      <c r="F89" s="30" t="s">
        <v>114</v>
      </c>
      <c r="G89" s="32" t="n">
        <f aca="false">(G88/G87)</f>
        <v>2192.14809493632</v>
      </c>
      <c r="H89" s="32"/>
      <c r="J89" s="30" t="s">
        <v>114</v>
      </c>
      <c r="K89" s="32" t="n">
        <f aca="false">(K88/K87)</f>
        <v>1295.8722067697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1468.20595089975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1468.20595089975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77673.7213867416</v>
      </c>
      <c r="C90" s="92"/>
      <c r="D90" s="92"/>
      <c r="E90" s="112"/>
      <c r="F90" s="30" t="s">
        <v>115</v>
      </c>
      <c r="G90" s="32" t="n">
        <f aca="false">((G89*(G85))+G77)</f>
        <v>74533.0352278348</v>
      </c>
      <c r="H90" s="32"/>
      <c r="J90" s="30" t="s">
        <v>115</v>
      </c>
      <c r="K90" s="32" t="n">
        <f aca="false">((K89*(K85))+K77)</f>
        <v>45355.5272369394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49919.0023305915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49919.0023305915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77673.7213867416</v>
      </c>
      <c r="C92" s="92"/>
      <c r="D92" s="92"/>
      <c r="E92" s="112"/>
      <c r="F92" s="55" t="s">
        <v>117</v>
      </c>
      <c r="G92" s="64" t="n">
        <f aca="false">(G90+G91)</f>
        <v>74533.0352278348</v>
      </c>
      <c r="H92" s="32"/>
      <c r="J92" s="55" t="s">
        <v>117</v>
      </c>
      <c r="K92" s="64" t="n">
        <f aca="false">(K90+K91)</f>
        <v>45355.5272369394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49919.0023305915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49919.0023305915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2284.52121725711</v>
      </c>
      <c r="C95" s="92"/>
      <c r="D95" s="92"/>
      <c r="E95" s="112"/>
      <c r="F95" s="94" t="s">
        <v>119</v>
      </c>
      <c r="G95" s="95" t="n">
        <f aca="false">G92/(G85)</f>
        <v>2192.14809493632</v>
      </c>
      <c r="H95" s="32"/>
      <c r="J95" s="94" t="s">
        <v>119</v>
      </c>
      <c r="K95" s="95" t="n">
        <f aca="false">K92/(K85)</f>
        <v>1295.8722067697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1468.20595089975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1468.20595089975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2284.52121725711</v>
      </c>
      <c r="C96" s="92"/>
      <c r="D96" s="92"/>
      <c r="E96" s="112"/>
      <c r="F96" s="96" t="s">
        <v>120</v>
      </c>
      <c r="G96" s="97" t="n">
        <f aca="false">G94+G95</f>
        <v>2192.14809493632</v>
      </c>
      <c r="H96" s="32"/>
      <c r="J96" s="96" t="s">
        <v>120</v>
      </c>
      <c r="K96" s="97" t="n">
        <f aca="false">(K94+K95)</f>
        <v>1295.8722067697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1468.20595089975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1468.20595089975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386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388</v>
      </c>
      <c r="C108" s="106"/>
      <c r="D108" s="106" t="n">
        <v>0</v>
      </c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389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4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4</v>
      </c>
      <c r="G122" s="448" t="n">
        <v>0.0</v>
      </c>
      <c r="H122" s="125"/>
      <c r="J122" s="30" t="s">
        <v>151</v>
      </c>
      <c r="K122" s="122" t="n">
        <f aca="false">B4</f>
        <v>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4</v>
      </c>
      <c r="P122" s="448" t="n">
        <f aca="false">O122</f>
        <v>4</v>
      </c>
      <c r="Q122" s="125"/>
      <c r="S122" s="30" t="s">
        <v>151</v>
      </c>
      <c r="T122" s="122" t="n">
        <f aca="false">B4</f>
        <v>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4</v>
      </c>
      <c r="Y122" s="448" t="n">
        <f aca="false">X122</f>
        <v>4</v>
      </c>
      <c r="Z122" s="125"/>
      <c r="AB122" s="30" t="s">
        <v>151</v>
      </c>
      <c r="AC122" s="122" t="n">
        <f aca="false">B4</f>
        <v>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4</v>
      </c>
      <c r="AH122" s="448" t="n">
        <f aca="false">AG122</f>
        <v>4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200</v>
      </c>
      <c r="C123" s="120" t="n">
        <v>-46013.32</v>
      </c>
      <c r="D123" s="129" t="n">
        <f aca="false">D5</f>
        <v>0</v>
      </c>
      <c r="E123" s="120" t="n">
        <v>0.0</v>
      </c>
      <c r="F123" s="129" t="n">
        <f aca="false">F5</f>
        <v>200</v>
      </c>
      <c r="G123" s="120" t="n">
        <v>0.0</v>
      </c>
      <c r="H123" s="32"/>
      <c r="J123" s="30" t="s">
        <v>152</v>
      </c>
      <c r="K123" s="129" t="n">
        <f aca="false">B5</f>
        <v>200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200</v>
      </c>
      <c r="P123" s="120" t="n">
        <f aca="false">O123</f>
        <v>200</v>
      </c>
      <c r="Q123" s="32"/>
      <c r="S123" s="30" t="s">
        <v>152</v>
      </c>
      <c r="T123" s="129" t="n">
        <f aca="false">B5</f>
        <v>200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200</v>
      </c>
      <c r="Y123" s="120" t="n">
        <f aca="false">X123</f>
        <v>200</v>
      </c>
      <c r="Z123" s="32"/>
      <c r="AB123" s="30" t="s">
        <v>152</v>
      </c>
      <c r="AC123" s="129" t="n">
        <f aca="false">B5</f>
        <v>200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200</v>
      </c>
      <c r="AH123" s="120" t="n">
        <f aca="false">AG123</f>
        <v>200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222183.32</v>
      </c>
      <c r="C124" s="130" t="n">
        <f aca="false">(C121*C122/100)+C123</f>
        <v>-8434.3651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3533.32</v>
      </c>
      <c r="G124" s="130" t="n">
        <f aca="false">(G121*G122/100)+G123</f>
        <v>223.9999</v>
      </c>
      <c r="H124" s="32"/>
      <c r="J124" s="30" t="s">
        <v>153</v>
      </c>
      <c r="K124" s="129" t="n">
        <f aca="false">(K121*K122)+K123</f>
        <v>222183.32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3533.32</v>
      </c>
      <c r="P124" s="130" t="n">
        <f aca="false">(P121*P122)+P123</f>
        <v>3533.32</v>
      </c>
      <c r="Q124" s="32"/>
      <c r="S124" s="30" t="s">
        <v>153</v>
      </c>
      <c r="T124" s="129" t="n">
        <f aca="false">(T121*T122)+T123</f>
        <v>222183.32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3533.32</v>
      </c>
      <c r="Y124" s="130" t="n">
        <f aca="false">(Y121*Y122)+Y123</f>
        <v>3533.32</v>
      </c>
      <c r="Z124" s="32"/>
      <c r="AB124" s="30" t="s">
        <v>153</v>
      </c>
      <c r="AC124" s="129" t="n">
        <f aca="false">(AC121*AC122)+AC123</f>
        <v>222183.32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3533.32</v>
      </c>
      <c r="AH124" s="130" t="n">
        <f aca="false">(AH121*AH122)+AH123</f>
        <v>3533.32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-166687.49</v>
      </c>
      <c r="C125" s="132" t="n">
        <f aca="false">C121-C124</f>
        <v>63930.1951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-2699.99</v>
      </c>
      <c r="G125" s="132" t="n">
        <f aca="false">G121-G124</f>
        <v>609.3301</v>
      </c>
      <c r="H125" s="64"/>
      <c r="J125" s="55" t="s">
        <v>154</v>
      </c>
      <c r="K125" s="131" t="n">
        <f aca="false">K121-K124</f>
        <v>-166687.49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-2699.99</v>
      </c>
      <c r="P125" s="132" t="n">
        <f aca="false">P121-P124</f>
        <v>-2699.99</v>
      </c>
      <c r="Q125" s="64"/>
      <c r="S125" s="55" t="s">
        <v>154</v>
      </c>
      <c r="T125" s="131" t="n">
        <f aca="false">T121-T124</f>
        <v>-166687.49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-2699.99</v>
      </c>
      <c r="Y125" s="132" t="n">
        <f aca="false">Y121-Y124</f>
        <v>-2699.99</v>
      </c>
      <c r="Z125" s="64"/>
      <c r="AB125" s="55" t="s">
        <v>154</v>
      </c>
      <c r="AC125" s="131" t="n">
        <f aca="false">AC121-AC124</f>
        <v>-166687.49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-2699.99</v>
      </c>
      <c r="AH125" s="132" t="n">
        <f aca="false">AH121-AH124</f>
        <v>-2699.99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53675.9936</v>
      </c>
      <c r="H135" s="152" t="n">
        <f aca="false">C125+E125+G125+H128</f>
        <v>64539.5252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53675.9936</v>
      </c>
      <c r="Q135" s="152" t="n">
        <f aca="false">L125+N125+P125+Q128</f>
        <v>25929.18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53675.9936</v>
      </c>
      <c r="Z135" s="152" t="n">
        <f aca="false">U125+W125+Y125+Z128</f>
        <v>38921.8825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53675.9936</v>
      </c>
      <c r="AI135" s="152" t="n">
        <f aca="false">AD125+AF125+AH125+AI128</f>
        <v>38921.8825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100</v>
      </c>
      <c r="H136" s="32" t="n">
        <f aca="false">G136</f>
        <v>100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100</v>
      </c>
      <c r="Q136" s="32" t="n">
        <f aca="false">P136</f>
        <v>100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100</v>
      </c>
      <c r="Z136" s="32" t="n">
        <f aca="false">Y136</f>
        <v>100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100</v>
      </c>
      <c r="AI136" s="32" t="n">
        <f aca="false">AH136</f>
        <v>100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10755.19872</v>
      </c>
      <c r="H137" s="32" t="n">
        <f aca="false">(H135+H136)*20%</f>
        <v>12927.90504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10755.19872</v>
      </c>
      <c r="Q137" s="32" t="n">
        <f aca="false">(Q135+Q136)*20%</f>
        <v>5205.836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10755.19872</v>
      </c>
      <c r="Z137" s="32" t="n">
        <f aca="false">(Z135+Z136)*20%</f>
        <v>7804.3765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10755.19872</v>
      </c>
      <c r="AI137" s="32" t="n">
        <f aca="false">(AI135+AI136)*20%</f>
        <v>7804.3765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65181.19232</v>
      </c>
      <c r="H141" s="156" t="n">
        <f aca="false">(H135+H136+H139+H140+H137)-H138</f>
        <v>78217.43024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65181.19232</v>
      </c>
      <c r="Q141" s="156" t="n">
        <f aca="false">(Q135+Q136+Q139+Q140+Q137)-Q138</f>
        <v>31875.016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65181.19232</v>
      </c>
      <c r="Z141" s="156" t="n">
        <f aca="false">(Z135+Z136+Z139+Z140+Z137)-Z138</f>
        <v>47466.259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65181.19232</v>
      </c>
      <c r="AI141" s="156" t="n">
        <f aca="false">(AI135+AI136+AI139+AI140+AI137)-AI138</f>
        <v>47466.259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400</v>
      </c>
      <c r="H142" s="39" t="n">
        <f aca="false">G142</f>
        <v>400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400</v>
      </c>
      <c r="Q142" s="39" t="n">
        <f aca="false">P142</f>
        <v>400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400</v>
      </c>
      <c r="Z142" s="39" t="n">
        <f aca="false">Y142</f>
        <v>400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400</v>
      </c>
      <c r="AI142" s="39" t="n">
        <f aca="false">AH142</f>
        <v>400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400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400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64701.19232</v>
      </c>
      <c r="H147" s="163" t="n">
        <f aca="false">H141-((H144*1.2)+(H145*1.2)+(H146*1.2)+(H142*1.2))</f>
        <v>77737.43024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64701.19232</v>
      </c>
      <c r="Q147" s="163" t="n">
        <f aca="false">Q141-((Q144*1.2)+(Q145*1.2)+(Q146*1.2)+(Q142*1.2))</f>
        <v>31395.016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64701.19232</v>
      </c>
      <c r="Z147" s="163" t="n">
        <f aca="false">Z141-((Z144*1.2)+(Z145*1.2)+(Z146*1.2)+(Z142*1.2))</f>
        <v>46986.259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64701.19232</v>
      </c>
      <c r="AI147" s="163" t="n">
        <f aca="false">AI141-((AI144*1.2)+(AI145*1.2)+(AI146*1.2)+(AI142*1.2))</f>
        <v>46986.259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10863.5316</v>
      </c>
      <c r="I148" s="1" t="n">
        <f aca="false">(H148-G81)/1.2</f>
        <v>-54061.5822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-33306.17632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-17714.93332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-17714.93332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75737.43024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32395.016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47986.259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47986.259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2284.52121725711</v>
      </c>
      <c r="B167" s="176" t="str">
        <f aca="false">B94</f>
        <v>0</v>
      </c>
      <c r="C167" s="173"/>
      <c r="D167" s="173"/>
      <c r="E167" s="176" t="n">
        <f aca="false">B96</f>
        <v>2284.52121725711</v>
      </c>
      <c r="F167" s="22"/>
      <c r="G167" s="22" t="n">
        <f aca="false">ROUND(G95,2)</f>
        <v>2192.15</v>
      </c>
      <c r="H167" s="32"/>
      <c r="J167" s="175" t="n">
        <f aca="false">K95</f>
        <v>1295.8722067697</v>
      </c>
      <c r="K167" s="176" t="n">
        <f aca="false">K94</f>
        <v>0</v>
      </c>
      <c r="L167" s="173"/>
      <c r="M167" s="173"/>
      <c r="N167" s="176" t="n">
        <f aca="false">K96</f>
        <v>1295.8722067697</v>
      </c>
      <c r="O167" s="22"/>
      <c r="P167" s="22"/>
      <c r="Q167" s="32"/>
      <c r="S167" s="175" t="n">
        <f aca="false">T95</f>
        <v>1468.20595089975</v>
      </c>
      <c r="T167" s="176" t="n">
        <f aca="false">T94</f>
        <v>0</v>
      </c>
      <c r="U167" s="173"/>
      <c r="V167" s="173"/>
      <c r="W167" s="176" t="n">
        <f aca="false">T96</f>
        <v>1468.20595089975</v>
      </c>
      <c r="X167" s="22"/>
      <c r="Y167" s="22"/>
      <c r="Z167" s="32"/>
      <c r="AB167" s="175" t="n">
        <f aca="false">AC95</f>
        <v>1468.20595089975</v>
      </c>
      <c r="AC167" s="176" t="n">
        <f aca="false">AC94</f>
        <v>0</v>
      </c>
      <c r="AD167" s="173"/>
      <c r="AE167" s="173"/>
      <c r="AF167" s="176" t="n">
        <f aca="false">AC96</f>
        <v>1468.20595089975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H141-H137-H139-H140-H142</f>
        <v>64239.5252</v>
      </c>
      <c r="B173" s="102" t="n">
        <f aca="false">H137</f>
        <v>12927.90504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26029.18</v>
      </c>
      <c r="K173" s="102" t="n">
        <f aca="false">Q137</f>
        <v>5205.836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39021.8825</v>
      </c>
      <c r="T173" s="102" t="n">
        <f aca="false">Z137</f>
        <v>7804.3765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39021.8825</v>
      </c>
      <c r="AC173" s="102" t="n">
        <f aca="false">AI137</f>
        <v>7804.3765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77737.43024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31875.016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47466.259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47466.259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75737.43024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32875.016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48466.259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48466.259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11398.75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87386.168</v>
      </c>
      <c r="F182" s="22"/>
      <c r="G182" s="22"/>
      <c r="H182" s="104"/>
      <c r="J182" s="110" t="n">
        <f aca="false">(J167*K59)+N185-N179-J185</f>
        <v>20647.1390301697</v>
      </c>
      <c r="K182" s="102" t="n">
        <f aca="false">K114</f>
        <v>239.99</v>
      </c>
      <c r="L182" s="102"/>
      <c r="M182" s="22"/>
      <c r="N182" s="102" t="n">
        <f aca="false">N179+J182+K182+J185</f>
        <v>53782.1450301697</v>
      </c>
      <c r="O182" s="22"/>
      <c r="P182" s="22"/>
      <c r="Q182" s="104"/>
      <c r="S182" s="110" t="n">
        <f aca="false">(S167*T59)+W185-W179-S185</f>
        <v>10915.2433305915</v>
      </c>
      <c r="T182" s="102" t="n">
        <f aca="false">T114</f>
        <v>199.99</v>
      </c>
      <c r="U182" s="102"/>
      <c r="V182" s="22"/>
      <c r="W182" s="102" t="n">
        <f aca="false">W179+S182+T182+S185</f>
        <v>59591.4923305914</v>
      </c>
      <c r="X182" s="22"/>
      <c r="Y182" s="22"/>
      <c r="Z182" s="104"/>
      <c r="AB182" s="110" t="n">
        <f aca="false">(AB167*AC59)+AF185-AF179-AB185</f>
        <v>10915.2433305915</v>
      </c>
      <c r="AC182" s="102" t="n">
        <f aca="false">AC114</f>
        <v>239.99</v>
      </c>
      <c r="AD182" s="102"/>
      <c r="AE182" s="22"/>
      <c r="AF182" s="102" t="n">
        <f aca="false">AF179+AB182+AC182+AB185</f>
        <v>59631.4923305915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617.996392583333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0.13036238464</v>
      </c>
      <c r="K188" s="102" t="n">
        <f aca="false">(P158*K67)/1.2</f>
        <v>1996.56782638889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391.554543923611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391.554543923611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717.986392583333</v>
      </c>
      <c r="C191" s="92"/>
      <c r="D191" s="92"/>
      <c r="E191" s="102" t="n">
        <f aca="false">H148</f>
        <v>10863.5316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3136.55782638889</v>
      </c>
      <c r="L191" s="92"/>
      <c r="M191" s="92"/>
      <c r="N191" s="102" t="n">
        <f aca="false">Q148</f>
        <v>-33306.17632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1491.54454392361</v>
      </c>
      <c r="U191" s="92"/>
      <c r="V191" s="92"/>
      <c r="W191" s="102" t="n">
        <f aca="false">Z148</f>
        <v>-17714.93332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1531.54454392361</v>
      </c>
      <c r="AD191" s="92"/>
      <c r="AE191" s="92"/>
      <c r="AF191" s="102" t="n">
        <f aca="false">AI148</f>
        <v>-17714.93332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2284.52121725711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1295.8722067697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1468.20595089975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1468.20595089975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8258.16976000001</v>
      </c>
      <c r="B201" s="185" t="n">
        <f aca="false">E179+A201+(B182*1.2)+A185</f>
        <v>84245.588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2284.52121725711</v>
      </c>
      <c r="B212" s="176" t="str">
        <f aca="false">B167</f>
        <v>0</v>
      </c>
      <c r="C212" s="173"/>
      <c r="D212" s="173"/>
      <c r="E212" s="176" t="n">
        <f aca="false">E167</f>
        <v>2284.52121725711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64239.5252</v>
      </c>
      <c r="B215" s="102" t="n">
        <f aca="false">B173</f>
        <v>12927.90504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77737.43024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75737.43024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11398.75</v>
      </c>
      <c r="B224" s="102" t="str">
        <f aca="false">B182</f>
        <v>199.99</v>
      </c>
      <c r="C224" s="102"/>
      <c r="D224" s="112"/>
      <c r="E224" s="102" t="n">
        <f aca="false">E182</f>
        <v>87386.168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2284.52121725711</v>
      </c>
      <c r="B230" s="102" t="str">
        <f aca="false">B167</f>
        <v>0</v>
      </c>
      <c r="C230" s="185"/>
      <c r="D230" s="185"/>
      <c r="E230" s="102" t="n">
        <f aca="false">E167</f>
        <v>2284.52121725711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10863.5316</v>
      </c>
      <c r="B240" s="102" t="n">
        <f aca="false">B68</f>
        <v>617.996392583333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11581.5179925833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3150.57999999999</v>
      </c>
      <c r="C254" s="196"/>
      <c r="D254" s="197" t="s">
        <v>217</v>
      </c>
      <c r="E254" s="197"/>
      <c r="F254" s="199" t="n">
        <f aca="false">F261+F267+F269+B270+B271</f>
        <v>741.5956711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2508.97432889999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3150.57999999999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741.5956711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2508.97432889999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2490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546.216962785703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546.216962785703</v>
      </c>
      <c r="B36" s="231" t="str">
        <f aca="false">IF(B26="YES",K42,"0.00")</f>
        <v>0.00</v>
      </c>
      <c r="C36" s="231"/>
      <c r="D36" s="231"/>
      <c r="E36" s="231" t="n">
        <f aca="false">K31</f>
        <v>2490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26943.2972319475</v>
      </c>
      <c r="N39" s="1" t="n">
        <f aca="false">K39-L39</f>
        <v>-8013.29723194753</v>
      </c>
      <c r="P39" s="211"/>
    </row>
    <row r="40" customFormat="false" ht="19.5" hidden="false" customHeight="false" outlineLevel="0" collapsed="false">
      <c r="A40" s="106" t="n">
        <f aca="false">E36*A45/100</f>
        <v>2490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2075</v>
      </c>
      <c r="L40" s="2" t="n">
        <f aca="false">K39-L39</f>
        <v>-8013.29723194753</v>
      </c>
      <c r="N40" s="1" t="n">
        <f aca="false">N38-N39</f>
        <v>10924.9772319475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1682.98883653336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17247.0111634666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546.216962785703</v>
      </c>
      <c r="L47" s="2" t="n">
        <f aca="false">L49-K42</f>
        <v>800</v>
      </c>
      <c r="M47" s="1" t="n">
        <f aca="false">K47-L47</f>
        <v>-253.783037214297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546.216962785703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546.216962785703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8624.63216384767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30550.994775659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7193.27608910257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802.614343409958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546.216962785703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546.216962785703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546.216962785703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546.216962785703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2490</v>
      </c>
      <c r="C82" s="92"/>
      <c r="D82" s="92"/>
      <c r="E82" s="112"/>
      <c r="F82" s="30" t="s">
        <v>107</v>
      </c>
      <c r="G82" s="32" t="n">
        <f aca="false">IF(A111="YES",A40,0)</f>
        <v>2490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2490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2490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1757.72635581759</v>
      </c>
      <c r="C86" s="92"/>
      <c r="D86" s="92"/>
      <c r="E86" s="112"/>
      <c r="F86" s="30" t="s">
        <v>111</v>
      </c>
      <c r="G86" s="32" t="n">
        <f aca="false">(G82/((1+G84)^(G85+1)))</f>
        <v>2031.36752569576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1702.79302786116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1702.79302786116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23419.8776441824</v>
      </c>
      <c r="C88" s="92"/>
      <c r="D88" s="92"/>
      <c r="E88" s="112"/>
      <c r="F88" s="30" t="s">
        <v>113</v>
      </c>
      <c r="G88" s="32" t="n">
        <f aca="false">G81-G86</f>
        <v>23146.2364743042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21881.5219721388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16566.7069721388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815.94781945139</v>
      </c>
      <c r="C89" s="92"/>
      <c r="D89" s="92"/>
      <c r="E89" s="112"/>
      <c r="F89" s="30" t="s">
        <v>114</v>
      </c>
      <c r="G89" s="32" t="n">
        <f aca="false">(G88/G87)</f>
        <v>752.488819870277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773.849111370652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585.888471791457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27742.2258613473</v>
      </c>
      <c r="C90" s="92"/>
      <c r="D90" s="92"/>
      <c r="E90" s="112"/>
      <c r="F90" s="30" t="s">
        <v>115</v>
      </c>
      <c r="G90" s="32" t="n">
        <f aca="false">((G89*(G85))+G77)</f>
        <v>25584.6198755894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26310.8697866022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19920.2080409095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27742.2258613473</v>
      </c>
      <c r="C92" s="92"/>
      <c r="D92" s="92"/>
      <c r="E92" s="112"/>
      <c r="F92" s="55" t="s">
        <v>117</v>
      </c>
      <c r="G92" s="64" t="n">
        <f aca="false">(G90+G91)</f>
        <v>25584.6198755894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26310.8697866022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19920.2080409095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815.94781945139</v>
      </c>
      <c r="C95" s="92"/>
      <c r="D95" s="92"/>
      <c r="E95" s="112"/>
      <c r="F95" s="94" t="s">
        <v>119</v>
      </c>
      <c r="G95" s="95" t="n">
        <f aca="false">G92/(G85)</f>
        <v>752.488819870277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773.849111370652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585.888471791457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815.94781945139</v>
      </c>
      <c r="C96" s="92"/>
      <c r="D96" s="92"/>
      <c r="E96" s="112"/>
      <c r="F96" s="96" t="s">
        <v>120</v>
      </c>
      <c r="G96" s="97" t="n">
        <f aca="false">G94+G95</f>
        <v>752.488819870277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773.849111370652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585.888471791457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815.94781945139</v>
      </c>
      <c r="B167" s="176" t="str">
        <f aca="false">B94</f>
        <v>0</v>
      </c>
      <c r="C167" s="173"/>
      <c r="D167" s="173"/>
      <c r="E167" s="176" t="n">
        <f aca="false">B96</f>
        <v>815.94781945139</v>
      </c>
      <c r="F167" s="22"/>
      <c r="G167" s="22" t="n">
        <f aca="false">ROUND(G95,2)</f>
        <v>752.49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773.849111370652</v>
      </c>
      <c r="T167" s="176" t="n">
        <f aca="false">T94</f>
        <v>0</v>
      </c>
      <c r="U167" s="173"/>
      <c r="V167" s="173"/>
      <c r="W167" s="176" t="n">
        <f aca="false">T96</f>
        <v>773.849111370652</v>
      </c>
      <c r="X167" s="22"/>
      <c r="Y167" s="22"/>
      <c r="Z167" s="32"/>
      <c r="AB167" s="175" t="n">
        <f aca="false">AC95</f>
        <v>585.888471791457</v>
      </c>
      <c r="AC167" s="176" t="n">
        <f aca="false">AC94</f>
        <v>0</v>
      </c>
      <c r="AD167" s="173"/>
      <c r="AE167" s="173"/>
      <c r="AF167" s="176" t="n">
        <f aca="false">AC96</f>
        <v>585.888471791457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2490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2490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2490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2490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5054.7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30482.29</v>
      </c>
      <c r="F182" s="22"/>
      <c r="G182" s="22"/>
      <c r="H182" s="104"/>
      <c r="J182" s="110" t="n">
        <f aca="false">(J167*K59)+N185-N179-J185</f>
        <v>15639.5844731586</v>
      </c>
      <c r="K182" s="102" t="n">
        <f aca="false">K114</f>
        <v>239.99</v>
      </c>
      <c r="L182" s="102"/>
      <c r="M182" s="22"/>
      <c r="N182" s="102" t="n">
        <f aca="false">N179+J182+K182+J185</f>
        <v>52418.5784731586</v>
      </c>
      <c r="O182" s="22"/>
      <c r="P182" s="22"/>
      <c r="Q182" s="104"/>
      <c r="S182" s="110" t="n">
        <f aca="false">(S167*T59)+W185-W179-S185</f>
        <v>5216.55478660216</v>
      </c>
      <c r="T182" s="102" t="n">
        <f aca="false">T114</f>
        <v>199.99</v>
      </c>
      <c r="U182" s="102"/>
      <c r="V182" s="22"/>
      <c r="W182" s="102" t="n">
        <f aca="false">W179+S182+T182+S185</f>
        <v>29010.8597866022</v>
      </c>
      <c r="X182" s="22"/>
      <c r="Y182" s="22"/>
      <c r="Z182" s="104"/>
      <c r="AB182" s="110" t="n">
        <f aca="false">(AB167*AC59)+AF185-AF179-AB185</f>
        <v>4140.70804090955</v>
      </c>
      <c r="AC182" s="102" t="n">
        <f aca="false">AC114</f>
        <v>239.99</v>
      </c>
      <c r="AD182" s="102"/>
      <c r="AE182" s="22"/>
      <c r="AF182" s="102" t="n">
        <f aca="false">AF179+AB182+AC182+AB185</f>
        <v>22660.1980409095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2500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2510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2500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2500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205.442254861111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305.433921527778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1292.43145920139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1289.06404513889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815.94781945139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773.849111370652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585.888471791457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2897.056</v>
      </c>
      <c r="B201" s="185" t="n">
        <f aca="false">E179+A201+B182+A185</f>
        <v>28324.65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815.94781945139</v>
      </c>
      <c r="B212" s="176" t="str">
        <f aca="false">B167</f>
        <v>0</v>
      </c>
      <c r="C212" s="173"/>
      <c r="D212" s="173"/>
      <c r="E212" s="176" t="n">
        <f aca="false">E167</f>
        <v>815.94781945139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5054.7</v>
      </c>
      <c r="B224" s="102" t="str">
        <f aca="false">B182</f>
        <v>239.99</v>
      </c>
      <c r="C224" s="102"/>
      <c r="D224" s="112"/>
      <c r="E224" s="102" t="n">
        <f aca="false">E182</f>
        <v>30482.29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815.94781945139</v>
      </c>
      <c r="B230" s="102" t="str">
        <f aca="false">B167</f>
        <v>0</v>
      </c>
      <c r="C230" s="185"/>
      <c r="D230" s="185"/>
      <c r="E230" s="102" t="n">
        <f aca="false">E167</f>
        <v>815.94781945139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2490</v>
      </c>
      <c r="B233" s="102" t="n">
        <f aca="false">E185</f>
        <v>2500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4080.10392152778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2167.64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2021.10096083333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2167.64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1494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562.976580221496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562.976580221496</v>
      </c>
      <c r="B36" s="231" t="str">
        <f aca="false">IF(B26="YES",K42,"0.00")</f>
        <v>0.00</v>
      </c>
      <c r="C36" s="231"/>
      <c r="D36" s="231"/>
      <c r="E36" s="231" t="n">
        <f aca="false">K31</f>
        <v>1494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26468.3452470528</v>
      </c>
      <c r="N39" s="1" t="n">
        <f aca="false">K39-L39</f>
        <v>-7538.34524705278</v>
      </c>
      <c r="P39" s="211"/>
    </row>
    <row r="40" customFormat="false" ht="19.5" hidden="false" customHeight="false" outlineLevel="0" collapsed="false">
      <c r="A40" s="312" t="n">
        <f aca="false">E36*A45/100</f>
        <v>1494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1245</v>
      </c>
      <c r="L40" s="2" t="n">
        <f aca="false">K39-L39</f>
        <v>-7538.34524705278</v>
      </c>
      <c r="N40" s="1" t="n">
        <f aca="false">N38-N39</f>
        <v>10450.0252470528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1024.96837198353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17905.0316280165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562.976580221496</v>
      </c>
      <c r="L47" s="2" t="n">
        <f aca="false">L49-K42</f>
        <v>800</v>
      </c>
      <c r="M47" s="1" t="n">
        <f aca="false">K47-L47</f>
        <v>-237.023419778504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562.976580221496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562.976580221496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12024.2003604558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29964.4081654062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7425.6812416099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1035.01949591728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221.761699305556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562.976580221496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562.976580221496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562.976580221496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562.976580221496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27177.604</v>
      </c>
      <c r="C81" s="92"/>
      <c r="D81" s="92"/>
      <c r="E81" s="112"/>
      <c r="F81" s="24" t="s">
        <v>106</v>
      </c>
      <c r="G81" s="26" t="n">
        <f aca="false">G158</f>
        <v>27177.604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1494</v>
      </c>
      <c r="C82" s="92"/>
      <c r="D82" s="92"/>
      <c r="E82" s="112"/>
      <c r="F82" s="30" t="s">
        <v>107</v>
      </c>
      <c r="G82" s="32" t="n">
        <f aca="false">IF(A111="YES",A40,0)</f>
        <v>1494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1494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1494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1004.14606619207</v>
      </c>
      <c r="C86" s="92"/>
      <c r="D86" s="92"/>
      <c r="E86" s="112"/>
      <c r="F86" s="30" t="s">
        <v>111</v>
      </c>
      <c r="G86" s="32" t="n">
        <f aca="false">(G82/((1+G84)^(G85+1)))</f>
        <v>1236.62434079813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1021.6758167167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1021.6758167167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28.0473680348001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26173.4579338079</v>
      </c>
      <c r="C88" s="92"/>
      <c r="D88" s="92"/>
      <c r="E88" s="112"/>
      <c r="F88" s="30" t="s">
        <v>113</v>
      </c>
      <c r="G88" s="32" t="n">
        <f aca="false">G81-G86</f>
        <v>25940.9796592019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22562.6391832833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17247.8241832833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933.187666712005</v>
      </c>
      <c r="C89" s="92"/>
      <c r="D89" s="92"/>
      <c r="E89" s="112"/>
      <c r="F89" s="30" t="s">
        <v>114</v>
      </c>
      <c r="G89" s="32" t="n">
        <f aca="false">(G88/G87)</f>
        <v>837.440792824874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797.937104393007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609.976464813813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31728.3806682082</v>
      </c>
      <c r="C90" s="92"/>
      <c r="D90" s="92"/>
      <c r="E90" s="112"/>
      <c r="F90" s="30" t="s">
        <v>115</v>
      </c>
      <c r="G90" s="32" t="n">
        <f aca="false">((G89*(G85))+G77)</f>
        <v>28472.9869560457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27129.8615493622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20739.1998036696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31728.3806682082</v>
      </c>
      <c r="C92" s="92"/>
      <c r="D92" s="92"/>
      <c r="E92" s="112"/>
      <c r="F92" s="55" t="s">
        <v>117</v>
      </c>
      <c r="G92" s="64" t="n">
        <f aca="false">(G90+G91)</f>
        <v>28472.9869560457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27129.8615493622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20739.1998036696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933.187666712005</v>
      </c>
      <c r="C95" s="92"/>
      <c r="D95" s="92"/>
      <c r="E95" s="112"/>
      <c r="F95" s="94" t="s">
        <v>119</v>
      </c>
      <c r="G95" s="95" t="n">
        <f aca="false">G92/(G85)</f>
        <v>837.440792824874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797.937104393007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609.976464813813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933.187666712005</v>
      </c>
      <c r="C96" s="92"/>
      <c r="D96" s="92"/>
      <c r="E96" s="112"/>
      <c r="F96" s="96" t="s">
        <v>120</v>
      </c>
      <c r="G96" s="97" t="n">
        <f aca="false">G94+G95</f>
        <v>837.440792824874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797.937104393007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609.976464813813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0.137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-19502.445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933.187666712005</v>
      </c>
      <c r="B167" s="176" t="str">
        <f aca="false">B94</f>
        <v>0</v>
      </c>
      <c r="C167" s="173"/>
      <c r="D167" s="173"/>
      <c r="E167" s="176" t="n">
        <f aca="false">B96</f>
        <v>933.187666712005</v>
      </c>
      <c r="F167" s="22"/>
      <c r="G167" s="22" t="n">
        <f aca="false">ROUND(G95,2)</f>
        <v>837.44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797.937104393007</v>
      </c>
      <c r="T167" s="176" t="n">
        <f aca="false">T94</f>
        <v>0</v>
      </c>
      <c r="U167" s="173"/>
      <c r="V167" s="173"/>
      <c r="W167" s="176" t="n">
        <f aca="false">T96</f>
        <v>797.937104393007</v>
      </c>
      <c r="X167" s="22"/>
      <c r="Y167" s="22"/>
      <c r="Z167" s="32"/>
      <c r="AB167" s="175" t="n">
        <f aca="false">AC95</f>
        <v>609.976464813813</v>
      </c>
      <c r="AC167" s="176" t="n">
        <f aca="false">AC94</f>
        <v>0</v>
      </c>
      <c r="AD167" s="173"/>
      <c r="AE167" s="173"/>
      <c r="AF167" s="176" t="n">
        <f aca="false">AC96</f>
        <v>609.976464813813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1494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1494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1494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1494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6044.86000000001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33472.45</v>
      </c>
      <c r="F182" s="22"/>
      <c r="G182" s="22"/>
      <c r="H182" s="104"/>
      <c r="J182" s="110" t="n">
        <f aca="false">(J167*K59)+N185-N179-J185</f>
        <v>14643.5844731586</v>
      </c>
      <c r="K182" s="102" t="n">
        <f aca="false">K114</f>
        <v>239.99</v>
      </c>
      <c r="L182" s="102"/>
      <c r="M182" s="22"/>
      <c r="N182" s="102" t="n">
        <f aca="false">N179+J182+K182+J185</f>
        <v>51422.5784731586</v>
      </c>
      <c r="O182" s="22"/>
      <c r="P182" s="22"/>
      <c r="Q182" s="104"/>
      <c r="S182" s="110" t="n">
        <f aca="false">(S167*T59)+W185-W179-S185</f>
        <v>5039.54654936225</v>
      </c>
      <c r="T182" s="102" t="n">
        <f aca="false">T114</f>
        <v>199.99</v>
      </c>
      <c r="U182" s="102"/>
      <c r="V182" s="22"/>
      <c r="W182" s="102" t="n">
        <f aca="false">W179+S182+T182+S185</f>
        <v>28833.8515493623</v>
      </c>
      <c r="X182" s="22"/>
      <c r="Y182" s="22"/>
      <c r="Z182" s="104"/>
      <c r="AB182" s="110" t="n">
        <f aca="false">(AB167*AC59)+AF185-AF179-AB185</f>
        <v>3963.69980366964</v>
      </c>
      <c r="AC182" s="102" t="n">
        <f aca="false">AC114</f>
        <v>239.99</v>
      </c>
      <c r="AD182" s="102"/>
      <c r="AE182" s="22"/>
      <c r="AF182" s="102" t="n">
        <f aca="false">AF179+AB182+AC182+AB185</f>
        <v>22483.1898036696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1504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1504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1504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</v>
      </c>
      <c r="B188" s="102" t="n">
        <f aca="false">(G158*B67)/1.2</f>
        <v>221.761699305556</v>
      </c>
      <c r="C188" s="92"/>
      <c r="D188" s="92"/>
      <c r="E188" s="102" t="n">
        <f aca="false">(E40*A108)*0.1*C45/100</f>
        <v>0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321.753365972222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1292.43145920139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1289.06404513889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933.187666712005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797.937104393007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609.976464813813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2789.356</v>
      </c>
      <c r="B201" s="185" t="n">
        <f aca="false">E179+A201+B182+A185</f>
        <v>30216.95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933.187666712005</v>
      </c>
      <c r="B212" s="176" t="str">
        <f aca="false">B167</f>
        <v>0</v>
      </c>
      <c r="C212" s="173"/>
      <c r="D212" s="173"/>
      <c r="E212" s="176" t="n">
        <f aca="false">E167</f>
        <v>933.187666712005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6044.86000000001</v>
      </c>
      <c r="B224" s="102" t="str">
        <f aca="false">B182</f>
        <v>239.99</v>
      </c>
      <c r="C224" s="102"/>
      <c r="D224" s="112"/>
      <c r="E224" s="102" t="n">
        <f aca="false">E182</f>
        <v>33472.45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933.187666712005</v>
      </c>
      <c r="B230" s="102" t="str">
        <f aca="false">B167</f>
        <v>0</v>
      </c>
      <c r="C230" s="185"/>
      <c r="D230" s="185"/>
      <c r="E230" s="102" t="n">
        <f aca="false">E167</f>
        <v>933.187666712005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1494</v>
      </c>
      <c r="B233" s="102" t="n">
        <f aca="false">E185</f>
        <v>1504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16.06176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221.761699305556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4096.42336597222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3265.5</v>
      </c>
      <c r="C254" s="196"/>
      <c r="D254" s="197" t="s">
        <v>217</v>
      </c>
      <c r="E254" s="197"/>
      <c r="F254" s="199" t="n">
        <f aca="false">F261+F267+F269+B270+B271</f>
        <v>266.114039166667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3099.3776275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3265.5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266.114039166667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3099.3776275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3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4980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1975.05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544.20923893446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487.77923893446</v>
      </c>
      <c r="B36" s="231" t="n">
        <f aca="false">IF(B26="YES",K42,"0.00")</f>
        <v>56.43</v>
      </c>
      <c r="C36" s="231"/>
      <c r="D36" s="231"/>
      <c r="E36" s="231" t="n">
        <f aca="false">K31</f>
        <v>4980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27065.2259186891</v>
      </c>
      <c r="N39" s="1" t="n">
        <f aca="false">K39-L39</f>
        <v>-8135.22591868915</v>
      </c>
      <c r="P39" s="211"/>
    </row>
    <row r="40" customFormat="false" ht="19.5" hidden="false" customHeight="false" outlineLevel="0" collapsed="false">
      <c r="A40" s="312" t="n">
        <f aca="false">E36*A45/100</f>
        <v>4980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4150</v>
      </c>
      <c r="L40" s="2" t="n">
        <f aca="false">K39-L39</f>
        <v>-8135.22591868915</v>
      </c>
      <c r="N40" s="1" t="n">
        <f aca="false">N38-N39</f>
        <v>11046.9059186891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3416.5612399451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15513.4387600549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487.77923893446</v>
      </c>
      <c r="L47" s="2" t="n">
        <f aca="false">L49-K42</f>
        <v>743.57</v>
      </c>
      <c r="M47" s="1" t="n">
        <f aca="false">K47-L47</f>
        <v>-255.79076106554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544.20923893446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544.20923893446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7141.39890987647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32596.3151104524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7191.11701699582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800.45527130321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487.77923893446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487.77923893446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544.20923893446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544.20923893446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4980</v>
      </c>
      <c r="C82" s="92"/>
      <c r="D82" s="92"/>
      <c r="E82" s="112"/>
      <c r="F82" s="30" t="s">
        <v>107</v>
      </c>
      <c r="G82" s="32" t="n">
        <f aca="false">IF(A111="YES",A40,0)</f>
        <v>4980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4980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4980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3845.11859302563</v>
      </c>
      <c r="C86" s="92"/>
      <c r="D86" s="92"/>
      <c r="E86" s="112"/>
      <c r="F86" s="30" t="s">
        <v>111</v>
      </c>
      <c r="G86" s="32" t="n">
        <f aca="false">(G82/((1+G84)^(G85+1)))</f>
        <v>4122.08113599376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3405.58605572233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3405.58605572233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21332.4854069744</v>
      </c>
      <c r="C88" s="92"/>
      <c r="D88" s="92"/>
      <c r="E88" s="112"/>
      <c r="F88" s="30" t="s">
        <v>113</v>
      </c>
      <c r="G88" s="32" t="n">
        <f aca="false">G81-G86</f>
        <v>21055.5228640062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20178.7289442777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14863.9139442777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712.166831546546</v>
      </c>
      <c r="C89" s="92"/>
      <c r="D89" s="92"/>
      <c r="E89" s="112"/>
      <c r="F89" s="30" t="s">
        <v>114</v>
      </c>
      <c r="G89" s="32" t="n">
        <f aca="false">(G88/G87)</f>
        <v>679.725823474091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713.629128814763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525.668489235568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24213.6722725826</v>
      </c>
      <c r="C90" s="92"/>
      <c r="D90" s="92"/>
      <c r="E90" s="112"/>
      <c r="F90" s="30" t="s">
        <v>115</v>
      </c>
      <c r="G90" s="32" t="n">
        <f aca="false">((G89*(G85))+G77)</f>
        <v>23110.6779981191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24263.3903797019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17872.7286340093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24213.6722725826</v>
      </c>
      <c r="C92" s="92"/>
      <c r="D92" s="92"/>
      <c r="E92" s="112"/>
      <c r="F92" s="55" t="s">
        <v>117</v>
      </c>
      <c r="G92" s="64" t="n">
        <f aca="false">(G90+G91)</f>
        <v>23110.6779981191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24263.3903797019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17872.7286340093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69.7076470588235</v>
      </c>
      <c r="C94" s="92"/>
      <c r="D94" s="92"/>
      <c r="E94" s="112"/>
      <c r="F94" s="87" t="s">
        <v>118</v>
      </c>
      <c r="G94" s="93" t="n">
        <f aca="false">IF(B26="YES",((E40/B85)*(1+A108)*(C45/100)),"0")</f>
        <v>69.7076470588235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712.166831546546</v>
      </c>
      <c r="C95" s="92"/>
      <c r="D95" s="92"/>
      <c r="E95" s="112"/>
      <c r="F95" s="94" t="s">
        <v>119</v>
      </c>
      <c r="G95" s="95" t="n">
        <f aca="false">G92/(G85)</f>
        <v>679.725823474091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713.629128814763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525.668489235568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781.87447860537</v>
      </c>
      <c r="C96" s="92"/>
      <c r="D96" s="92"/>
      <c r="E96" s="112"/>
      <c r="F96" s="96" t="s">
        <v>120</v>
      </c>
      <c r="G96" s="97" t="n">
        <f aca="false">G94+G95</f>
        <v>749.433470532915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783.336775873586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609.317665706157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712.166831546546</v>
      </c>
      <c r="B167" s="176" t="n">
        <f aca="false">B94</f>
        <v>69.7076470588235</v>
      </c>
      <c r="C167" s="173"/>
      <c r="D167" s="173"/>
      <c r="E167" s="176" t="n">
        <f aca="false">B96</f>
        <v>781.87447860537</v>
      </c>
      <c r="F167" s="22"/>
      <c r="G167" s="22" t="n">
        <f aca="false">ROUND(G95,2)</f>
        <v>679.73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713.629128814763</v>
      </c>
      <c r="T167" s="176" t="n">
        <f aca="false">T94</f>
        <v>69.7076470588235</v>
      </c>
      <c r="U167" s="173"/>
      <c r="V167" s="173"/>
      <c r="W167" s="176" t="n">
        <f aca="false">T96</f>
        <v>783.336775873586</v>
      </c>
      <c r="X167" s="22"/>
      <c r="Y167" s="22"/>
      <c r="Z167" s="32"/>
      <c r="AB167" s="175" t="n">
        <f aca="false">AC95</f>
        <v>525.668489235568</v>
      </c>
      <c r="AC167" s="176" t="n">
        <f aca="false">AC94</f>
        <v>83.6491764705882</v>
      </c>
      <c r="AD167" s="173"/>
      <c r="AE167" s="173"/>
      <c r="AF167" s="176" t="n">
        <f aca="false">AC96</f>
        <v>609.317665706157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4980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4980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4980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4980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4016.18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29443.768</v>
      </c>
      <c r="F182" s="22"/>
      <c r="G182" s="22"/>
      <c r="H182" s="104"/>
      <c r="J182" s="110" t="n">
        <f aca="false">(J167*K59)+N185-N179-J185</f>
        <v>18129.5844731586</v>
      </c>
      <c r="K182" s="102" t="n">
        <f aca="false">K114</f>
        <v>239.99</v>
      </c>
      <c r="L182" s="102"/>
      <c r="M182" s="22"/>
      <c r="N182" s="102" t="n">
        <f aca="false">N179+J182+K182+J185</f>
        <v>54908.5784731586</v>
      </c>
      <c r="O182" s="22"/>
      <c r="P182" s="22"/>
      <c r="Q182" s="104"/>
      <c r="S182" s="110" t="n">
        <f aca="false">(S167*T59)+W185-W179-S185</f>
        <v>5659.07537970193</v>
      </c>
      <c r="T182" s="102" t="n">
        <f aca="false">T114</f>
        <v>199.99</v>
      </c>
      <c r="U182" s="102"/>
      <c r="V182" s="22"/>
      <c r="W182" s="102" t="n">
        <f aca="false">W179+S182+T182+S185</f>
        <v>29453.3803797019</v>
      </c>
      <c r="X182" s="22"/>
      <c r="Y182" s="22"/>
      <c r="Z182" s="104"/>
      <c r="AB182" s="110" t="n">
        <f aca="false">(AB167*AC59)+AF185-AF179-AB185</f>
        <v>4583.22863400932</v>
      </c>
      <c r="AC182" s="102" t="n">
        <f aca="false">AC114</f>
        <v>239.99</v>
      </c>
      <c r="AD182" s="102"/>
      <c r="AE182" s="22"/>
      <c r="AF182" s="102" t="n">
        <f aca="false">AF179+AB182+AC182+AB185</f>
        <v>23102.7186340093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4990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4990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4990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4.4616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39.501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344.933254861111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781.87447860537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783.336775873586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609.317665706157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2913.216</v>
      </c>
      <c r="B201" s="185" t="n">
        <f aca="false">E179+A201+(B182*1.2)+A185</f>
        <v>28340.808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712.166831546546</v>
      </c>
      <c r="B212" s="176" t="n">
        <f aca="false">B167</f>
        <v>69.7076470588235</v>
      </c>
      <c r="C212" s="173"/>
      <c r="D212" s="173"/>
      <c r="E212" s="176" t="n">
        <f aca="false">E167</f>
        <v>781.87447860537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4016.18</v>
      </c>
      <c r="B224" s="102" t="str">
        <f aca="false">B182</f>
        <v>199.99</v>
      </c>
      <c r="C224" s="102"/>
      <c r="D224" s="112"/>
      <c r="E224" s="102" t="n">
        <f aca="false">E182</f>
        <v>29443.768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712.166831546546</v>
      </c>
      <c r="B230" s="102" t="n">
        <f aca="false">B167</f>
        <v>69.7076470588235</v>
      </c>
      <c r="C230" s="185"/>
      <c r="D230" s="185"/>
      <c r="E230" s="102" t="n">
        <f aca="false">E167</f>
        <v>781.87447860537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4980</v>
      </c>
      <c r="B233" s="102" t="n">
        <f aca="false">E185</f>
        <v>4990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39.501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4119.60325486111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1112.96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495</v>
      </c>
      <c r="C255" s="196"/>
      <c r="D255" s="197" t="s">
        <v>219</v>
      </c>
      <c r="E255" s="197"/>
      <c r="F255" s="199" t="n">
        <f aca="false">(B254-F254)+B255</f>
        <v>1361.42929416667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1112.96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395.01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1361.42929416667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22000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8280</v>
      </c>
      <c r="I31" s="237" t="n">
        <f aca="false">IF(C107="YES",H31,0)</f>
        <v>8280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1164.02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673.404864376825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n">
        <f aca="false">IF(B26="YES",H42,"")</f>
        <v>52.91</v>
      </c>
      <c r="C36" s="220"/>
      <c r="D36" s="183" t="n">
        <f aca="false">I31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33961.0829518226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n">
        <f aca="false">IF(B26="YES",H42,"0")</f>
        <v>52.91</v>
      </c>
      <c r="C40" s="106"/>
      <c r="D40" s="183" t="n">
        <f aca="false">I32</f>
        <v>1164.02</v>
      </c>
      <c r="E40" s="215"/>
      <c r="F40" s="62"/>
      <c r="G40" s="62" t="s">
        <v>107</v>
      </c>
      <c r="H40" s="237" t="n">
        <f aca="false">A40/1.2</f>
        <v>6900</v>
      </c>
      <c r="I40" s="237" t="n">
        <f aca="false">H39-I39</f>
        <v>-15031.0829518226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52.91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673.404864376825</v>
      </c>
      <c r="I48" s="237" t="n">
        <f aca="false">I49-H42</f>
        <v>1347.09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673.404864376825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</v>
      </c>
      <c r="D64" s="290" t="n">
        <f aca="false">B64-A143</f>
        <v>1887.2568</v>
      </c>
      <c r="E64" s="215"/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2597.2568</v>
      </c>
      <c r="C81" s="214"/>
      <c r="D81" s="214"/>
      <c r="E81" s="215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118.057127272727</v>
      </c>
      <c r="C82" s="214"/>
      <c r="D82" s="214"/>
      <c r="E82" s="215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215"/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16248.1438162902</v>
      </c>
      <c r="C85" s="214"/>
      <c r="D85" s="214"/>
      <c r="E85" s="215"/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137.640589004475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16385.7844052946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63.492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62.0810666666667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51.7342222222222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744.808382058847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808.300382058846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793.788958982894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656.696349136082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18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372.4864</v>
      </c>
      <c r="I127" s="176"/>
      <c r="J127" s="333" t="n">
        <f aca="false">H91</f>
        <v>793.788958982894</v>
      </c>
      <c r="K127" s="215"/>
      <c r="L127" s="62"/>
      <c r="M127" s="332" t="n">
        <f aca="false">N90</f>
        <v>604.96212691386</v>
      </c>
      <c r="N127" s="176" t="n">
        <f aca="false">IF(M105="YES",N89*N57,0)</f>
        <v>310.405333333333</v>
      </c>
      <c r="O127" s="176"/>
      <c r="P127" s="176" t="n">
        <f aca="false">N91</f>
        <v>656.696349136082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744.808382058847</v>
      </c>
      <c r="B128" s="320" t="n">
        <f aca="false">IF(A105="YES",B89,0)</f>
        <v>63.492</v>
      </c>
      <c r="C128" s="324"/>
      <c r="D128" s="320" t="n">
        <f aca="false">B91</f>
        <v>808.300382058846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744.808382058847</v>
      </c>
      <c r="C131" s="316"/>
      <c r="D131" s="37" t="n">
        <f aca="false">IF(A105="YES",B89*B57,0)</f>
        <v>63.492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372.4864</v>
      </c>
      <c r="I133" s="220"/>
      <c r="J133" s="183" t="n">
        <f aca="false">H91*H57</f>
        <v>4762.73375389736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310.405333333333</v>
      </c>
      <c r="O133" s="220"/>
      <c r="P133" s="183" t="n">
        <f aca="false">N91*N57</f>
        <v>3940.17809481649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808.300382058846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744.808382058847</v>
      </c>
      <c r="B137" s="37" t="n">
        <f aca="false">IF(A105="YES",B89,0)</f>
        <v>63.492</v>
      </c>
      <c r="C137" s="316"/>
      <c r="D137" s="37" t="n">
        <f aca="false">B91</f>
        <v>808.300382058846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13.3848</v>
      </c>
      <c r="B140" s="342" t="n">
        <f aca="false">IF(A105="YES",G18*0.000002,0)*100</f>
        <v>4.4616</v>
      </c>
      <c r="C140" s="316"/>
      <c r="D140" s="342" t="n">
        <f aca="false">A140+B140</f>
        <v>17.8464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23.2804</v>
      </c>
      <c r="H142" s="102" t="n">
        <f aca="false">G102-100</f>
        <v>99.99</v>
      </c>
      <c r="I142" s="102"/>
      <c r="J142" s="102" t="n">
        <f aca="false">(H139+J139+G142+H142)-H145</f>
        <v>386.628733333333</v>
      </c>
      <c r="K142" s="104"/>
      <c r="L142" s="62"/>
      <c r="M142" s="110" t="n">
        <f aca="false">IF(M105="YES",((B36*N105)*0.1)*(M130),0)</f>
        <v>23.2804</v>
      </c>
      <c r="N142" s="102" t="n">
        <f aca="false">M102-100</f>
        <v>99.99</v>
      </c>
      <c r="O142" s="102"/>
      <c r="P142" s="102" t="n">
        <f aca="false">(N139+P139+M142+N142)-N145</f>
        <v>386.628733333333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0</v>
      </c>
      <c r="C148" s="37"/>
      <c r="D148" s="37" t="n">
        <f aca="false">IF(A105="YES",(B40*B105)*B125,0)*0.1</f>
        <v>23.2804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439.3004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793.788958982894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656.696349136082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808.300382058846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744.808382058847</v>
      </c>
      <c r="B177" s="354" t="n">
        <f aca="false">IF(A105="YES",B89,0)</f>
        <v>63.492</v>
      </c>
      <c r="C177" s="356"/>
      <c r="D177" s="354" t="n">
        <f aca="false">B91</f>
        <v>808.300382058846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744.808382058847</v>
      </c>
      <c r="C180" s="352"/>
      <c r="D180" s="102" t="n">
        <f aca="false">IF(A105="YES",B89*B57,0)</f>
        <v>63.492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808.300382058846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744.808382058847</v>
      </c>
      <c r="B186" s="102" t="n">
        <f aca="false">IF(A105="YES",B89,0)</f>
        <v>63.492</v>
      </c>
      <c r="C186" s="352"/>
      <c r="D186" s="102" t="n">
        <f aca="false">B91</f>
        <v>808.300382058846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IF(A105="YES",G18*0.000002,0)*100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0</v>
      </c>
      <c r="C197" s="102"/>
      <c r="D197" s="102" t="n">
        <f aca="false">IF(A105="YES",(B40*B105)*B125,0)*0.1</f>
        <v>23.2804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439.3004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332.794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1904.0208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1904.0208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232.804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137.640589004475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24000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5400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228.257676639454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78.2576766394541</v>
      </c>
      <c r="B36" s="102" t="n">
        <f aca="false">IF(B26="YES",H42,"")</f>
        <v>150</v>
      </c>
      <c r="C36" s="220"/>
      <c r="D36" s="183" t="n">
        <f aca="false">H31</f>
        <v>24000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57161.0096051638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150</v>
      </c>
      <c r="C40" s="106"/>
      <c r="D40" s="183" t="n">
        <f aca="false">I32</f>
        <v>5400</v>
      </c>
      <c r="E40" s="215"/>
      <c r="F40" s="62"/>
      <c r="G40" s="62" t="s">
        <v>107</v>
      </c>
      <c r="H40" s="237" t="n">
        <f aca="false">(A40)/1.2</f>
        <v>20000</v>
      </c>
      <c r="I40" s="237" t="n">
        <f aca="false">H39-I39</f>
        <v>-38231.0096051638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16376.6485270412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507" t="n">
        <v>100</v>
      </c>
      <c r="D45" s="507"/>
      <c r="E45" s="215"/>
      <c r="F45" s="62"/>
      <c r="G45" s="62" t="s">
        <v>374</v>
      </c>
      <c r="H45" s="237" t="n">
        <f aca="false">(H39-H44)</f>
        <v>2553.35147295876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78.2576766394541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228.257676639454</v>
      </c>
      <c r="I48" s="237" t="n">
        <f aca="false">I49-H42</f>
        <v>1250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228.257676639454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27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2342.34</v>
      </c>
      <c r="C64" s="214" t="n">
        <v>10000</v>
      </c>
      <c r="D64" s="290" t="n">
        <f aca="false">B64-A143</f>
        <v>2342.34</v>
      </c>
      <c r="E64" s="462" t="n">
        <f aca="false">D64/(B58+B57)</f>
        <v>65.065</v>
      </c>
      <c r="F64" s="62"/>
      <c r="G64" s="284" t="s">
        <v>91</v>
      </c>
      <c r="H64" s="132" t="n">
        <f aca="false">H61*H63</f>
        <v>2342.34</v>
      </c>
      <c r="I64" s="214"/>
      <c r="J64" s="290" t="n">
        <f aca="false">H64-G145</f>
        <v>2342.34</v>
      </c>
      <c r="K64" s="215"/>
      <c r="L64" s="62"/>
      <c r="M64" s="284" t="s">
        <v>91</v>
      </c>
      <c r="N64" s="132" t="n">
        <f aca="false">N61*N63</f>
        <v>2342.34</v>
      </c>
      <c r="O64" s="214"/>
      <c r="P64" s="290" t="n">
        <f aca="false">N64-M145</f>
        <v>2342.34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446.16</v>
      </c>
      <c r="C67" s="214"/>
      <c r="D67" s="290"/>
      <c r="E67" s="215"/>
      <c r="F67" s="62"/>
      <c r="G67" s="284" t="s">
        <v>94</v>
      </c>
      <c r="H67" s="132" t="n">
        <f aca="false">(H61*H66)/1.2</f>
        <v>371.8</v>
      </c>
      <c r="I67" s="214"/>
      <c r="J67" s="290"/>
      <c r="K67" s="215"/>
      <c r="L67" s="62"/>
      <c r="M67" s="284" t="s">
        <v>94</v>
      </c>
      <c r="N67" s="132" t="n">
        <f aca="false">(N61*N66)/1.2</f>
        <v>371.8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290" t="n">
        <f aca="false">B73+B71</f>
        <v>380</v>
      </c>
      <c r="E73" s="215"/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3122.34</v>
      </c>
      <c r="C81" s="214"/>
      <c r="D81" s="214"/>
      <c r="E81" s="462"/>
      <c r="F81" s="62"/>
      <c r="G81" s="302" t="s">
        <v>103</v>
      </c>
      <c r="H81" s="303" t="n">
        <f aca="false">SUM(J64:J80)</f>
        <v>3408.09</v>
      </c>
      <c r="I81" s="214"/>
      <c r="J81" s="214"/>
      <c r="K81" s="215"/>
      <c r="L81" s="62"/>
      <c r="M81" s="302" t="s">
        <v>103</v>
      </c>
      <c r="N81" s="303" t="n">
        <f aca="false">SUM(P64:P80)</f>
        <v>3064.34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86.7316666666667</v>
      </c>
      <c r="C82" s="214"/>
      <c r="D82" s="214"/>
      <c r="E82" s="462"/>
      <c r="F82" s="62"/>
      <c r="G82" s="213" t="s">
        <v>104</v>
      </c>
      <c r="H82" s="299" t="n">
        <f aca="false">H81/H29</f>
        <v>94.6691666666667</v>
      </c>
      <c r="I82" s="214"/>
      <c r="J82" s="214"/>
      <c r="K82" s="215"/>
      <c r="L82" s="62"/>
      <c r="M82" s="213" t="s">
        <v>104</v>
      </c>
      <c r="N82" s="299" t="n">
        <f aca="false">N81/H29</f>
        <v>85.1205555555556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78.2576766394541</v>
      </c>
      <c r="C83" s="214"/>
      <c r="D83" s="214"/>
      <c r="E83" s="462" t="n">
        <f aca="false">B83+E80+E77+E64</f>
        <v>164.989343306121</v>
      </c>
      <c r="F83" s="62"/>
      <c r="G83" s="304" t="s">
        <v>105</v>
      </c>
      <c r="H83" s="305" t="n">
        <f aca="false">H47</f>
        <v>78.2576766394541</v>
      </c>
      <c r="I83" s="214"/>
      <c r="J83" s="214"/>
      <c r="K83" s="215"/>
      <c r="L83" s="62"/>
      <c r="M83" s="304" t="s">
        <v>105</v>
      </c>
      <c r="N83" s="305" t="n">
        <f aca="false">H47</f>
        <v>78.2576766394541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7127.53963082442</v>
      </c>
      <c r="C85" s="214"/>
      <c r="D85" s="214"/>
      <c r="E85" s="462" t="n">
        <f aca="false">B85/(B58+B57)</f>
        <v>197.987211967345</v>
      </c>
      <c r="F85" s="62"/>
      <c r="G85" s="287" t="s">
        <v>115</v>
      </c>
      <c r="H85" s="130" t="n">
        <f aca="false">((H83*H29)+H81)*1.2</f>
        <v>7470.43963082442</v>
      </c>
      <c r="I85" s="214"/>
      <c r="J85" s="214"/>
      <c r="K85" s="215"/>
      <c r="L85" s="62"/>
      <c r="M85" s="287" t="s">
        <v>115</v>
      </c>
      <c r="N85" s="130" t="n">
        <f aca="false">((N83*H29)+N81)</f>
        <v>5881.61635902035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50.3154270025927</v>
      </c>
      <c r="C86" s="214"/>
      <c r="D86" s="214"/>
      <c r="E86" s="462" t="n">
        <f aca="false">B86/(B58+B57)</f>
        <v>1.39765075007202</v>
      </c>
      <c r="F86" s="62"/>
      <c r="G86" s="213" t="s">
        <v>116</v>
      </c>
      <c r="H86" s="299" t="n">
        <f aca="false">((((H83*H29)+H81))/(1-H70))*H70</f>
        <v>52.7360603224798</v>
      </c>
      <c r="I86" s="214"/>
      <c r="J86" s="214"/>
      <c r="K86" s="215"/>
      <c r="L86" s="62"/>
      <c r="M86" s="213" t="s">
        <v>116</v>
      </c>
      <c r="N86" s="299" t="n">
        <f aca="false">(N85/(1-N70))*N70</f>
        <v>49.8240998545491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7177.85505782701</v>
      </c>
      <c r="C87" s="214"/>
      <c r="D87" s="214"/>
      <c r="E87" s="462" t="n">
        <f aca="false">E86+E85</f>
        <v>199.384862717417</v>
      </c>
      <c r="F87" s="62"/>
      <c r="G87" s="284" t="s">
        <v>117</v>
      </c>
      <c r="H87" s="132" t="n">
        <f aca="false">IF(H110="YES",((H85+H86)-K114),(H85+H86))</f>
        <v>7523.1756911469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5931.4404588749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180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189.658536585366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158.048780487805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199.384862717417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183.492090027973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144.669279484754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199.384862717417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373.150626613339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302.718059972558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183.492090027973</v>
      </c>
      <c r="H127" s="176" t="n">
        <f aca="false">IF(G105="YES",H89*H57,0)</f>
        <v>1137.9512195122</v>
      </c>
      <c r="I127" s="176"/>
      <c r="J127" s="333" t="n">
        <f aca="false">H91</f>
        <v>373.150626613339</v>
      </c>
      <c r="K127" s="215"/>
      <c r="L127" s="62"/>
      <c r="M127" s="332" t="n">
        <f aca="false">N90</f>
        <v>144.669279484754</v>
      </c>
      <c r="N127" s="176" t="n">
        <f aca="false">IF(M105="YES",N89*N57,0)</f>
        <v>948.292682926829</v>
      </c>
      <c r="O127" s="176"/>
      <c r="P127" s="176" t="n">
        <f aca="false">N91</f>
        <v>302.718059972558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199.384862717417</v>
      </c>
      <c r="B128" s="320" t="n">
        <f aca="false">IF(A105="YES",B89,0)</f>
        <v>0</v>
      </c>
      <c r="C128" s="324"/>
      <c r="D128" s="320" t="n">
        <f aca="false">B91</f>
        <v>199.384862717417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27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27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1794.46376445675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1100.95254016784</v>
      </c>
      <c r="H133" s="102" t="n">
        <f aca="false">IF(G105="YES",H89*H57,0)</f>
        <v>1137.9512195122</v>
      </c>
      <c r="I133" s="220"/>
      <c r="J133" s="183" t="n">
        <f aca="false">H91*H57</f>
        <v>2238.90375968003</v>
      </c>
      <c r="K133" s="215"/>
      <c r="L133" s="62"/>
      <c r="M133" s="184" t="n">
        <f aca="false">N90*N57</f>
        <v>868.015676908521</v>
      </c>
      <c r="N133" s="102" t="n">
        <f aca="false">IF(M105="YES",N89*N57,0)</f>
        <v>948.292682926829</v>
      </c>
      <c r="O133" s="220"/>
      <c r="P133" s="183" t="n">
        <f aca="false">N91*N57</f>
        <v>1816.30835983535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1794.46376445675</v>
      </c>
      <c r="B134" s="37" t="n">
        <f aca="false">E114</f>
        <v>0</v>
      </c>
      <c r="C134" s="316"/>
      <c r="D134" s="336" t="n">
        <f aca="false">B58</f>
        <v>27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199.384862717417</v>
      </c>
      <c r="B137" s="37" t="n">
        <f aca="false">IF(A105="YES",B89,0)</f>
        <v>0</v>
      </c>
      <c r="C137" s="316"/>
      <c r="D137" s="37" t="n">
        <f aca="false">B91</f>
        <v>199.384862717417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371.8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371.8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IF(A105="YES",G18*0.000002,0)*1.2*100</f>
        <v>0</v>
      </c>
      <c r="C140" s="316"/>
      <c r="D140" s="342" t="n">
        <f aca="false">A140+B140</f>
        <v>16.06176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108</v>
      </c>
      <c r="H142" s="102" t="n">
        <f aca="false">G102-100</f>
        <v>99.99</v>
      </c>
      <c r="I142" s="102"/>
      <c r="J142" s="102" t="n">
        <f aca="false">(H139+J139+G142+H142)-H145</f>
        <v>579.79</v>
      </c>
      <c r="K142" s="104"/>
      <c r="L142" s="62"/>
      <c r="M142" s="110" t="n">
        <f aca="false">IF(M105="YES",((B36*N105)*0.1)*(M130),0)</f>
        <v>108</v>
      </c>
      <c r="N142" s="102" t="n">
        <f aca="false">M102-100</f>
        <v>99.99</v>
      </c>
      <c r="O142" s="102"/>
      <c r="P142" s="102" t="n">
        <f aca="false">(N139+P139+M142+N142)-N145</f>
        <v>579.79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446.16</v>
      </c>
      <c r="B148" s="37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546.151666666667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373.150626613339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302.718059972558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199.384862717417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199.384862717417</v>
      </c>
      <c r="B177" s="354" t="n">
        <f aca="false">IF(A105="YES",B89,0)</f>
        <v>0</v>
      </c>
      <c r="C177" s="356"/>
      <c r="D177" s="354" t="n">
        <f aca="false">B91</f>
        <v>199.384862717417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1794.46376445675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1794.46376445675</v>
      </c>
      <c r="B183" s="102" t="n">
        <f aca="false">E114</f>
        <v>0</v>
      </c>
      <c r="C183" s="352"/>
      <c r="D183" s="360" t="n">
        <f aca="false">B58</f>
        <v>27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199.384862717417</v>
      </c>
      <c r="B186" s="102" t="n">
        <f aca="false">IF(A105="YES",B89,0)</f>
        <v>0</v>
      </c>
      <c r="C186" s="352"/>
      <c r="D186" s="102" t="n">
        <f aca="false">B91</f>
        <v>199.384862717417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IF(A105="YES",G18*0.000002,0)*1.2*100</f>
        <v>0</v>
      </c>
      <c r="C189" s="352"/>
      <c r="D189" s="364" t="n">
        <f aca="false">A189+B189</f>
        <v>16.06176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446.16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546.151666666667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2342.34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446.16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1996.17166666667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2342.34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446.16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1996.17166666667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50.3154270025927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5" activeCellId="1" sqref="A173 E1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19172.22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19172.22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36323.61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-206.970013182372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37156.94</v>
      </c>
      <c r="F9" s="62"/>
      <c r="G9" s="450" t="n">
        <f aca="false">E9-G11</f>
        <v>-114859.726666667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37802.77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7560.554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46013.324</v>
      </c>
      <c r="F15" s="62"/>
      <c r="G15" s="273" t="n">
        <v>183070</v>
      </c>
      <c r="H15" s="62"/>
      <c r="I15" s="62" t="s">
        <v>384</v>
      </c>
      <c r="J15" s="62" t="n">
        <v>103529.985</v>
      </c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100.0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45893.324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391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0.0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898.3649761559</v>
      </c>
      <c r="E33" s="215"/>
      <c r="F33" s="62"/>
      <c r="G33" s="218" t="s">
        <v>356</v>
      </c>
      <c r="H33" s="456" t="n">
        <f aca="false">E21-E11+((E16*20%)+(E19*20%)+(E20*20%))</f>
        <v>38352.77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809.5349761559</v>
      </c>
      <c r="B36" s="102" t="n">
        <f aca="false">IF(B26="YES",H42,"")</f>
        <v>88.83</v>
      </c>
      <c r="C36" s="220"/>
      <c r="D36" s="183" t="n">
        <f aca="false">H31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38352.77</v>
      </c>
      <c r="I39" s="237" t="n">
        <f aca="false">(I48*H46)+H44</f>
        <v>54192.0892553037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88.83</v>
      </c>
      <c r="C40" s="106"/>
      <c r="D40" s="183" t="n">
        <f aca="false">I32</f>
        <v>6218.1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-15839.3192553037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88.83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12791.3910567846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374</v>
      </c>
      <c r="H45" s="237" t="n">
        <f aca="false">(H39-H44)</f>
        <v>25561.3789432154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31.5753854942677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809.5349761559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898.3649761559</v>
      </c>
      <c r="I48" s="237" t="n">
        <f aca="false">I49-H42</f>
        <v>1311.17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898.3649761559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1040</v>
      </c>
      <c r="C76" s="214"/>
      <c r="D76" s="290" t="n">
        <f aca="false">B76</f>
        <v>1040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51.8571428571429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12481.6666666667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356.619047619048</v>
      </c>
      <c r="C82" s="469"/>
      <c r="D82" s="214"/>
      <c r="E82" s="462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809.5349761559</v>
      </c>
      <c r="C83" s="469"/>
      <c r="D83" s="214"/>
      <c r="E83" s="462" t="n">
        <f aca="false">B83+E80+E77+E64</f>
        <v>1159.80481742574</v>
      </c>
      <c r="F83" s="62"/>
      <c r="G83" s="304" t="s">
        <v>105</v>
      </c>
      <c r="H83" s="305" t="n">
        <f aca="false">H47</f>
        <v>809.5349761559</v>
      </c>
      <c r="I83" s="214"/>
      <c r="J83" s="214"/>
      <c r="K83" s="215"/>
      <c r="L83" s="62"/>
      <c r="M83" s="304" t="s">
        <v>105</v>
      </c>
      <c r="N83" s="305" t="n">
        <f aca="false">H47</f>
        <v>809.5349761559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40815.3908321232</v>
      </c>
      <c r="C85" s="469"/>
      <c r="D85" s="469"/>
      <c r="E85" s="462" t="n">
        <f aca="false">B85/(B58+B57)</f>
        <v>1166.15402377495</v>
      </c>
      <c r="F85" s="62"/>
      <c r="G85" s="287" t="s">
        <v>115</v>
      </c>
      <c r="H85" s="130" t="n">
        <f aca="false">((H83*H29)+H81)*1.2</f>
        <v>43752.4400075478</v>
      </c>
      <c r="I85" s="214"/>
      <c r="J85" s="214"/>
      <c r="K85" s="215"/>
      <c r="L85" s="62"/>
      <c r="M85" s="287" t="s">
        <v>115</v>
      </c>
      <c r="N85" s="130" t="n">
        <f aca="false">((N83*H29)+N81)</f>
        <v>36130.3666729565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345.753613341907</v>
      </c>
      <c r="C86" s="469" t="s">
        <v>231</v>
      </c>
      <c r="D86" s="214"/>
      <c r="E86" s="462" t="n">
        <f aca="false">B86/(B58+B57)</f>
        <v>9.87867466691162</v>
      </c>
      <c r="F86" s="62"/>
      <c r="G86" s="213" t="s">
        <v>116</v>
      </c>
      <c r="H86" s="299" t="n">
        <f aca="false">((((H83*H29)+H81))/(1-H70))*H70</f>
        <v>308.861516793903</v>
      </c>
      <c r="I86" s="214"/>
      <c r="J86" s="214"/>
      <c r="K86" s="215"/>
      <c r="L86" s="62"/>
      <c r="M86" s="213" t="s">
        <v>116</v>
      </c>
      <c r="N86" s="299" t="n">
        <f aca="false">(N85/(1-N70))*N70</f>
        <v>306.06603474469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41161.1444454651</v>
      </c>
      <c r="C87" s="469"/>
      <c r="D87" s="471"/>
      <c r="E87" s="462" t="n">
        <f aca="false">E86+E85</f>
        <v>1176.03269844186</v>
      </c>
      <c r="F87" s="62"/>
      <c r="G87" s="284" t="s">
        <v>117</v>
      </c>
      <c r="H87" s="132" t="n">
        <f aca="false">IF(H110="YES",((H85+H86)-K114),(H85+H86))</f>
        <v>44061.3015243417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36436.4327077012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115.479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223.8516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186.543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1176.03269844186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1101.53253810854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910.91081769253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1291.51169844186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1325.38413810854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1097.45381769253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389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386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1101.53253810854</v>
      </c>
      <c r="H127" s="176" t="n">
        <f aca="false">IF(G105="YES",H89*H57,0)</f>
        <v>1343.1096</v>
      </c>
      <c r="I127" s="176"/>
      <c r="J127" s="333" t="n">
        <f aca="false">H91</f>
        <v>1325.38413810854</v>
      </c>
      <c r="K127" s="215"/>
      <c r="L127" s="62"/>
      <c r="M127" s="332" t="n">
        <f aca="false">N90</f>
        <v>910.91081769253</v>
      </c>
      <c r="N127" s="176" t="n">
        <f aca="false">IF(M105="YES",N89*N57,0)</f>
        <v>1119.258</v>
      </c>
      <c r="O127" s="176"/>
      <c r="P127" s="176" t="n">
        <f aca="false">N91</f>
        <v>1097.45381769253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1176.03269844186</v>
      </c>
      <c r="B128" s="320" t="n">
        <f aca="false">IF(A105="YES",B89,0)</f>
        <v>115.479</v>
      </c>
      <c r="C128" s="324"/>
      <c r="D128" s="320" t="n">
        <f aca="false">B91</f>
        <v>1291.51169844186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1176.03269844186</v>
      </c>
      <c r="C131" s="316"/>
      <c r="D131" s="37" t="n">
        <f aca="false">IF(A105="YES",B89*B57,0)</f>
        <v>115.479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6609.19522865125</v>
      </c>
      <c r="H133" s="102" t="n">
        <f aca="false">IF(G105="YES",H89*H57,0)</f>
        <v>1343.1096</v>
      </c>
      <c r="I133" s="220"/>
      <c r="J133" s="183" t="n">
        <f aca="false">H91*H57</f>
        <v>7952.30482865125</v>
      </c>
      <c r="K133" s="215"/>
      <c r="L133" s="62"/>
      <c r="M133" s="184" t="n">
        <f aca="false">N90*N57</f>
        <v>5465.46490615518</v>
      </c>
      <c r="N133" s="102" t="n">
        <f aca="false">IF(M105="YES",N89*N57,0)</f>
        <v>1119.258</v>
      </c>
      <c r="O133" s="220"/>
      <c r="P133" s="183" t="n">
        <f aca="false">N91*N57</f>
        <v>6584.72290615518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1291.51169844186</v>
      </c>
      <c r="B134" s="37" t="n">
        <f aca="false">E114</f>
        <v>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0.276079944</v>
      </c>
      <c r="H136" s="102" t="n">
        <f aca="false">IF(G105="YES",E15*0.000002,0)</f>
        <v>0.092026648</v>
      </c>
      <c r="I136" s="102"/>
      <c r="J136" s="102" t="n">
        <f aca="false">G136+H136</f>
        <v>0.368106592</v>
      </c>
      <c r="K136" s="104"/>
      <c r="L136" s="62"/>
      <c r="M136" s="110" t="n">
        <f aca="false">E15*0.000006</f>
        <v>0.276079944</v>
      </c>
      <c r="N136" s="102" t="n">
        <f aca="false">IF(M105="YES",E15*0.000002,0)</f>
        <v>0.092026648</v>
      </c>
      <c r="O136" s="102"/>
      <c r="P136" s="102" t="n">
        <f aca="false">M136+N136</f>
        <v>0.368106592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1176.03269844186</v>
      </c>
      <c r="B137" s="37" t="n">
        <f aca="false">IF(A105="YES",B89,0)</f>
        <v>115.479</v>
      </c>
      <c r="C137" s="316"/>
      <c r="D137" s="37" t="n">
        <f aca="false">B91</f>
        <v>1291.51169844186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62.181</v>
      </c>
      <c r="H142" s="102" t="n">
        <f aca="false">G102-100</f>
        <v>99.99</v>
      </c>
      <c r="I142" s="102"/>
      <c r="J142" s="102" t="n">
        <f aca="false">(H139+J139+G142+H142)-H145</f>
        <v>1277.93122083333</v>
      </c>
      <c r="K142" s="104"/>
      <c r="L142" s="62"/>
      <c r="M142" s="110" t="n">
        <f aca="false">IF(M105="YES",((B36*N105)*0.1)*(M130),0)</f>
        <v>62.181</v>
      </c>
      <c r="N142" s="102" t="n">
        <f aca="false">M102-100</f>
        <v>99.99</v>
      </c>
      <c r="O142" s="102"/>
      <c r="P142" s="102" t="n">
        <f aca="false">(N139+P139+M142+N142)-N145</f>
        <v>1277.93122083333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102" t="n">
        <f aca="false">B102</f>
        <v>400</v>
      </c>
      <c r="C148" s="37"/>
      <c r="D148" s="37" t="n">
        <f aca="false">IF(A105="YES",(B40*B105)*B125,0)*0.1</f>
        <v>93.2715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1932.173765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1325.38413810854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1097.45381769253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1291.51169844186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1176.03269844186</v>
      </c>
      <c r="B177" s="354" t="n">
        <f aca="false">IF(A105="YES",B89,0)</f>
        <v>115.479</v>
      </c>
      <c r="C177" s="356"/>
      <c r="D177" s="354" t="n">
        <f aca="false">B91</f>
        <v>1291.51169844186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1176.03269844186</v>
      </c>
      <c r="C180" s="352"/>
      <c r="D180" s="102" t="n">
        <f aca="false">IF(A105="YES",B89*B57,0)</f>
        <v>115.479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1291.51169844186</v>
      </c>
      <c r="B183" s="102" t="n">
        <f aca="false">E114</f>
        <v>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1176.03269844186</v>
      </c>
      <c r="B186" s="102" t="n">
        <f aca="false">IF(A105="YES",B89,0)</f>
        <v>115.479</v>
      </c>
      <c r="C186" s="352"/>
      <c r="D186" s="102" t="n">
        <f aca="false">B91</f>
        <v>1291.51169844186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93.2715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1932.173765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1272.705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9933.792735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9933.792735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932.715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345.753613341907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1" sqref="A173 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385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1561.56</v>
      </c>
      <c r="C64" s="214" t="n">
        <v>10000</v>
      </c>
      <c r="D64" s="290" t="n">
        <f aca="false">B64</f>
        <v>1561.56</v>
      </c>
      <c r="E64" s="215"/>
      <c r="F64" s="62"/>
      <c r="G64" s="284" t="s">
        <v>91</v>
      </c>
      <c r="H64" s="132" t="n">
        <f aca="false">H61*H63</f>
        <v>1561.56</v>
      </c>
      <c r="I64" s="214"/>
      <c r="J64" s="290" t="n">
        <f aca="false">H64</f>
        <v>1561.56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223.08</v>
      </c>
      <c r="C67" s="214"/>
      <c r="D67" s="290"/>
      <c r="E67" s="215"/>
      <c r="F67" s="62"/>
      <c r="G67" s="284" t="s">
        <v>94</v>
      </c>
      <c r="H67" s="132" t="n">
        <f aca="false">H61*H66</f>
        <v>111.54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2888.22666666667</v>
      </c>
      <c r="C81" s="214"/>
      <c r="D81" s="214"/>
      <c r="E81" s="215"/>
      <c r="F81" s="62"/>
      <c r="G81" s="302" t="s">
        <v>103</v>
      </c>
      <c r="H81" s="303" t="n">
        <f aca="false">SUM(J64:J80)</f>
        <v>3188.06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240.685555555556</v>
      </c>
      <c r="C82" s="214"/>
      <c r="D82" s="214"/>
      <c r="E82" s="215"/>
      <c r="F82" s="62"/>
      <c r="G82" s="213" t="s">
        <v>104</v>
      </c>
      <c r="H82" s="299" t="n">
        <f aca="false">H81/H29</f>
        <v>265.671666666667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10680.272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11040.072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75.395223880597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77.9351593384429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10755.6672238806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11018.0171593384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896.30560199005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918.168096611537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896.30560199005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918.168096611537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896.30560199005</v>
      </c>
      <c r="B128" s="320" t="n">
        <f aca="false">IF(A105="YES",B89,0)</f>
        <v>0</v>
      </c>
      <c r="C128" s="325"/>
      <c r="D128" s="320" t="n">
        <f aca="false">B91</f>
        <v>896.30560199005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918.168096611537</v>
      </c>
      <c r="H130" s="176" t="n">
        <f aca="false">IF(G105="YES",H89*H57,0)</f>
        <v>0</v>
      </c>
      <c r="I130" s="176"/>
      <c r="J130" s="333" t="n">
        <f aca="false">H91</f>
        <v>918.168096611537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896.30560199005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918.168096611537</v>
      </c>
      <c r="H133" s="102" t="n">
        <f aca="false">IF(G105="YES",H89*H57,0)</f>
        <v>0</v>
      </c>
      <c r="I133" s="220"/>
      <c r="J133" s="183" t="n">
        <f aca="false">H91*H57</f>
        <v>918.168096611537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896.30560199005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896.30560199005</v>
      </c>
      <c r="B137" s="37" t="n">
        <f aca="false">IF(A105="YES",B89,0)</f>
        <v>0</v>
      </c>
      <c r="C137" s="316"/>
      <c r="D137" s="37" t="n">
        <f aca="false">B91</f>
        <v>896.30560199005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111.54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G18*0.000002*1.2*100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1331.528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223.08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723.07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918.168096611537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896.30560199005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896.30560199005</v>
      </c>
      <c r="B171" s="354" t="n">
        <f aca="false">IF(A105="YES",B89,0)</f>
        <v>0</v>
      </c>
      <c r="C171" s="357"/>
      <c r="D171" s="354" t="n">
        <f aca="false">B91</f>
        <v>896.30560199005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896.30560199005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896.30560199005</v>
      </c>
      <c r="B177" s="102" t="n">
        <f aca="false">E114</f>
        <v>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896.30560199005</v>
      </c>
      <c r="B180" s="102" t="n">
        <f aca="false">IF(A105="YES",B89,0)</f>
        <v>0</v>
      </c>
      <c r="C180" s="352"/>
      <c r="D180" s="102" t="n">
        <f aca="false">B91</f>
        <v>896.30560199005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16.06176</v>
      </c>
      <c r="B183" s="364" t="n">
        <f aca="false">G18*0.000002*1.2*100</f>
        <v>5.35392</v>
      </c>
      <c r="C183" s="352"/>
      <c r="D183" s="364" t="n">
        <f aca="false">A183+B183</f>
        <v>21.41568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223.08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723.07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1561.56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223.08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1678.47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1561.56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223.08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1678.47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75.395223880597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1" sqref="A173 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0</v>
      </c>
      <c r="C128" s="325"/>
      <c r="D128" s="320" t="n">
        <f aca="false">B91</f>
        <v>1018.93957801085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9170.45620209762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9170.45620209762</v>
      </c>
      <c r="B134" s="37" t="n">
        <f aca="false">E114</f>
        <v>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0</v>
      </c>
      <c r="C137" s="316"/>
      <c r="D137" s="37" t="n">
        <f aca="false">B91</f>
        <v>1018.93957801085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1018.93957801085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0</v>
      </c>
      <c r="C171" s="357"/>
      <c r="D171" s="354" t="n">
        <f aca="false">B91</f>
        <v>1018.93957801085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9170.45620209762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9170.45620209762</v>
      </c>
      <c r="B177" s="102" t="n">
        <f aca="false">E114</f>
        <v>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0</v>
      </c>
      <c r="C180" s="352"/>
      <c r="D180" s="102" t="n">
        <f aca="false">B91</f>
        <v>1018.93957801085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2024-06-06T17:44:24Z</dcterms:modified>
  <cp:revision>945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