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<sst xmlns="http://schemas.openxmlformats.org/spreadsheetml/2006/main" count="31964" uniqueCount="401">
  <si>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</si>
  <si>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</si>
  <si>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</si>
  <si>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</si>
  <si>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</si>
  <si>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</si>
  <si>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</si>
  <si>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</si>
  <si>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</si>
  <si>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</si>
  <si>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</si>
  <si>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</si>
  <si>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</si>
  <si>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</si>
  <si>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</si>
  <si>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</si>
  <si>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</si>
  <si>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</si>
  <si>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</si>
  <si>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</si>
  <si>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</si>
  <si>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</si>
  <si>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</si>
  <si>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</si>
  <si>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</si>
  <si>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</si>
  <si>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</si>
  <si>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</si>
  <si>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</si>
  <si>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</si>
  <si>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</si>
  <si>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</si>
  <si>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</si>
  <si>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</si>
  <si>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</si>
  <si>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</si>
  <si>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</si>
  <si>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</si>
  <si>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</si>
  <si>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</si>
  <si>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</si>
  <si>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</si>
  <si>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</si>
  <si>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</si>
  <si>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</si>
  <si>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</si>
  <si>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</si>
  <si>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</si>
  <si>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</si>
  <si>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</si>
  <si>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</si>
  <si>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</si>
  <si>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</si>
  <si>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</si>
  <si>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</si>
  <si>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</si>
  <si>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</si>
  <si>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</si>
  <si>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</si>
  <si>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</si>
  <si>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</si>
  <si>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</si>
  <si>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</si>
  <si>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</si>
  <si>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</si>
  <si>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</si>
  <si>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</si>
  <si>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</si>
  <si>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</si>
  <si>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</si>
  <si>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</si>
  <si>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</si>
  <si>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</si>
  <si>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</si>
  <si>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</si>
  <si>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</si>
  <si>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</si>
  <si>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</si>
  <si>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</si>
  <si>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110.00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</si>
  <si>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</si>
  <si>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</si>
  <si>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</si>
  <si>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</si>
  <si>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</si>
  <si>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</si>
  <si>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</si>
  <si>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</si>
  <si>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</si>
  <si>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</si>
  <si>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</si>
  <si>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</si>
  <si>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</si>
  <si>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</si>
  <si>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</si>
  <si>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</si>
  <si>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</si>
  <si>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</si>
  <si>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</si>
  <si>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</si>
  <si>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</si>
  <si>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</si>
  <si>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</si>
  <si>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</si>
  <si>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</si>
  <si>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</si>
  <si>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</si>
  <si>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</si>
  <si>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</si>
  <si>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</si>
  <si>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</si>
  <si>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</si>
  <si>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</si>
  <si>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</si>
  <si>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</si>
  <si>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</si>
  <si>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</si>
  <si>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</si>
  <si>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</si>
  <si>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</si>
  <si>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</si>
  <si>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</si>
  <si>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</si>
  <si>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</si>
  <si>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</si>
  <si>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</si>
  <si>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</si>
  <si>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</si>
  <si>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</si>
  <si>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</si>
  <si>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</si>
  <si>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</si>
  <si>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</si>
  <si>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</si>
  <si>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</si>
  <si>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</si>
  <si>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</si>
  <si>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</si>
  <si>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</si>
  <si>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</si>
  <si>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</si>
  <si>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</si>
  <si>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</si>
  <si>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</si>
  <si>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</si>
  <si>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</si>
  <si>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</si>
  <si>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</si>
  <si>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</si>
  <si>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</si>
  <si>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</si>
  <si>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</si>
  <si>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</si>
  <si>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</si>
  <si>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</si>
  <si>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</si>
  <si>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</si>
  <si>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</si>
  <si>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</si>
  <si>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</si>
  <si>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</si>
  <si>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</si>
  <si>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</si>
  <si>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</si>
  <si>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</si>
  <si>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</si>
  <si>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</si>
  <si>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</si>
  <si>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</si>
  <si>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</si>
  <si>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</si>
  <si>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</si>
  <si>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</si>
  <si>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</si>
  <si>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</si>
  <si>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</si>
  <si>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</si>
  <si>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</si>
  <si>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</si>
  <si>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</si>
  <si>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</si>
  <si>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</si>
  <si>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</si>
  <si>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</si>
  <si>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</si>
  <si>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</si>
  <si>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</si>
  <si>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</si>
  <si>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</si>
  <si>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</si>
  <si>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</si>
  <si>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</si>
  <si>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</si>
  <si>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</si>
  <si>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</si>
  <si>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</si>
  <si>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</si>
  <si>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</si>
  <si>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</si>
  <si>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</si>
  <si>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</si>
  <si>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</si>
  <si>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</si>
  <si>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</si>
  <si>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</si>
  <si>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</si>
  <si>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</si>
  <si>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</si>
  <si>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</si>
  <si>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</si>
  <si>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</si>
  <si>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</si>
  <si>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</si>
  <si>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</si>
  <si>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</si>
  <si>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</si>
  <si>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</si>
  <si>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</si>
  <si>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</si>
  <si>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</si>
  <si>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</si>
  <si>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</si>
  <si>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</si>
  <si>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</si>
  <si>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</si>
  <si>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</si>
  <si>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</si>
  <si>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</si>
  <si>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</si>
  <si>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</si>
  <si>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</si>
  <si>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108.00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</si>
  <si>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</si>
  <si>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</si>
  <si>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</si>
  <si>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</si>
  <si>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</si>
  <si>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</si>
  <si>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</si>
  <si>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</si>
  <si>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</si>
  <si>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20916.67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</si>
  <si>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</si>
  <si>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</si>
  <si>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</si>
  <si>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</si>
  <si>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711.00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</si>
  <si>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</si>
  <si>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</si>
  <si>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</si>
  <si>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</si>
  <si>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</si>
  <si>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</si>
  <si>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</si>
  <si>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</si>
  <si>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</si>
  <si>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</si>
  <si>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</si>
  <si>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</si>
  <si>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</si>
  <si>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</si>
  <si>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</si>
  <si>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</si>
  <si>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</si>
  <si>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</si>
  <si>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</si>
  <si>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</si>
  <si>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</si>
  <si>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</si>
  <si>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</si>
  <si>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</si>
  <si>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</si>
  <si>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</si>
  <si>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</si>
  <si>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</si>
  <si>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</si>
  <si>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</si>
  <si>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</si>
  <si>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</si>
  <si>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</si>
  <si>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</si>
  <si>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</si>
  <si>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</si>
  <si>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</si>
  <si>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</si>
  <si>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</si>
  <si>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</si>
  <si>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</si>
  <si>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</si>
  <si>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</si>
  <si>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</si>
  <si>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</si>
  <si>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</si>
  <si>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</si>
  <si>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</si>
  <si>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</si>
  <si>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</si>
  <si>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</si>
  <si>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</si>
  <si>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</si>
  <si>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</si>
  <si>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</si>
  <si>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</si>
  <si>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</si>
  <si>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</si>
  <si>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</si>
  <si>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</si>
  <si>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</si>
  <si>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</si>
  <si>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</si>
  <si>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</si>
  <si>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</si>
  <si>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</si>
  <si>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</si>
  <si>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</si>
  <si>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</si>
  <si>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</si>
  <si>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</si>
  <si>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</si>
  <si>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</si>
  <si>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</si>
  <si>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</si>
  <si>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</si>
  <si>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</si>
  <si>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</si>
  <si>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</si>
  <si>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</si>
  <si>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</si>
  <si>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</si>
  <si>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</si>
  <si>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</si>
  <si>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</si>
  <si>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</si>
  <si>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</si>
  <si>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</si>
  <si>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</si>
  <si>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</si>
  <si>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</si>
  <si>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</si>
  <si>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</si>
  <si>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</si>
  <si>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</si>
  <si>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</si>
  <si>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</si>
  <si>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</si>
  <si>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</si>
  <si>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</si>
  <si>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</si>
  <si>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</si>
  <si>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</si>
  <si>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9.00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</si>
  <si>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</si>
  <si>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</si>
  <si>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</si>
  <si>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</si>
  <si>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</si>
  <si>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</si>
  <si>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</si>
  <si>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</si>
  <si>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</si>
  <si>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</si>
  <si>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</si>
  <si>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</si>
  <si>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</si>
  <si>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</si>
  <si>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</si>
  <si>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</si>
  <si>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</si>
  <si>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</si>
  <si>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</si>
  <si>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</si>
  <si>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</si>
  <si>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</si>
  <si>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</si>
  <si>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</si>
  <si>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</si>
  <si>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</si>
  <si>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</si>
  <si>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0.00</t>
  </si>
  <si>
    <t xml:space="preserve">22666.67</t>
  </si>
  <si>
    <t xml:space="preserve">OTR Calculation</t>
  </si>
  <si>
    <t xml:space="preserve">470.00</t>
  </si>
  <si>
    <t xml:space="preserve">46877.50</t>
  </si>
  <si>
    <t xml:space="preserve">5.28</t>
  </si>
  <si>
    <t xml:space="preserve">Monthly Finance Payment</t>
  </si>
  <si>
    <t xml:space="preserve">Holding Finance Charges</t>
  </si>
  <si>
    <t xml:space="preserve">Holding Balance Payable</t>
  </si>
  <si>
    <t xml:space="preserve">RFL included?</t>
  </si>
  <si>
    <t>NO</t>
  </si>
  <si>
    <t>50</t>
  </si>
  <si>
    <t>A1 Credit</t>
  </si>
  <si>
    <t>YES</t>
  </si>
  <si>
    <t>199.99</t>
  </si>
  <si>
    <t>Yes</t>
  </si>
  <si>
    <t>30</t>
  </si>
  <si>
    <t>Limited Credit</t>
  </si>
  <si>
    <t>239.99</t>
  </si>
  <si>
    <t>500</t>
  </si>
  <si>
    <t>12</t>
  </si>
  <si>
    <t>200</t>
  </si>
  <si>
    <t xml:space="preserve"> Terminal pause with 6 down 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</si>
</sst>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20333.33</v>
      </c>
      <c r="C2" s="4" t="s">
        <v>2</v>
      </c>
      <c r="D2" s="5" t="n">
        <f aca="false">C9</f>
        <v>4066.666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24399.996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20333.33</v>
      </c>
      <c r="C9" s="14" t="n">
        <f aca="false">B9*0.2</f>
        <v>4066.666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20333.33</v>
      </c>
      <c r="C15" s="14" t="n">
        <f aca="false">SUM(C9:C13)</f>
        <v>4066.666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24399.996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20333.33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20333.33</v>
      </c>
      <c r="B37" s="32"/>
      <c r="C37" s="41" t="s">
        <v>45</v>
      </c>
      <c r="D37" s="41"/>
      <c r="E37" s="32"/>
      <c r="F37" s="43" t="n">
        <f aca="false">A37-C37</f>
        <v>19333.33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4066.666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255.5555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244.4445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247.111166666667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247.111166666667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247.111166666667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13654.2172707873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133.75002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247.111166666667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247.111166666667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247.111166666667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19333.33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12911.9787395771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1242.38338825339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13666.2172707873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13666.2172707873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1242.38338825339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1242.38338825339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24399.996</v>
      </c>
      <c r="C130" s="117" t="n">
        <v>22291.67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24399.996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24399.996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24399.996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24399.996</v>
      </c>
      <c r="C134" s="129" t="n">
        <f aca="false">C130-C133</f>
        <v>22291.67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20333.33</v>
      </c>
      <c r="H144" s="150" t="n">
        <f aca="false">C134+E134+G134+H137</f>
        <v>22291.67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4066.666</v>
      </c>
      <c r="H146" s="33" t="n">
        <f aca="false">(H144+H145)*20%</f>
        <v>4458.334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24399.996</v>
      </c>
      <c r="H150" s="154" t="n">
        <f aca="false">(H144+H145+H148+H149+H146)-H147</f>
        <v>26750.004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24399.996</v>
      </c>
      <c r="H156" s="161" t="n">
        <f aca="false">H150-((H153*1.2)+(H154*1.2)+(H155*1.2)+(H151*1.2))</f>
        <v>26750.004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1958.34</v>
      </c>
      <c r="I157" s="1" t="n">
        <f aca="false">(H157-G90)/1.2</f>
        <v>1631.95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26750.004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1242.38338825339</v>
      </c>
      <c r="B176" s="174" t="n">
        <f aca="false">B103</f>
        <v>0</v>
      </c>
      <c r="C176" s="171"/>
      <c r="D176" s="171"/>
      <c r="E176" s="174" t="n">
        <f aca="false">B105</f>
        <v>1242.38338825339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22291.67</v>
      </c>
      <c r="B182" s="99" t="n">
        <f aca="false">H146</f>
        <v>4458.334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26750.004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26750.004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-7083.78672921269</v>
      </c>
      <c r="B191" s="99" t="str">
        <f aca="false">B123</f>
        <v>239.99</v>
      </c>
      <c r="C191" s="99"/>
      <c r="D191" s="23"/>
      <c r="E191" s="99" t="n">
        <f aca="false">E188+A191+B191+A194</f>
        <v>19916.2072707873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111.45835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211.450016666667</v>
      </c>
      <c r="C200" s="130"/>
      <c r="D200" s="130"/>
      <c r="E200" s="99" t="n">
        <f aca="false">H157</f>
        <v>1958.34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1242.38338825339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1242.38338825339</v>
      </c>
      <c r="B221" s="174" t="n">
        <f aca="false">B176</f>
        <v>0</v>
      </c>
      <c r="C221" s="171"/>
      <c r="D221" s="171"/>
      <c r="E221" s="174" t="n">
        <f aca="false">E176</f>
        <v>1242.38338825339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22291.67</v>
      </c>
      <c r="B224" s="99" t="n">
        <f aca="false">B182</f>
        <v>4458.334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26750.004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26750.004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-7083.78672921269</v>
      </c>
      <c r="B233" s="99" t="str">
        <f aca="false">B191</f>
        <v>239.99</v>
      </c>
      <c r="C233" s="99"/>
      <c r="D233" s="109"/>
      <c r="E233" s="99" t="n">
        <f aca="false">E191</f>
        <v>19916.2072707873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1242.38338825339</v>
      </c>
      <c r="B239" s="99" t="n">
        <f aca="false">B176</f>
        <v>0</v>
      </c>
      <c r="C239" s="183"/>
      <c r="D239" s="183"/>
      <c r="E239" s="99" t="n">
        <f aca="false">E176</f>
        <v>1242.38338825339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1958.34</v>
      </c>
      <c r="B249" s="99" t="n">
        <f aca="false">B197</f>
        <v>111.45835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2169.79001666666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133.75002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-33.7583533333333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13666.2172707873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133.75002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-33.7583533333333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20916.67</v>
      </c>
      <c r="B37" s="32"/>
      <c r="C37" s="41" t="s">
        <v>45</v>
      </c>
      <c r="D37" s="41"/>
      <c r="E37" s="32"/>
      <c r="F37" s="43" t="n">
        <f aca="false">A37-C37</f>
        <v>19916.67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4183.334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265.277833333333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284.722166666667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287.388833333333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237.388833333333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287.388833333333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0.099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15047.2103774934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137.50002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287.388833333333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287.388833333333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287.388833333333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19916.67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6072.64939684978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10.1123646471031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13844.0206031502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1369.01912522667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15059.2103774934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15059.2103774934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1369.01912522667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1434.47367068121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0.1715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25100.004</v>
      </c>
      <c r="C130" s="117" t="n">
        <v>22916.67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25100.004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25100.004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25100.004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25100.004</v>
      </c>
      <c r="C134" s="129" t="n">
        <f aca="false">C130-C133</f>
        <v>22916.67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20916.67</v>
      </c>
      <c r="H144" s="150" t="n">
        <f aca="false">C134+E134+G134+H137</f>
        <v>22916.67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4183.334</v>
      </c>
      <c r="H146" s="33" t="n">
        <f aca="false">(H144+H145)*20%</f>
        <v>4583.334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25100.004</v>
      </c>
      <c r="H150" s="154" t="n">
        <f aca="false">(H144+H145+H148+H149+H146)-H147</f>
        <v>27500.004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25100.004</v>
      </c>
      <c r="H156" s="161" t="n">
        <f aca="false">H150-((H153*1.2)+(H154*1.2)+(H155*1.2)+(H151*1.2))</f>
        <v>27500.004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27500.004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1369.01912522667</v>
      </c>
      <c r="B176" s="174" t="n">
        <f aca="false">B103</f>
        <v>65.4545454545455</v>
      </c>
      <c r="C176" s="171"/>
      <c r="D176" s="171"/>
      <c r="E176" s="174" t="n">
        <f aca="false">B105</f>
        <v>1434.47367068121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22916.67</v>
      </c>
      <c r="B182" s="99" t="n">
        <f aca="false">H146</f>
        <v>4583.334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27500.004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27500.004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-6440.79362250664</v>
      </c>
      <c r="B191" s="99" t="str">
        <f aca="false">B123</f>
        <v>199.99</v>
      </c>
      <c r="C191" s="99"/>
      <c r="D191" s="23"/>
      <c r="E191" s="99" t="n">
        <f aca="false">E188+A191+B191+A194</f>
        <v>21269.2003774934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114.58335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214.57335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1434.47367068121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1369.01912522667</v>
      </c>
      <c r="B221" s="174" t="n">
        <f aca="false">B176</f>
        <v>65.4545454545455</v>
      </c>
      <c r="C221" s="171"/>
      <c r="D221" s="171"/>
      <c r="E221" s="174" t="n">
        <f aca="false">E176</f>
        <v>1434.47367068121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22916.67</v>
      </c>
      <c r="B224" s="99" t="n">
        <f aca="false">B182</f>
        <v>4583.334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27500.004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27500.004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-6440.79362250664</v>
      </c>
      <c r="B233" s="99" t="str">
        <f aca="false">B191</f>
        <v>199.99</v>
      </c>
      <c r="C233" s="99"/>
      <c r="D233" s="109"/>
      <c r="E233" s="99" t="n">
        <f aca="false">E191</f>
        <v>21269.2003774934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1369.01912522667</v>
      </c>
      <c r="B239" s="99" t="n">
        <f aca="false">B176</f>
        <v>65.4545454545455</v>
      </c>
      <c r="C239" s="183"/>
      <c r="D239" s="183"/>
      <c r="E239" s="99" t="n">
        <f aca="false">E176</f>
        <v>1434.47367068121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114.58335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2214.57335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0.099</v>
      </c>
      <c r="C262" s="194"/>
      <c r="D262" s="195" t="s">
        <v>211</v>
      </c>
      <c r="E262" s="195"/>
      <c r="F262" s="193" t="n">
        <f aca="false">B92</f>
        <v>0.1715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137.50002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-37.51002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0.099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0.1715</v>
      </c>
      <c r="C269" s="43"/>
      <c r="D269" s="163" t="s">
        <v>212</v>
      </c>
      <c r="E269" s="163"/>
      <c r="F269" s="143" t="n">
        <f aca="false">(B98*B68)-(C98*B68)</f>
        <v>15059.2103774934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137.50002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-37.51002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21.5454545454545</v>
      </c>
      <c r="E32" s="222"/>
      <c r="F32" s="63"/>
      <c r="G32" s="223" t="s">
        <v>240</v>
      </c>
      <c r="H32" s="221" t="n">
        <f aca="false">A41</f>
        <v>21.5454545454545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521.545454545455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246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21.5454545454545</v>
      </c>
      <c r="B41" s="237" t="n">
        <f aca="false">IF(B38="YES", D38+A41, D38)</f>
        <v>521.545454545455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21.5454545454545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521.909090909091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521.909090909091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18786.143930932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257.8125375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4507.73319608384</v>
      </c>
      <c r="C86" s="130" t="n">
        <f aca="false">(B82/((1+B84)^(B85+1)))</f>
        <v>4507.73319608384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25.537840463124</v>
      </c>
      <c r="C87" s="130" t="n">
        <f aca="false">((1-(1/((1+B84)^B85)))/B84)</f>
        <v>25.537840463124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15408.9368039162</v>
      </c>
      <c r="C88" s="130" t="n">
        <f aca="false">B81-B86</f>
        <v>15408.9368039162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603.376656932534</v>
      </c>
      <c r="C89" s="130" t="n">
        <f aca="false">(B88/B87)</f>
        <v>603.376656932534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19308.0530218411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19308.0530218411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31.995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603.376656932534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635.371656932534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603.376656932534</v>
      </c>
      <c r="B167" s="174" t="n">
        <f aca="false">B94</f>
        <v>31.995</v>
      </c>
      <c r="C167" s="171"/>
      <c r="D167" s="171"/>
      <c r="E167" s="174" t="n">
        <f aca="false">B96</f>
        <v>635.371656932534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-991.950978158908</v>
      </c>
      <c r="B182" s="99" t="str">
        <f aca="false">B114</f>
        <v>239.99</v>
      </c>
      <c r="C182" s="99"/>
      <c r="D182" s="23"/>
      <c r="E182" s="99" t="n">
        <f aca="false">E179+A182+B182+A185</f>
        <v>26758.0430218411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214.84378125</v>
      </c>
      <c r="C188" s="130"/>
      <c r="D188" s="130"/>
      <c r="E188" s="99" t="n">
        <f aca="false">IF(E105 = "YES" , (H36*A108)*0.1 , 0)</f>
        <v>14.22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329.055447916667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635.371656932534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603.376656932534</v>
      </c>
      <c r="B212" s="174" t="n">
        <f aca="false">B167</f>
        <v>31.995</v>
      </c>
      <c r="C212" s="171"/>
      <c r="D212" s="171"/>
      <c r="E212" s="174" t="n">
        <f aca="false">E167</f>
        <v>635.371656932534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-991.950978158908</v>
      </c>
      <c r="B224" s="99" t="str">
        <f aca="false">B182</f>
        <v>239.99</v>
      </c>
      <c r="C224" s="99"/>
      <c r="D224" s="109"/>
      <c r="E224" s="99" t="n">
        <f aca="false">E182</f>
        <v>26758.0430218411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603.376656932534</v>
      </c>
      <c r="B230" s="99" t="n">
        <f aca="false">B167</f>
        <v>31.995</v>
      </c>
      <c r="C230" s="183"/>
      <c r="D230" s="183"/>
      <c r="E230" s="99" t="n">
        <f aca="false">E167</f>
        <v>635.371656932534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214.84378125</v>
      </c>
      <c r="C240" s="130"/>
      <c r="D240" s="130"/>
      <c r="E240" s="99" t="n">
        <f aca="false">IF(E105 = "YES" , (H36*A108)*0.1 , 0)</f>
        <v>14.22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2329.05544791667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257.8125375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242.191666666667</v>
      </c>
      <c r="C255" s="194"/>
      <c r="D255" s="195" t="s">
        <v>215</v>
      </c>
      <c r="E255" s="195"/>
      <c r="F255" s="196" t="n">
        <f aca="false">(B254-F254)+B255</f>
        <v>-15.6208708333333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257.8125375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142.2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-15.6208708333333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14549.2103774934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6072.64939684978</v>
      </c>
      <c r="C86" s="130" t="n">
        <f aca="false">(B82/((1+B84)^(B85+1)))</f>
        <v>6072.64939684978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10.1123646471031</v>
      </c>
      <c r="C87" s="130" t="n">
        <f aca="false">((1-(1/((1+B84)^B85)))/B84)</f>
        <v>10.1123646471031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13844.0206031502</v>
      </c>
      <c r="C88" s="130" t="n">
        <f aca="false">B81-B86</f>
        <v>13844.0206031502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1369.01912522667</v>
      </c>
      <c r="C89" s="130" t="n">
        <f aca="false">(B88/B87)</f>
        <v>1369.01912522667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15059.2103774934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15059.2103774934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11.7818181818182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1369.01912522667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1380.80094340849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1369.01912522667</v>
      </c>
      <c r="B167" s="174" t="n">
        <f aca="false">B94</f>
        <v>11.7818181818182</v>
      </c>
      <c r="C167" s="171"/>
      <c r="D167" s="171"/>
      <c r="E167" s="174" t="n">
        <f aca="false">B96</f>
        <v>1380.80094340849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-5240.79362250664</v>
      </c>
      <c r="B182" s="99" t="str">
        <f aca="false">B114</f>
        <v>199.99</v>
      </c>
      <c r="C182" s="99"/>
      <c r="D182" s="23"/>
      <c r="E182" s="99" t="n">
        <f aca="false">E179+A182+B182+A185</f>
        <v>22469.2003774934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216.73335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1380.80094340849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1369.01912522667</v>
      </c>
      <c r="B212" s="174" t="n">
        <f aca="false">B167</f>
        <v>11.7818181818182</v>
      </c>
      <c r="C212" s="171"/>
      <c r="D212" s="171"/>
      <c r="E212" s="174" t="n">
        <f aca="false">E167</f>
        <v>1380.80094340849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-5240.79362250664</v>
      </c>
      <c r="B224" s="99" t="str">
        <f aca="false">B182</f>
        <v>199.99</v>
      </c>
      <c r="C224" s="99"/>
      <c r="D224" s="109"/>
      <c r="E224" s="99" t="n">
        <f aca="false">E182</f>
        <v>22469.2003774934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1369.01912522667</v>
      </c>
      <c r="B230" s="99" t="n">
        <f aca="false">B167</f>
        <v>11.7818181818182</v>
      </c>
      <c r="C230" s="183"/>
      <c r="D230" s="183"/>
      <c r="E230" s="99" t="n">
        <f aca="false">E167</f>
        <v>1380.80094340849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2216.73335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</v>
      </c>
      <c r="C255" s="194"/>
      <c r="D255" s="195" t="s">
        <v>215</v>
      </c>
      <c r="E255" s="195"/>
      <c r="F255" s="196" t="n">
        <f aca="false">(B254-F254)+B255</f>
        <v>-15.91002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-15.91002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14136.9270328096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6255.17290161953</v>
      </c>
      <c r="C86" s="130" t="n">
        <f aca="false">(B82/((1+B84)^(B85+1)))</f>
        <v>6255.17290161953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 t="n">
        <f aca="false">((1-(1/((1+B84)^B85)))/B84)</f>
        <v>10.2599315027351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13661.4970983805</v>
      </c>
      <c r="C88" s="130" t="n">
        <f aca="false">B81-B86</f>
        <v>13661.4970983805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1331.53882116451</v>
      </c>
      <c r="C89" s="130" t="n">
        <f aca="false">(B88/B87)</f>
        <v>1331.53882116451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14646.9270328096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14646.9270328096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14.1381818181818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1331.53882116451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1345.67700298269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1331.53882116451</v>
      </c>
      <c r="B167" s="174" t="n">
        <f aca="false">B94</f>
        <v>14.1381818181818</v>
      </c>
      <c r="C167" s="171"/>
      <c r="D167" s="171"/>
      <c r="E167" s="174" t="n">
        <f aca="false">B96</f>
        <v>1345.67700298269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-5653.07696719039</v>
      </c>
      <c r="B182" s="99" t="str">
        <f aca="false">B114</f>
        <v>239.99</v>
      </c>
      <c r="C182" s="99"/>
      <c r="D182" s="23"/>
      <c r="E182" s="99" t="n">
        <f aca="false">E179+A182+B182+A185</f>
        <v>22096.9170328096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216.735016666667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1345.67700298269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1331.53882116451</v>
      </c>
      <c r="B212" s="174" t="n">
        <f aca="false">B167</f>
        <v>14.1381818181818</v>
      </c>
      <c r="C212" s="171"/>
      <c r="D212" s="171"/>
      <c r="E212" s="174" t="n">
        <f aca="false">E167</f>
        <v>1345.67700298269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-5653.07696719039</v>
      </c>
      <c r="B224" s="99" t="str">
        <f aca="false">B182</f>
        <v>239.99</v>
      </c>
      <c r="C224" s="99"/>
      <c r="D224" s="109"/>
      <c r="E224" s="99" t="n">
        <f aca="false">E182</f>
        <v>22096.9170328096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1331.53882116451</v>
      </c>
      <c r="B230" s="99" t="n">
        <f aca="false">B167</f>
        <v>14.1381818181818</v>
      </c>
      <c r="C230" s="183"/>
      <c r="D230" s="183"/>
      <c r="E230" s="99" t="n">
        <f aca="false">E167</f>
        <v>1345.67700298269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E188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2216.73501666667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121.591666666667</v>
      </c>
      <c r="C255" s="194"/>
      <c r="D255" s="195" t="s">
        <v>215</v>
      </c>
      <c r="E255" s="195"/>
      <c r="F255" s="196" t="n">
        <f aca="false">(B254-F254)+B255</f>
        <v>-15.9083533333333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-15.9083533333333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262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13773.6324124577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6421.35126042292</v>
      </c>
      <c r="C86" s="130" t="n">
        <f aca="false">(B82/((1+B84)^(B85+1)))</f>
        <v>6421.35126042292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13495.3187395771</v>
      </c>
      <c r="C88" s="130" t="n">
        <f aca="false">B81-B86</f>
        <v>13495.3187395771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1298.51203749615</v>
      </c>
      <c r="C89" s="130" t="n">
        <f aca="false">(B88/B87)</f>
        <v>1298.51203749615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14283.6324124577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14283.6324124577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12.7636363636364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1298.51203749615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1311.27567385979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1298.51203749615</v>
      </c>
      <c r="B167" s="174" t="n">
        <f aca="false">B94</f>
        <v>12.7636363636364</v>
      </c>
      <c r="C167" s="171"/>
      <c r="D167" s="171"/>
      <c r="E167" s="174" t="n">
        <f aca="false">B96</f>
        <v>1311.27567385979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-6016.37158754231</v>
      </c>
      <c r="B182" s="99" t="str">
        <f aca="false">B114</f>
        <v>199.99</v>
      </c>
      <c r="C182" s="99"/>
      <c r="D182" s="23"/>
      <c r="E182" s="99" t="n">
        <f aca="false">E179+A182+B182+A185</f>
        <v>21693.6224124577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="YES" , (H36*A108)*0.1 , 0)</f>
        <v>3.24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217.81335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1311.27567385979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1298.51203749615</v>
      </c>
      <c r="B212" s="174" t="n">
        <f aca="false">B167</f>
        <v>12.7636363636364</v>
      </c>
      <c r="C212" s="171"/>
      <c r="D212" s="171"/>
      <c r="E212" s="174" t="n">
        <f aca="false">E167</f>
        <v>1311.27567385979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-6016.37158754231</v>
      </c>
      <c r="B224" s="99" t="str">
        <f aca="false">B182</f>
        <v>199.99</v>
      </c>
      <c r="C224" s="99"/>
      <c r="D224" s="109"/>
      <c r="E224" s="99" t="n">
        <f aca="false">E182</f>
        <v>21693.6224124577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1298.51203749615</v>
      </c>
      <c r="B230" s="99" t="n">
        <f aca="false">B167</f>
        <v>12.7636363636364</v>
      </c>
      <c r="C230" s="183"/>
      <c r="D230" s="183"/>
      <c r="E230" s="99" t="n">
        <f aca="false">E167</f>
        <v>1311.27567385979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3.24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2217.81335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132.39</v>
      </c>
      <c r="C255" s="194"/>
      <c r="D255" s="195" t="s">
        <v>215</v>
      </c>
      <c r="E255" s="195"/>
      <c r="F255" s="196" t="n">
        <f aca="false">(B254-F254)+B255</f>
        <v>-5.11001999999996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32.4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-5.11001999999996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10859.600336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10936.2614920629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911.355124338577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983.355124338577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911.355124338577</v>
      </c>
      <c r="B128" s="320" t="n">
        <f aca="false">IF(A105="YES", B89, 0)</f>
        <v>72</v>
      </c>
      <c r="C128" s="325"/>
      <c r="D128" s="320" t="n">
        <f aca="false">B91</f>
        <v>983.355124338577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8202.1961190472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8850.1961190472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911.355124338577</v>
      </c>
      <c r="B137" s="38" t="n">
        <f aca="false">IF(A105="YES", B89, 0)</f>
        <v>72</v>
      </c>
      <c r="C137" s="316"/>
      <c r="D137" s="38" t="n">
        <f aca="false">B91</f>
        <v>983.355124338577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983.355124338577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911.355124338577</v>
      </c>
      <c r="B171" s="354" t="n">
        <f aca="false">IF(A105="YES", B89, 0)</f>
        <v>72</v>
      </c>
      <c r="C171" s="357"/>
      <c r="D171" s="354" t="n">
        <f aca="false">B91</f>
        <v>983.355124338577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8202.1961190472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8850.1961190472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911.355124338577</v>
      </c>
      <c r="B180" s="99" t="n">
        <f aca="false">IF(A105="YES", B89, 0)</f>
        <v>72</v>
      </c>
      <c r="C180" s="352"/>
      <c r="D180" s="99" t="n">
        <f aca="false">B91</f>
        <v>983.355124338577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9049.66694666667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9126.32810272959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760.527341894133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820.527341894133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760.527341894133</v>
      </c>
      <c r="B128" s="320" t="n">
        <f aca="false">IF(A105="YES", B89, 0)</f>
        <v>60</v>
      </c>
      <c r="C128" s="325"/>
      <c r="D128" s="320" t="n">
        <f aca="false">B91</f>
        <v>820.527341894133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6844.7460770472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7384.7460770472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760.527341894133</v>
      </c>
      <c r="B137" s="38" t="n">
        <f aca="false">IF(A105="YES", B89, 0)</f>
        <v>60</v>
      </c>
      <c r="C137" s="316"/>
      <c r="D137" s="38" t="n">
        <f aca="false">B91</f>
        <v>820.527341894133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820.527341894133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760.527341894133</v>
      </c>
      <c r="B171" s="354" t="n">
        <f aca="false">IF(A105="YES", B89, 0)</f>
        <v>60</v>
      </c>
      <c r="C171" s="357"/>
      <c r="D171" s="354" t="n">
        <f aca="false">B91</f>
        <v>820.527341894133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6844.7460770472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7384.7460770472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760.527341894133</v>
      </c>
      <c r="B180" s="99" t="n">
        <f aca="false">IF(A105="YES", B89, 0)</f>
        <v>60</v>
      </c>
      <c r="C180" s="352"/>
      <c r="D180" s="99" t="n">
        <f aca="false">B91</f>
        <v>820.527341894133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45113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284.722166666667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287.388833333333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287.388833333333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287.388833333333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8736.3832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8798.05593336023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733.171327780019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811.171327780019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733.171327780019</v>
      </c>
      <c r="B134" s="320" t="n">
        <f aca="false">IF(A111="YES", B95, 0)</f>
        <v>78</v>
      </c>
      <c r="C134" s="324"/>
      <c r="D134" s="320" t="n">
        <f aca="false">B97</f>
        <v>811.171327780019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733.171327780019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811.171327780019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733.171327780019</v>
      </c>
      <c r="B143" s="38" t="n">
        <f aca="false">IF(A111="YES", B95, 0)</f>
        <v>78</v>
      </c>
      <c r="C143" s="316"/>
      <c r="D143" s="38" t="n">
        <f aca="false">B97</f>
        <v>811.171327780019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811.171327780019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733.171327780019</v>
      </c>
      <c r="B177" s="354" t="n">
        <f aca="false">IF(A111="YES", B95, 0)</f>
        <v>78</v>
      </c>
      <c r="C177" s="356"/>
      <c r="D177" s="354" t="n">
        <f aca="false">A177+B177</f>
        <v>811.171327780019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733.171327780019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811.171327780019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733.171327780019</v>
      </c>
      <c r="B186" s="99" t="n">
        <f aca="false">IF(A111="YES", B95, 0)</f>
        <v>78</v>
      </c>
      <c r="C186" s="352"/>
      <c r="D186" s="99" t="n">
        <f aca="false">B97</f>
        <v>811.171327780019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3231.31164666667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3231.31164666667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45113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234.722166666667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237.388833333333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237.388833333333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7280.31933333333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7341.99206669356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611.832672224463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611.832672224463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611.832672224463</v>
      </c>
      <c r="B134" s="320" t="n">
        <f aca="false">IF(A111="YES", B95, 0)</f>
        <v>0</v>
      </c>
      <c r="C134" s="325"/>
      <c r="D134" s="320" t="n">
        <f aca="false">B97</f>
        <v>611.832672224463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5506.49405002017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5506.49405002017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611.832672224463</v>
      </c>
      <c r="B143" s="38" t="n">
        <f aca="false">IF(A111="YES", B95, 0)</f>
        <v>0</v>
      </c>
      <c r="C143" s="316"/>
      <c r="D143" s="38" t="n">
        <f aca="false">B97</f>
        <v>611.832672224463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611.832672224463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611.832672224463</v>
      </c>
      <c r="B177" s="354" t="n">
        <f aca="false">IF(A111="YES", B95, 0)</f>
        <v>0</v>
      </c>
      <c r="C177" s="357"/>
      <c r="D177" s="354" t="n">
        <f aca="false">B91</f>
        <v>7280.31933333333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5506.49405002017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5506.49405002017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611.832672224463</v>
      </c>
      <c r="B186" s="99" t="n">
        <f aca="false">IF(A111="YES", B95, 0)</f>
        <v>0</v>
      </c>
      <c r="C186" s="352"/>
      <c r="D186" s="99" t="n">
        <f aca="false">B97</f>
        <v>611.832672224463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3051.30998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3051.30998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838.527341894133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78</v>
      </c>
      <c r="C134" s="325"/>
      <c r="D134" s="320" t="n">
        <f aca="false">B97</f>
        <v>838.527341894133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760.527341894133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838.527341894133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78</v>
      </c>
      <c r="C143" s="316"/>
      <c r="D143" s="38" t="n">
        <f aca="false">B97</f>
        <v>838.527341894133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1403.24633333333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1363.24833333333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647.09002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838.527341894133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78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760.527341894133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838.527341894133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78</v>
      </c>
      <c r="C186" s="352"/>
      <c r="D186" s="99" t="n">
        <f aca="false">B97</f>
        <v>838.527341894133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647.09002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2187.49026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2187.49026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11315.9228474482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942.99357062068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1020.99357062068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942.99357062068</v>
      </c>
      <c r="B134" s="320" t="n">
        <f aca="false">IF(A111="YES", B95, 0)</f>
        <v>78</v>
      </c>
      <c r="C134" s="325"/>
      <c r="D134" s="320" t="n">
        <f aca="false">B97</f>
        <v>1020.99357062068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942.99357062068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1020.99357062068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942.99357062068</v>
      </c>
      <c r="B143" s="38" t="n">
        <f aca="false">IF(A111="YES", B95, 0)</f>
        <v>78</v>
      </c>
      <c r="C143" s="316"/>
      <c r="D143" s="38" t="n">
        <f aca="false">B97</f>
        <v>1020.99357062068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1020.99357062068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942.99357062068</v>
      </c>
      <c r="B177" s="354" t="n">
        <f aca="false">IF(A111="YES", B95, 0)</f>
        <v>78</v>
      </c>
      <c r="C177" s="357"/>
      <c r="D177" s="354" t="n">
        <f aca="false">B97</f>
        <v>1020.99357062068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942.99357062068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1020.99357062068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942.99357062068</v>
      </c>
      <c r="B186" s="99" t="n">
        <f aca="false">IF(A111="YES", B95, 0)</f>
        <v>78</v>
      </c>
      <c r="C186" s="352"/>
      <c r="D186" s="99" t="n">
        <f aca="false">B97</f>
        <v>1020.99357062068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65</v>
      </c>
      <c r="C134" s="325"/>
      <c r="D134" s="320" t="n">
        <f aca="false">B97</f>
        <v>851.929677065125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786.929677065125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851.929677065125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65</v>
      </c>
      <c r="C143" s="316"/>
      <c r="D143" s="38" t="n">
        <f aca="false">B97</f>
        <v>851.929677065125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643.49002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65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786.929677065125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851.929677065125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65</v>
      </c>
      <c r="C186" s="352"/>
      <c r="D186" s="99" t="n">
        <f aca="false">B97</f>
        <v>851.929677065125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643.49002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9.00</v>
      </c>
      <c r="E32" s="222"/>
      <c r="F32" s="63"/>
      <c r="G32" s="223" t="s">
        <v>240</v>
      </c>
      <c r="H32" s="221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509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350</v>
      </c>
      <c r="B41" s="237" t="n">
        <f aca="false">IF(B38="YES", D38+A41, D38)</f>
        <v>509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9.00</v>
      </c>
      <c r="I44" s="393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510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772.227341894133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11.7</v>
      </c>
      <c r="C134" s="325"/>
      <c r="D134" s="320" t="n">
        <f aca="false">B97</f>
        <v>772.227341894133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760.527341894133</v>
      </c>
      <c r="C137" s="316"/>
      <c r="D137" s="38" t="n">
        <f aca="false">IF(A111="YES", B95*B63, 0)</f>
        <v>11.7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772.227341894133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11.7</v>
      </c>
      <c r="C143" s="316"/>
      <c r="D143" s="38" t="n">
        <f aca="false">B97</f>
        <v>772.227341894133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2.16</v>
      </c>
      <c r="H148" s="99" t="n">
        <f aca="false">G108-100</f>
        <v>139.988</v>
      </c>
      <c r="I148" s="99"/>
      <c r="J148" s="99" t="n">
        <f aca="false">(H145+J145+G148+H148)-H151</f>
        <v>1391.00633333333</v>
      </c>
      <c r="K148" s="101"/>
      <c r="L148" s="63"/>
      <c r="M148" s="107" t="n">
        <f aca="false">IF(M111="YES", ((A41*N111)*0.1)*(M133), 0)</f>
        <v>2.16</v>
      </c>
      <c r="N148" s="99" t="n">
        <f aca="false">M108-100</f>
        <v>99.99</v>
      </c>
      <c r="O148" s="99"/>
      <c r="P148" s="99" t="n">
        <f aca="false">(N145+P145+M148+N148)-N151</f>
        <v>1351.00833333333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628.73002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772.227341894133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11.7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760.527341894133</v>
      </c>
      <c r="C180" s="352"/>
      <c r="D180" s="99" t="n">
        <f aca="false">IF(A111="YES", B95*B63, 0)</f>
        <v>11.7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772.227341894133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11.7</v>
      </c>
      <c r="C186" s="352"/>
      <c r="D186" s="99" t="n">
        <f aca="false">B97</f>
        <v>772.227341894133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3.24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628.73002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372.39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2003.89026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2003.89026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2685.16694666667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223.763912222222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73.6750729649052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10510.2754089649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875.856284080409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875.856284080409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875.856284080409</v>
      </c>
      <c r="B134" s="320" t="n">
        <f aca="false">IF(A111="YES", B95, 0)</f>
        <v>0</v>
      </c>
      <c r="C134" s="325"/>
      <c r="D134" s="320" t="n">
        <f aca="false">B97</f>
        <v>875.856284080409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875.856284080409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875.856284080409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875.856284080409</v>
      </c>
      <c r="B143" s="38" t="n">
        <f aca="false">IF(A111="YES", B95, 0)</f>
        <v>0</v>
      </c>
      <c r="C143" s="316"/>
      <c r="D143" s="38" t="n">
        <f aca="false">B97</f>
        <v>875.856284080409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225.491686666667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875.856284080409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875.856284080409</v>
      </c>
      <c r="B177" s="354" t="n">
        <f aca="false">IF(A111="YES", B95, 0)</f>
        <v>0</v>
      </c>
      <c r="C177" s="357"/>
      <c r="D177" s="354" t="n">
        <f aca="false">B91</f>
        <v>10436.600336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875.856284080409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875.856284080409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875.856284080409</v>
      </c>
      <c r="B186" s="99" t="n">
        <f aca="false">IF(A111="YES", B95, 0)</f>
        <v>0</v>
      </c>
      <c r="C186" s="352"/>
      <c r="D186" s="99" t="n">
        <f aca="false">B97</f>
        <v>875.856284080409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225.491686666667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1731.49192666667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1731.49192666667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73.6750729649052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0</v>
      </c>
      <c r="C134" s="325"/>
      <c r="D134" s="320" t="n">
        <f aca="false">B97</f>
        <v>786.929677065125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7082.36709358612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7082.36709358612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0</v>
      </c>
      <c r="C143" s="316"/>
      <c r="D143" s="38" t="n">
        <f aca="false">B97</f>
        <v>786.929677065125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0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7082.36709358612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7082.36709358612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0</v>
      </c>
      <c r="C186" s="352"/>
      <c r="D186" s="99" t="n">
        <f aca="false">B97</f>
        <v>786.929677065125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1971.49026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1971.49026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3697.61082582053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110.83335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26600.004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8727.24299182288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839.730450070947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9237.03495078042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9237.03495078042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22.1236363636364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839.730450070947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861.854086434584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26600.004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839.730450070947</v>
      </c>
      <c r="B167" s="174" t="n">
        <f aca="false">B94</f>
        <v>22.1236363636364</v>
      </c>
      <c r="C167" s="171"/>
      <c r="D167" s="171"/>
      <c r="E167" s="174" t="n">
        <f aca="false">B96</f>
        <v>861.854086434584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26600.004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2677.03095078042</v>
      </c>
      <c r="B182" s="99" t="str">
        <f aca="false">B114</f>
        <v>239.99</v>
      </c>
      <c r="C182" s="99"/>
      <c r="D182" s="23"/>
      <c r="E182" s="99" t="n">
        <f aca="false">E179+A182+B182+A185</f>
        <v>29527.0249507804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110.83335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215.505016666667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861.854086434584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839.730450070947</v>
      </c>
      <c r="B212" s="174" t="n">
        <f aca="false">B167</f>
        <v>22.1236363636364</v>
      </c>
      <c r="C212" s="171"/>
      <c r="D212" s="171"/>
      <c r="E212" s="174" t="n">
        <f aca="false">E167</f>
        <v>861.854086434584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26600.004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2677.03095078042</v>
      </c>
      <c r="B224" s="99" t="str">
        <f aca="false">B182</f>
        <v>239.99</v>
      </c>
      <c r="C224" s="99"/>
      <c r="D224" s="109"/>
      <c r="E224" s="99" t="n">
        <f aca="false">E182</f>
        <v>29527.0249507804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839.730450070947</v>
      </c>
      <c r="B230" s="99" t="n">
        <f aca="false">B167</f>
        <v>22.1236363636364</v>
      </c>
      <c r="C230" s="183"/>
      <c r="D230" s="183"/>
      <c r="E230" s="99" t="n">
        <f aca="false">E167</f>
        <v>861.854086434584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110.83335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2215.50501666667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133.00002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146.791666666667</v>
      </c>
      <c r="C255" s="194"/>
      <c r="D255" s="195" t="s">
        <v>215</v>
      </c>
      <c r="E255" s="195"/>
      <c r="F255" s="196" t="n">
        <f aca="false">(B254-F254)+B255</f>
        <v>13.7916466666667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9237.03495078042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133.00002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13.7916466666667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2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532.171001673586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519.171001673586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23964.7054288077</v>
      </c>
      <c r="N39" s="1" t="n">
        <f aca="false">K39-L39</f>
        <v>-3048.03542880767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-3048.03542880767</v>
      </c>
      <c r="N40" s="1" t="n">
        <f aca="false">N38-N39</f>
        <v>5959.71542880767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15008.2298512523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5908.44014874765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519.171001673586</v>
      </c>
      <c r="L47" s="2" t="n">
        <f aca="false">L49-K42</f>
        <v>787</v>
      </c>
      <c r="M47" s="1" t="n">
        <f aca="false">K47-L47</f>
        <v>-267.828998326414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532.171001673586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532.171001673586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1907.18557321794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519.171001673586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519.171001673586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532.171001673586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532.171001673586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17410.231242841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7589.77275715897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739.74887211827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8137.23759330097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8137.23759330097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17.0181818181818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739.74887211827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756.767053936452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739.74887211827</v>
      </c>
      <c r="B167" s="174" t="n">
        <f aca="false">B94</f>
        <v>17.0181818181818</v>
      </c>
      <c r="C167" s="171"/>
      <c r="D167" s="171"/>
      <c r="E167" s="174" t="n">
        <f aca="false">B96</f>
        <v>756.767053936452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3177.23359330098</v>
      </c>
      <c r="B182" s="99" t="str">
        <f aca="false">B114</f>
        <v>199.99</v>
      </c>
      <c r="C182" s="99"/>
      <c r="D182" s="23"/>
      <c r="E182" s="99" t="n">
        <f aca="false">E179+A182+B182+A185</f>
        <v>28387.227593301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3.12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207.276683333333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756.767053936452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739.74887211827</v>
      </c>
      <c r="B212" s="174" t="n">
        <f aca="false">B167</f>
        <v>17.0181818181818</v>
      </c>
      <c r="C212" s="171"/>
      <c r="D212" s="171"/>
      <c r="E212" s="174" t="n">
        <f aca="false">E167</f>
        <v>756.767053936452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3177.23359330098</v>
      </c>
      <c r="B224" s="99" t="str">
        <f aca="false">B182</f>
        <v>199.99</v>
      </c>
      <c r="C224" s="99"/>
      <c r="D224" s="109"/>
      <c r="E224" s="99" t="n">
        <f aca="false">E182</f>
        <v>28387.227593301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739.74887211827</v>
      </c>
      <c r="B230" s="99" t="n">
        <f aca="false">B167</f>
        <v>17.0181818181818</v>
      </c>
      <c r="C230" s="183"/>
      <c r="D230" s="183"/>
      <c r="E230" s="99" t="n">
        <f aca="false">E167</f>
        <v>756.767053936452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3.12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2207.27668333333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131.19</v>
      </c>
      <c r="C255" s="194"/>
      <c r="D255" s="195" t="s">
        <v>215</v>
      </c>
      <c r="E255" s="195"/>
      <c r="F255" s="196" t="n">
        <f aca="false">(B254-F254)+B255</f>
        <v>6.18998000000005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8137.23759330097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6.18998000000005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17910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980.1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1399.16656589948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1366.49656589948</v>
      </c>
      <c r="B36" s="228" t="n">
        <f aca="false">IF(B26="YES", K42, "0.00")</f>
        <v>32.67</v>
      </c>
      <c r="C36" s="228"/>
      <c r="D36" s="228"/>
      <c r="E36" s="228" t="n">
        <f aca="false">K31</f>
        <v>17910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14097.8380884798</v>
      </c>
      <c r="N39" s="1" t="n">
        <f aca="false">K39-L39</f>
        <v>6818.83191152015</v>
      </c>
      <c r="P39" s="208"/>
    </row>
    <row r="40" customFormat="false" ht="17.35" hidden="false" customHeight="false" outlineLevel="0" collapsed="false">
      <c r="A40" s="103" t="n">
        <f aca="false">E36*A45/100</f>
        <v>7164</v>
      </c>
      <c r="B40" s="103" t="n">
        <f aca="false">IF(B26="YES", K42, "0.00")</f>
        <v>32.67</v>
      </c>
      <c r="C40" s="103"/>
      <c r="D40" s="103"/>
      <c r="E40" s="179" t="n">
        <f aca="false">K32</f>
        <v>980.1</v>
      </c>
      <c r="F40" s="183"/>
      <c r="G40" s="183"/>
      <c r="H40" s="47"/>
      <c r="J40" s="2" t="s">
        <v>106</v>
      </c>
      <c r="K40" s="2" t="n">
        <f aca="false">(A40)/1.2</f>
        <v>5970</v>
      </c>
      <c r="L40" s="2" t="n">
        <f aca="false">K39-L39</f>
        <v>6818.83191152015</v>
      </c>
      <c r="N40" s="1" t="n">
        <f aca="false">N38-N39</f>
        <v>-3907.15191152015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32.67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5365.21749772314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15551.4525022769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1366.49656589948</v>
      </c>
      <c r="L47" s="2" t="n">
        <f aca="false">L49-K42</f>
        <v>767.33</v>
      </c>
      <c r="M47" s="1" t="n">
        <f aca="false">K47-L47</f>
        <v>599.166565899478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1399.16656589948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1399.16656589948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6412.83449075841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114.58335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1366.49656589948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1366.49656589948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1399.16656589948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1399.16656589948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7164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7164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7164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6223.89703711143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6223.89703711143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6223.89703711143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21276.1069628886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2073.7084801411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22810.7932815521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22810.7932815521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51.3216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127.413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106.92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128.304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2073.7084801411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2125.0300801411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2073.7084801411</v>
      </c>
      <c r="B167" s="174" t="n">
        <f aca="false">B94</f>
        <v>51.3216</v>
      </c>
      <c r="C167" s="171"/>
      <c r="D167" s="171"/>
      <c r="E167" s="174" t="n">
        <f aca="false">B96</f>
        <v>2125.0300801411</v>
      </c>
      <c r="F167" s="23"/>
      <c r="G167" s="23"/>
      <c r="H167" s="33"/>
      <c r="J167" s="173" t="e">
        <f aca="false">K95</f>
        <v>#VALUE!</v>
      </c>
      <c r="K167" s="174" t="n">
        <f aca="false">K94</f>
        <v>127.413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106.92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128.304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7164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7164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7164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7164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2474.78928155215</v>
      </c>
      <c r="B182" s="99" t="str">
        <f aca="false">B114</f>
        <v>239.99</v>
      </c>
      <c r="C182" s="99"/>
      <c r="D182" s="23"/>
      <c r="E182" s="99" t="n">
        <f aca="false">E179+A182+B182+A185</f>
        <v>30224.7832815521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IF(A40=0,(E167+A185),(E170+A185))</f>
        <v>7174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7184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7174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7174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114.58335</v>
      </c>
      <c r="C188" s="130"/>
      <c r="D188" s="130"/>
      <c r="E188" s="99" t="n">
        <f aca="false">(E40*A108)*0.1*(C45/100)</f>
        <v>7.8408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29.403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19.602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19.602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222.415816666667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2125.0300801411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2073.7084801411</v>
      </c>
      <c r="B212" s="174" t="n">
        <f aca="false">B167</f>
        <v>51.3216</v>
      </c>
      <c r="C212" s="171"/>
      <c r="D212" s="171"/>
      <c r="E212" s="174" t="n">
        <f aca="false">E167</f>
        <v>2125.0300801411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2474.78928155215</v>
      </c>
      <c r="B224" s="99" t="str">
        <f aca="false">B182</f>
        <v>239.99</v>
      </c>
      <c r="C224" s="99"/>
      <c r="D224" s="109"/>
      <c r="E224" s="99" t="n">
        <f aca="false">E182</f>
        <v>30224.7832815521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2073.7084801411</v>
      </c>
      <c r="B230" s="99" t="n">
        <f aca="false">B167</f>
        <v>51.3216</v>
      </c>
      <c r="C230" s="183"/>
      <c r="D230" s="183"/>
      <c r="E230" s="99" t="n">
        <f aca="false">E167</f>
        <v>2125.0300801411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7164</v>
      </c>
      <c r="B233" s="99" t="n">
        <f aca="false">E185</f>
        <v>7174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114.58335</v>
      </c>
      <c r="C240" s="130"/>
      <c r="D240" s="130"/>
      <c r="E240" s="99" t="n">
        <f aca="false">E188</f>
        <v>7.8408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2222.41581666667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178.399666666667</v>
      </c>
      <c r="C255" s="194"/>
      <c r="D255" s="195" t="s">
        <v>215</v>
      </c>
      <c r="E255" s="195"/>
      <c r="F255" s="196" t="n">
        <f aca="false">(B254-F254)+B255</f>
        <v>40.8996466666667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22810.7932815521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78.408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40.8996466666667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4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2004.1486482352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7127.24299182288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685.779343017736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7543.57277319509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7543.57277319509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18.4363636363636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685.779343017736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704.215706654099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685.779343017736</v>
      </c>
      <c r="B167" s="174" t="n">
        <f aca="false">B94</f>
        <v>18.4363636363636</v>
      </c>
      <c r="C167" s="171"/>
      <c r="D167" s="171"/>
      <c r="E167" s="174" t="n">
        <f aca="false">B96</f>
        <v>704.215706654099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2583.56877319509</v>
      </c>
      <c r="B182" s="99" t="str">
        <f aca="false">B114</f>
        <v>199.99</v>
      </c>
      <c r="C182" s="99"/>
      <c r="D182" s="23"/>
      <c r="E182" s="99" t="n">
        <f aca="false">E179+A182+B182+A185</f>
        <v>27793.5627731951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20050</v>
      </c>
      <c r="F185" s="0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208.836683333333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704.215706654099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685.779343017736</v>
      </c>
      <c r="B212" s="174" t="n">
        <f aca="false">B167</f>
        <v>18.4363636363636</v>
      </c>
      <c r="C212" s="171"/>
      <c r="D212" s="171"/>
      <c r="E212" s="174" t="n">
        <f aca="false">E167</f>
        <v>704.215706654099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2583.56877319509</v>
      </c>
      <c r="B224" s="99" t="str">
        <f aca="false">B182</f>
        <v>199.99</v>
      </c>
      <c r="C224" s="99"/>
      <c r="D224" s="109"/>
      <c r="E224" s="99" t="n">
        <f aca="false">E182</f>
        <v>27793.5627731951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685.779343017736</v>
      </c>
      <c r="B230" s="99" t="n">
        <f aca="false">B167</f>
        <v>18.4363636363636</v>
      </c>
      <c r="C230" s="183"/>
      <c r="D230" s="183"/>
      <c r="E230" s="99" t="n">
        <f aca="false">E167</f>
        <v>704.215706654099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2208.83668333333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</v>
      </c>
      <c r="C255" s="194"/>
      <c r="D255" s="195" t="s">
        <v>215</v>
      </c>
      <c r="E255" s="195"/>
      <c r="F255" s="196" t="n">
        <f aca="false">(B254-F254)+B255</f>
        <v>21.78998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7543.57277319509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21.78998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1469.34561247697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1444.84561247697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20113.0953566995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803.574643300522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4173.84725752204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16742.822742478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1444.84561247697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1469.34561247697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1469.34561247697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51.1666666666667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1444.84561247697</v>
      </c>
      <c r="C83" s="472"/>
      <c r="D83" s="211"/>
      <c r="E83" s="465" t="n">
        <f aca="false">B83+E80+E77+E64</f>
        <v>1679.46600618068</v>
      </c>
      <c r="F83" s="63"/>
      <c r="G83" s="304" t="s">
        <v>104</v>
      </c>
      <c r="H83" s="305" t="n">
        <f aca="false">H47</f>
        <v>1444.84561247697</v>
      </c>
      <c r="I83" s="211"/>
      <c r="J83" s="211"/>
      <c r="K83" s="212"/>
      <c r="L83" s="63"/>
      <c r="M83" s="304" t="s">
        <v>104</v>
      </c>
      <c r="N83" s="305" t="n">
        <f aca="false">H47</f>
        <v>1444.84561247697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20375.8142963903</v>
      </c>
      <c r="C85" s="472"/>
      <c r="D85" s="472"/>
      <c r="E85" s="465" t="n">
        <f aca="false">B85/(B58+B57)</f>
        <v>1697.98452469919</v>
      </c>
      <c r="F85" s="63"/>
      <c r="G85" s="287" t="s">
        <v>114</v>
      </c>
      <c r="H85" s="127" t="n">
        <f aca="false">((H83*H29)+H81)*1.2</f>
        <v>21559.0768196684</v>
      </c>
      <c r="I85" s="211"/>
      <c r="J85" s="211"/>
      <c r="K85" s="212"/>
      <c r="L85" s="63"/>
      <c r="M85" s="287" t="s">
        <v>114</v>
      </c>
      <c r="N85" s="127" t="n">
        <f aca="false">((N83*H29)+N81)</f>
        <v>17952.1473497237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172.606736677772</v>
      </c>
      <c r="C86" s="472" t="s">
        <v>227</v>
      </c>
      <c r="D86" s="211"/>
      <c r="E86" s="465" t="n">
        <f aca="false">B86/(B58+B57)</f>
        <v>14.3838947231477</v>
      </c>
      <c r="F86" s="63"/>
      <c r="G86" s="210" t="s">
        <v>115</v>
      </c>
      <c r="H86" s="299" t="n">
        <f aca="false">((((H83*H29)+H81))/(1-H70))*H70</f>
        <v>152.191950118676</v>
      </c>
      <c r="I86" s="211"/>
      <c r="J86" s="211"/>
      <c r="K86" s="212"/>
      <c r="L86" s="63"/>
      <c r="M86" s="210" t="s">
        <v>115</v>
      </c>
      <c r="N86" s="299" t="n">
        <f aca="false">(N85/(1-N70))*N70</f>
        <v>152.075471699958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20548.4210330681</v>
      </c>
      <c r="C87" s="472"/>
      <c r="D87" s="474"/>
      <c r="E87" s="465" t="n">
        <f aca="false">E86+E85</f>
        <v>1712.36841942234</v>
      </c>
      <c r="F87" s="63"/>
      <c r="G87" s="284" t="s">
        <v>116</v>
      </c>
      <c r="H87" s="129" t="n">
        <f aca="false">IF(H110="YES",((H85+H86)-K114),(H85+H86))</f>
        <v>21711.2687697871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18104.2228214236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1712.36841942234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1277.1334570463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1064.95428361315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1744.21841942234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1360.14522175218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1134.13075420139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1277.1334570463</v>
      </c>
      <c r="H127" s="174" t="n">
        <f aca="false">IF(G105="YES", H89*H57, 0)</f>
        <v>498.070588235294</v>
      </c>
      <c r="I127" s="174"/>
      <c r="J127" s="333" t="n">
        <f aca="false">H91</f>
        <v>1360.14522175218</v>
      </c>
      <c r="K127" s="212"/>
      <c r="L127" s="63"/>
      <c r="M127" s="332" t="n">
        <f aca="false">N90</f>
        <v>1064.95428361315</v>
      </c>
      <c r="N127" s="174" t="n">
        <f aca="false">IF(M105="YES", N89*N57, 0)</f>
        <v>415.058823529412</v>
      </c>
      <c r="O127" s="174"/>
      <c r="P127" s="174" t="n">
        <f aca="false">N91</f>
        <v>1134.13075420139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1712.36841942234</v>
      </c>
      <c r="B128" s="320" t="n">
        <f aca="false">IF(A105="YES", B89, 0)</f>
        <v>31.85</v>
      </c>
      <c r="C128" s="324"/>
      <c r="D128" s="320" t="n">
        <f aca="false">B91</f>
        <v>1744.21841942234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1712.36841942234</v>
      </c>
      <c r="C131" s="316"/>
      <c r="D131" s="38" t="n">
        <f aca="false">IF(A105="YES", B89*B57, 0)</f>
        <v>31.85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7662.80074227779</v>
      </c>
      <c r="H133" s="99" t="n">
        <f aca="false">IF(G105="YES", H89*H57, 0)</f>
        <v>498.070588235294</v>
      </c>
      <c r="I133" s="217"/>
      <c r="J133" s="181" t="n">
        <f aca="false">H91*H57</f>
        <v>8160.87133051308</v>
      </c>
      <c r="K133" s="212"/>
      <c r="L133" s="63"/>
      <c r="M133" s="182" t="n">
        <f aca="false">N90*N57</f>
        <v>6389.72570167893</v>
      </c>
      <c r="N133" s="99" t="n">
        <f aca="false">IF(M105="YES", N89*N57, 0)</f>
        <v>415.058823529412</v>
      </c>
      <c r="O133" s="217"/>
      <c r="P133" s="181" t="n">
        <f aca="false">N91*N57</f>
        <v>6804.78452520834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1744.21841942234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1712.36841942234</v>
      </c>
      <c r="B137" s="38" t="n">
        <f aca="false">IF(A105="YES", B89, 0)</f>
        <v>31.85</v>
      </c>
      <c r="C137" s="316"/>
      <c r="D137" s="38" t="n">
        <f aca="false">B91</f>
        <v>1744.21841942234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8.82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634.31002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1360.14522175218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1134.13075420139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1744.21841942234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1712.36841942234</v>
      </c>
      <c r="B177" s="354" t="n">
        <f aca="false">IF(A105="YES", B89, 0)</f>
        <v>31.85</v>
      </c>
      <c r="C177" s="356"/>
      <c r="D177" s="354" t="n">
        <f aca="false">B91</f>
        <v>1744.21841942234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1712.36841942234</v>
      </c>
      <c r="C180" s="352"/>
      <c r="D180" s="99" t="n">
        <f aca="false">IF(A105="YES", B89*B57, 0)</f>
        <v>31.85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1744.21841942234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1712.36841942234</v>
      </c>
      <c r="B186" s="99" t="n">
        <f aca="false">IF(A105="YES", B89, 0)</f>
        <v>31.85</v>
      </c>
      <c r="C186" s="352"/>
      <c r="D186" s="99" t="n">
        <f aca="false">B91</f>
        <v>1744.21841942234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8.82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634.31002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428.19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2059.69026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2059.69026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172.606736677772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1508.85615626361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1484.35615626361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19677.8294599218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1238.84054007824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4023.91312329236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16892.7568767076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11.3805280528022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1484.35615626361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1508.85615626361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1508.85615626361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3351.83361333333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279.319467777778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1484.35615626361</v>
      </c>
      <c r="C83" s="472"/>
      <c r="D83" s="211"/>
      <c r="E83" s="465" t="n">
        <f aca="false">B83+E80+E77+E64</f>
        <v>1745.15710552287</v>
      </c>
      <c r="F83" s="63"/>
      <c r="G83" s="304" t="s">
        <v>104</v>
      </c>
      <c r="H83" s="305" t="n">
        <f aca="false">H47</f>
        <v>1484.35615626361</v>
      </c>
      <c r="I83" s="211"/>
      <c r="J83" s="211"/>
      <c r="K83" s="212"/>
      <c r="L83" s="63"/>
      <c r="M83" s="304" t="s">
        <v>104</v>
      </c>
      <c r="N83" s="305" t="n">
        <f aca="false">H47</f>
        <v>1484.35615626361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25396.928986196</v>
      </c>
      <c r="C85" s="472"/>
      <c r="D85" s="472"/>
      <c r="E85" s="465" t="n">
        <f aca="false">B85/(B58+B57)</f>
        <v>2116.41074884967</v>
      </c>
      <c r="F85" s="63"/>
      <c r="G85" s="287" t="s">
        <v>114</v>
      </c>
      <c r="H85" s="127" t="n">
        <f aca="false">((H83*H29)+H81)*1.2</f>
        <v>22128.028650196</v>
      </c>
      <c r="I85" s="211"/>
      <c r="J85" s="211"/>
      <c r="K85" s="212"/>
      <c r="L85" s="63"/>
      <c r="M85" s="287" t="s">
        <v>114</v>
      </c>
      <c r="N85" s="127" t="n">
        <f aca="false">((N83*H29)+N81)</f>
        <v>18426.2738751633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179.284492641561</v>
      </c>
      <c r="C86" s="472" t="s">
        <v>227</v>
      </c>
      <c r="D86" s="211"/>
      <c r="E86" s="465" t="n">
        <f aca="false">B86/(B58+B57)</f>
        <v>14.9403743867968</v>
      </c>
      <c r="F86" s="63"/>
      <c r="G86" s="210" t="s">
        <v>115</v>
      </c>
      <c r="H86" s="299" t="n">
        <f aca="false">((((H83*H29)+H81))/(1-H70))*H70</f>
        <v>156.208350697229</v>
      </c>
      <c r="I86" s="211"/>
      <c r="J86" s="211"/>
      <c r="K86" s="212"/>
      <c r="L86" s="63"/>
      <c r="M86" s="210" t="s">
        <v>115</v>
      </c>
      <c r="N86" s="299" t="n">
        <f aca="false">(N85/(1-N70))*N70</f>
        <v>156.091872278511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25576.2134788375</v>
      </c>
      <c r="C87" s="472"/>
      <c r="D87" s="474"/>
      <c r="E87" s="465" t="n">
        <f aca="false">E86+E85</f>
        <v>2131.35112323646</v>
      </c>
      <c r="F87" s="63"/>
      <c r="G87" s="284" t="s">
        <v>116</v>
      </c>
      <c r="H87" s="129" t="n">
        <f aca="false">IF(H110="YES",((H85+H86)-K114),(H85+H86))</f>
        <v>22284.2370008932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18582.3657474418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35.28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2131.35112323646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1310.83747064078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1093.08033808481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2166.63112323646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1393.84923534666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1162.25680867305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1310.83747064078</v>
      </c>
      <c r="H127" s="174" t="n">
        <f aca="false">IF(G105="YES", H89*H57, 0)</f>
        <v>498.070588235294</v>
      </c>
      <c r="I127" s="174"/>
      <c r="J127" s="333" t="n">
        <f aca="false">H91</f>
        <v>1393.84923534666</v>
      </c>
      <c r="K127" s="212"/>
      <c r="L127" s="63"/>
      <c r="M127" s="332" t="n">
        <f aca="false">N90</f>
        <v>1093.08033808481</v>
      </c>
      <c r="N127" s="174" t="n">
        <f aca="false">IF(M105="YES", N89*N57, 0)</f>
        <v>415.058823529412</v>
      </c>
      <c r="O127" s="174"/>
      <c r="P127" s="174" t="n">
        <f aca="false">N91</f>
        <v>1162.25680867305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2131.35112323646</v>
      </c>
      <c r="B128" s="320" t="n">
        <f aca="false">IF(A105="YES", B89, 0)</f>
        <v>35.28</v>
      </c>
      <c r="C128" s="324"/>
      <c r="D128" s="320" t="n">
        <f aca="false">B91</f>
        <v>2166.63112323646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2131.35112323646</v>
      </c>
      <c r="C131" s="316"/>
      <c r="D131" s="38" t="n">
        <f aca="false">IF(A105="YES", B89*B57, 0)</f>
        <v>35.28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7865.02482384467</v>
      </c>
      <c r="H133" s="99" t="n">
        <f aca="false">IF(G105="YES", H89*H57, 0)</f>
        <v>498.070588235294</v>
      </c>
      <c r="I133" s="217"/>
      <c r="J133" s="181" t="n">
        <f aca="false">H91*H57</f>
        <v>8363.09541207996</v>
      </c>
      <c r="K133" s="212"/>
      <c r="L133" s="63"/>
      <c r="M133" s="182" t="n">
        <f aca="false">N90*N57</f>
        <v>6558.48202850888</v>
      </c>
      <c r="N133" s="99" t="n">
        <f aca="false">IF(M105="YES", N89*N57, 0)</f>
        <v>415.058823529412</v>
      </c>
      <c r="O133" s="217"/>
      <c r="P133" s="181" t="n">
        <f aca="false">N91*N57</f>
        <v>6973.5408520383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2166.63112323646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2131.35112323646</v>
      </c>
      <c r="B137" s="38" t="n">
        <f aca="false">IF(A105="YES", B89, 0)</f>
        <v>35.28</v>
      </c>
      <c r="C137" s="316"/>
      <c r="D137" s="38" t="n">
        <f aca="false">B91</f>
        <v>2166.63112323646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5.88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66.6583333333334</v>
      </c>
      <c r="B151" s="38" t="n">
        <f aca="false">(A148+B148+D148+A151)*(A143/B64)</f>
        <v>0</v>
      </c>
      <c r="C151" s="38"/>
      <c r="D151" s="38" t="n">
        <f aca="false">(A148+B148+D148+A151)-B151</f>
        <v>598.038353333333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1393.84923534666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1162.25680867305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2166.63112323646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2131.35112323646</v>
      </c>
      <c r="B177" s="354" t="n">
        <f aca="false">IF(A105="YES", B89, 0)</f>
        <v>35.28</v>
      </c>
      <c r="C177" s="356"/>
      <c r="D177" s="354" t="n">
        <f aca="false">B91</f>
        <v>2166.63112323646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2131.35112323646</v>
      </c>
      <c r="C180" s="352"/>
      <c r="D180" s="99" t="n">
        <f aca="false">IF(A105="YES", B89*B57, 0)</f>
        <v>35.28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2166.63112323646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2131.35112323646</v>
      </c>
      <c r="B186" s="99" t="n">
        <f aca="false">IF(A105="YES", B89, 0)</f>
        <v>35.28</v>
      </c>
      <c r="C186" s="352"/>
      <c r="D186" s="99" t="n">
        <f aca="false">B91</f>
        <v>2166.63112323646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5.88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66.6583333333334</v>
      </c>
      <c r="B200" s="99" t="n">
        <f aca="false">(A148+B148+D148+A151)*(A143/B64)</f>
        <v>0</v>
      </c>
      <c r="C200" s="99"/>
      <c r="D200" s="99" t="n">
        <f aca="false">(A148+B148+D148+A151)-B151</f>
        <v>598.038353333333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365.458333333333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1996.95859333333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66.6583333333334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1996.95859333333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58.8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179.284492641561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17670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980.8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4846.94359506703</v>
      </c>
      <c r="E33" s="212"/>
      <c r="F33" s="63"/>
      <c r="G33" s="215" t="s">
        <v>354</v>
      </c>
      <c r="H33" s="459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4822.42359506703</v>
      </c>
      <c r="B36" s="99" t="n">
        <f aca="false">IF(B26="YES", H42, "")</f>
        <v>24.52</v>
      </c>
      <c r="C36" s="217"/>
      <c r="D36" s="181" t="n">
        <f aca="false">H31</f>
        <v>17670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20056.9326458423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5301</v>
      </c>
      <c r="B40" s="103" t="n">
        <f aca="false">IF(B26="YES",H42,"0")</f>
        <v>24.52</v>
      </c>
      <c r="C40" s="103"/>
      <c r="D40" s="181" t="n">
        <f aca="false">I32</f>
        <v>980.8</v>
      </c>
      <c r="E40" s="212"/>
      <c r="F40" s="63"/>
      <c r="G40" s="63" t="s">
        <v>106</v>
      </c>
      <c r="H40" s="234" t="n">
        <f aca="false">A40/1.2</f>
        <v>4417.5</v>
      </c>
      <c r="I40" s="234" t="n">
        <f aca="false">H39-I39</f>
        <v>39943.0673541577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24.52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4117.91630599745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55882.0836940026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4822.42359506703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4846.94359506703</v>
      </c>
      <c r="I48" s="234" t="n">
        <f aca="false">I49-H42</f>
        <v>1375.48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4846.94359506703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5040</v>
      </c>
      <c r="C64" s="464" t="n">
        <v>10000</v>
      </c>
      <c r="D64" s="290" t="n">
        <f aca="false">B64</f>
        <v>5040</v>
      </c>
      <c r="E64" s="465" t="n">
        <f aca="false">D64/(B58+B57)</f>
        <v>420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202.63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6634.83333333333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552.902777777778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4822.42359506703</v>
      </c>
      <c r="C83" s="472"/>
      <c r="D83" s="211"/>
      <c r="E83" s="465" t="n">
        <f aca="false">B83+E80+E77+E64</f>
        <v>5356.80785432629</v>
      </c>
      <c r="F83" s="63"/>
      <c r="G83" s="304" t="s">
        <v>104</v>
      </c>
      <c r="H83" s="305" t="n">
        <f aca="false">H47</f>
        <v>4822.42359506703</v>
      </c>
      <c r="I83" s="211"/>
      <c r="J83" s="211"/>
      <c r="K83" s="212"/>
      <c r="L83" s="63"/>
      <c r="M83" s="304" t="s">
        <v>104</v>
      </c>
      <c r="N83" s="305" t="n">
        <f aca="false">H47</f>
        <v>4822.42359506703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64503.9164741376</v>
      </c>
      <c r="C85" s="472"/>
      <c r="D85" s="472"/>
      <c r="E85" s="465" t="n">
        <f aca="false">B85/(B58+B57)</f>
        <v>5375.3263728448</v>
      </c>
      <c r="F85" s="63"/>
      <c r="G85" s="287" t="s">
        <v>114</v>
      </c>
      <c r="H85" s="127" t="n">
        <f aca="false">((H83*H29)+H81)*1.2</f>
        <v>70196.1997689652</v>
      </c>
      <c r="I85" s="211"/>
      <c r="J85" s="211"/>
      <c r="K85" s="212"/>
      <c r="L85" s="63"/>
      <c r="M85" s="287" t="s">
        <v>114</v>
      </c>
      <c r="N85" s="127" t="n">
        <f aca="false">((N83*H29)+N81)</f>
        <v>58483.0831408043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546.42285032549</v>
      </c>
      <c r="C86" s="472" t="s">
        <v>227</v>
      </c>
      <c r="D86" s="211"/>
      <c r="E86" s="465" t="n">
        <f aca="false">B86/(B58+B57)</f>
        <v>45.5352375271242</v>
      </c>
      <c r="F86" s="63"/>
      <c r="G86" s="210" t="s">
        <v>115</v>
      </c>
      <c r="H86" s="299" t="n">
        <f aca="false">((((H83*H29)+H81))/(1-H70))*H70</f>
        <v>495.535899942271</v>
      </c>
      <c r="I86" s="211"/>
      <c r="J86" s="211"/>
      <c r="K86" s="212"/>
      <c r="L86" s="63"/>
      <c r="M86" s="210" t="s">
        <v>115</v>
      </c>
      <c r="N86" s="299" t="n">
        <f aca="false">(N85/(1-N70))*N70</f>
        <v>495.419421523554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65050.3393244631</v>
      </c>
      <c r="C87" s="472"/>
      <c r="D87" s="474"/>
      <c r="E87" s="465" t="n">
        <f aca="false">E86+E85</f>
        <v>5420.86161037193</v>
      </c>
      <c r="F87" s="63"/>
      <c r="G87" s="284" t="s">
        <v>116</v>
      </c>
      <c r="H87" s="129" t="n">
        <f aca="false">IF(H110="YES",((H85+H86)-K114),(H85+H86))</f>
        <v>70691.7356689074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58978.5025623279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31.876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83.0795294117647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69.2329411764706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5420.86161037193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4158.33739228867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3469.32368013693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5452.73761037193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4241.41692170044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3538.5566213134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4158.33739228867</v>
      </c>
      <c r="H127" s="174" t="n">
        <f aca="false">IF(G105="YES", H89*H57, 0)</f>
        <v>498.477176470588</v>
      </c>
      <c r="I127" s="174"/>
      <c r="J127" s="333" t="n">
        <f aca="false">H91</f>
        <v>4241.41692170044</v>
      </c>
      <c r="K127" s="212"/>
      <c r="L127" s="63"/>
      <c r="M127" s="332" t="n">
        <f aca="false">N90</f>
        <v>3469.32368013693</v>
      </c>
      <c r="N127" s="174" t="n">
        <f aca="false">IF(M105="YES", N89*N57, 0)</f>
        <v>415.397647058824</v>
      </c>
      <c r="O127" s="174"/>
      <c r="P127" s="174" t="n">
        <f aca="false">N91</f>
        <v>3538.5566213134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5420.86161037193</v>
      </c>
      <c r="B128" s="320" t="n">
        <f aca="false">IF(A105="YES", B89, 0)</f>
        <v>31.876</v>
      </c>
      <c r="C128" s="324"/>
      <c r="D128" s="320" t="n">
        <f aca="false">B91</f>
        <v>5452.73761037193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5420.86161037193</v>
      </c>
      <c r="C131" s="316"/>
      <c r="D131" s="38" t="n">
        <f aca="false">IF(A105="YES", B89*B57, 0)</f>
        <v>31.876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24950.024353732</v>
      </c>
      <c r="H133" s="99" t="n">
        <f aca="false">IF(G105="YES", H89*H57, 0)</f>
        <v>498.477176470588</v>
      </c>
      <c r="I133" s="217"/>
      <c r="J133" s="181" t="n">
        <f aca="false">H91*H57</f>
        <v>25448.5015302026</v>
      </c>
      <c r="K133" s="212"/>
      <c r="L133" s="63"/>
      <c r="M133" s="182" t="n">
        <f aca="false">N90*N57</f>
        <v>20815.9420808216</v>
      </c>
      <c r="N133" s="99" t="n">
        <f aca="false">IF(M105="YES", N89*N57, 0)</f>
        <v>415.397647058824</v>
      </c>
      <c r="O133" s="217"/>
      <c r="P133" s="181" t="n">
        <f aca="false">N91*N57</f>
        <v>21231.3397278804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5452.73761037193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5420.86161037193</v>
      </c>
      <c r="B137" s="38" t="n">
        <f aca="false">IF(A105="YES", B89, 0)</f>
        <v>31.876</v>
      </c>
      <c r="C137" s="316"/>
      <c r="D137" s="38" t="n">
        <f aca="false">B91</f>
        <v>5452.73761037193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5.8848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5.8848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202.63</v>
      </c>
      <c r="B148" s="99" t="n">
        <f aca="false">B102</f>
        <v>400</v>
      </c>
      <c r="C148" s="38"/>
      <c r="D148" s="38" t="n">
        <f aca="false">IF(A105="YES", (B40*B105)*B125, 0)*0.1</f>
        <v>8.8272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711.4472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4241.41692170044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3538.5566213134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5452.73761037193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5420.86161037193</v>
      </c>
      <c r="B177" s="354" t="n">
        <f aca="false">IF(A105="YES", B89, 0)</f>
        <v>31.876</v>
      </c>
      <c r="C177" s="356"/>
      <c r="D177" s="354" t="n">
        <f aca="false">B91</f>
        <v>5452.73761037193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5420.86161037193</v>
      </c>
      <c r="C180" s="352"/>
      <c r="D180" s="99" t="n">
        <f aca="false">IF(A105="YES", B89*B57, 0)</f>
        <v>31.876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5452.73761037193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5420.86161037193</v>
      </c>
      <c r="B186" s="99" t="n">
        <f aca="false">IF(A105="YES", B89, 0)</f>
        <v>31.876</v>
      </c>
      <c r="C186" s="352"/>
      <c r="D186" s="99" t="n">
        <f aca="false">B91</f>
        <v>5452.73761037193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202.63</v>
      </c>
      <c r="B197" s="99" t="n">
        <f aca="false">B102</f>
        <v>400</v>
      </c>
      <c r="C197" s="99"/>
      <c r="D197" s="99" t="n">
        <f aca="false">IF(A105="YES", (B40*B105)*B125, 0)*0.1</f>
        <v>8.8272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711.4472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202.63</v>
      </c>
      <c r="C211" s="319" t="s">
        <v>214</v>
      </c>
      <c r="D211" s="369" t="n">
        <f aca="false">B225+E221+B221+B223</f>
        <v>428.262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5265.632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5040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202.63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5265.632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88.272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546.42285032549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22666.67</v>
      </c>
      <c r="B37" s="32"/>
      <c r="C37" s="41" t="s">
        <v>45</v>
      </c>
      <c r="D37" s="41"/>
      <c r="E37" s="32"/>
      <c r="F37" s="43" t="n">
        <f aca="false">A37-C37</f>
        <v>21666.67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4533.334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294.4445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255.5555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258.222166666667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208.222166666667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258.222166666667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17713.3418336736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147.49998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258.222166666667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258.222166666667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258.222166666667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21666.67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16484.8382206957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1611.39471215215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17725.3418336736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17725.3418336736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1611.39471215215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1689.9401666976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27200.004</v>
      </c>
      <c r="C130" s="117" t="n">
        <v>24583.33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27200.004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27200.004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27200.004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27200.004</v>
      </c>
      <c r="C134" s="129" t="n">
        <f aca="false">C130-C133</f>
        <v>24583.33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22666.67</v>
      </c>
      <c r="H144" s="150" t="n">
        <f aca="false">C134+E134+G134+H137</f>
        <v>24583.33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4533.334</v>
      </c>
      <c r="H146" s="33" t="n">
        <f aca="false">(H144+H145)*20%</f>
        <v>4916.666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27200.004</v>
      </c>
      <c r="H150" s="154" t="n">
        <f aca="false">(H144+H145+H148+H149+H146)-H147</f>
        <v>29499.996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27200.004</v>
      </c>
      <c r="H156" s="161" t="n">
        <f aca="false">H150-((H153*1.2)+(H154*1.2)+(H155*1.2)+(H151*1.2))</f>
        <v>29499.996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1916.66</v>
      </c>
      <c r="I157" s="1" t="n">
        <f aca="false">(H157-G90)/1.2</f>
        <v>1597.21666666667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29499.996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1611.39471215215</v>
      </c>
      <c r="B176" s="174" t="n">
        <f aca="false">B103</f>
        <v>78.5454545454545</v>
      </c>
      <c r="C176" s="171"/>
      <c r="D176" s="171"/>
      <c r="E176" s="174" t="n">
        <f aca="false">B105</f>
        <v>1689.9401666976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24583.33</v>
      </c>
      <c r="B182" s="99" t="n">
        <f aca="false">H146</f>
        <v>4916.666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29499.996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29499.996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-5774.65416632639</v>
      </c>
      <c r="B191" s="99" t="str">
        <f aca="false">B123</f>
        <v>239.99</v>
      </c>
      <c r="C191" s="99"/>
      <c r="D191" s="23"/>
      <c r="E191" s="99" t="n">
        <f aca="false">E188+A191+B191+A194</f>
        <v>23975.3318336736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122.91665</v>
      </c>
      <c r="C197" s="130"/>
      <c r="D197" s="130"/>
      <c r="E197" s="99" t="n">
        <f aca="false">K55*A117*0.1</f>
        <v>12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234.908316666667</v>
      </c>
      <c r="C200" s="130"/>
      <c r="D200" s="130"/>
      <c r="E200" s="99" t="n">
        <f aca="false">H157</f>
        <v>1916.66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1689.9401666976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1611.39471215215</v>
      </c>
      <c r="B221" s="174" t="n">
        <f aca="false">B176</f>
        <v>78.5454545454545</v>
      </c>
      <c r="C221" s="171"/>
      <c r="D221" s="171"/>
      <c r="E221" s="174" t="n">
        <f aca="false">E176</f>
        <v>1689.9401666976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24583.33</v>
      </c>
      <c r="B224" s="99" t="n">
        <f aca="false">B182</f>
        <v>4916.666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29499.996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29499.996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-5774.65416632639</v>
      </c>
      <c r="B233" s="99" t="str">
        <f aca="false">B191</f>
        <v>239.99</v>
      </c>
      <c r="C233" s="99"/>
      <c r="D233" s="109"/>
      <c r="E233" s="99" t="n">
        <f aca="false">E191</f>
        <v>23975.3318336736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1611.39471215215</v>
      </c>
      <c r="B239" s="99" t="n">
        <f aca="false">B176</f>
        <v>78.5454545454545</v>
      </c>
      <c r="C239" s="183"/>
      <c r="D239" s="183"/>
      <c r="E239" s="99" t="n">
        <f aca="false">E176</f>
        <v>1689.9401666976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1916.66</v>
      </c>
      <c r="B249" s="99" t="n">
        <f aca="false">B197</f>
        <v>122.91665</v>
      </c>
      <c r="C249" s="130"/>
      <c r="D249" s="130"/>
      <c r="E249" s="99" t="n">
        <f aca="false">E197</f>
        <v>12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2151.56831666667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147.49998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219.991666666667</v>
      </c>
      <c r="C264" s="194"/>
      <c r="D264" s="195" t="s">
        <v>215</v>
      </c>
      <c r="E264" s="195"/>
      <c r="F264" s="196" t="n">
        <f aca="false">(B263-F263)+B264</f>
        <v>72.4916866666667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17725.3418336736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147.49998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120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72.4916866666667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22666.67</v>
      </c>
      <c r="B37" s="32"/>
      <c r="C37" s="41" t="s">
        <v>45</v>
      </c>
      <c r="D37" s="41"/>
      <c r="E37" s="32"/>
      <c r="F37" s="43" t="n">
        <f aca="false">A37-C37</f>
        <v>21666.67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4533.334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294.4445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255.5555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258.222166666667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208.222166666667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258.222166666667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17713.3418336736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147.49998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258.222166666667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258.222166666667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258.222166666667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21666.67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16484.8382206957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1611.39471215215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17725.3418336736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17725.3418336736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1611.39471215215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1676.84925760669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27200.004</v>
      </c>
      <c r="C130" s="117" t="n">
        <v>24583.33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27200.004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27200.004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27200.004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27200.004</v>
      </c>
      <c r="C134" s="129" t="n">
        <f aca="false">C130-C133</f>
        <v>24583.33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22666.67</v>
      </c>
      <c r="H144" s="150" t="n">
        <f aca="false">C134+E134+G134+H137</f>
        <v>24583.33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4533.334</v>
      </c>
      <c r="H146" s="33" t="n">
        <f aca="false">(H144+H145)*20%</f>
        <v>4916.666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27200.004</v>
      </c>
      <c r="H150" s="154" t="n">
        <f aca="false">(H144+H145+H148+H149+H146)-H147</f>
        <v>29499.996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27200.004</v>
      </c>
      <c r="H156" s="161" t="n">
        <f aca="false">H150-((H153*1.2)+(H154*1.2)+(H155*1.2)+(H151*1.2))</f>
        <v>29499.996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1916.66</v>
      </c>
      <c r="I157" s="1" t="n">
        <f aca="false">(H157-G90)/1.2</f>
        <v>1597.21666666667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29499.996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1611.39471215215</v>
      </c>
      <c r="B176" s="174" t="n">
        <f aca="false">B103</f>
        <v>65.4545454545455</v>
      </c>
      <c r="C176" s="171"/>
      <c r="D176" s="171"/>
      <c r="E176" s="174" t="n">
        <f aca="false">B105</f>
        <v>1676.84925760669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24583.33</v>
      </c>
      <c r="B182" s="99" t="n">
        <f aca="false">H146</f>
        <v>4916.666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29499.996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29499.996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-5774.65416632639</v>
      </c>
      <c r="B191" s="99" t="str">
        <f aca="false">B123</f>
        <v>199.99</v>
      </c>
      <c r="C191" s="99"/>
      <c r="D191" s="23"/>
      <c r="E191" s="99" t="n">
        <f aca="false">E188+A191+B191+A194</f>
        <v>23935.3318336736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122.91665</v>
      </c>
      <c r="C197" s="130"/>
      <c r="D197" s="130"/>
      <c r="E197" s="99" t="n">
        <f aca="false">K55*A117*0.1</f>
        <v>12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234.90665</v>
      </c>
      <c r="C200" s="130"/>
      <c r="D200" s="130"/>
      <c r="E200" s="99" t="n">
        <f aca="false">H157</f>
        <v>1916.66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1676.84925760669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1611.39471215215</v>
      </c>
      <c r="B221" s="174" t="n">
        <f aca="false">B176</f>
        <v>65.4545454545455</v>
      </c>
      <c r="C221" s="171"/>
      <c r="D221" s="171"/>
      <c r="E221" s="174" t="n">
        <f aca="false">E176</f>
        <v>1676.84925760669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24583.33</v>
      </c>
      <c r="B224" s="99" t="n">
        <f aca="false">B182</f>
        <v>4916.666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29499.996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29499.996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-5774.65416632639</v>
      </c>
      <c r="B233" s="99" t="str">
        <f aca="false">B191</f>
        <v>199.99</v>
      </c>
      <c r="C233" s="99"/>
      <c r="D233" s="109"/>
      <c r="E233" s="99" t="n">
        <f aca="false">E191</f>
        <v>23935.3318336736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1611.39471215215</v>
      </c>
      <c r="B239" s="99" t="n">
        <f aca="false">B176</f>
        <v>65.4545454545455</v>
      </c>
      <c r="C239" s="183"/>
      <c r="D239" s="183"/>
      <c r="E239" s="99" t="n">
        <f aca="false">E176</f>
        <v>1676.84925760669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1916.66</v>
      </c>
      <c r="B249" s="99" t="n">
        <f aca="false">B197</f>
        <v>122.91665</v>
      </c>
      <c r="C249" s="130"/>
      <c r="D249" s="130"/>
      <c r="E249" s="99" t="n">
        <f aca="false">E197</f>
        <v>12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2151.56665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147.49998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219.99</v>
      </c>
      <c r="C264" s="194"/>
      <c r="D264" s="195" t="s">
        <v>215</v>
      </c>
      <c r="E264" s="195"/>
      <c r="F264" s="196" t="n">
        <f aca="false">(B263-F263)+B264</f>
        <v>72.49002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17725.3418336736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147.49998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120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72.49002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19654.4228413186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276.5624625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17286.8167407538</v>
      </c>
      <c r="C88" s="130" t="n">
        <f aca="false">B81-B86</f>
        <v>17286.8167407538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629.837077427568</v>
      </c>
      <c r="C89" s="130" t="n">
        <f aca="false">(B88/B87)</f>
        <v>629.837077427568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20154.7864776822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20154.7864776822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629.837077427568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629.837077427568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629.837077427568</v>
      </c>
      <c r="B167" s="174" t="n">
        <f aca="false">B94</f>
        <v>0</v>
      </c>
      <c r="C167" s="171"/>
      <c r="D167" s="171"/>
      <c r="E167" s="174" t="n">
        <f aca="false">B96</f>
        <v>629.837077427568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-3345.20952231781</v>
      </c>
      <c r="B182" s="99" t="str">
        <f aca="false">B114</f>
        <v>239.99</v>
      </c>
      <c r="C182" s="99"/>
      <c r="D182" s="23"/>
      <c r="E182" s="99" t="n">
        <f aca="false">E179+A182+B182+A185</f>
        <v>26404.7764776822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230.46871875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330.460385416667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629.837077427568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629.837077427568</v>
      </c>
      <c r="B212" s="174" t="n">
        <f aca="false">B167</f>
        <v>0</v>
      </c>
      <c r="C212" s="171"/>
      <c r="D212" s="171"/>
      <c r="E212" s="174" t="n">
        <f aca="false">E167</f>
        <v>629.837077427568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-3345.20952231781</v>
      </c>
      <c r="B224" s="99" t="str">
        <f aca="false">B182</f>
        <v>239.99</v>
      </c>
      <c r="C224" s="99"/>
      <c r="D224" s="109"/>
      <c r="E224" s="99" t="n">
        <f aca="false">E182</f>
        <v>26404.7764776822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629.837077427568</v>
      </c>
      <c r="B230" s="99" t="n">
        <f aca="false">B167</f>
        <v>0</v>
      </c>
      <c r="C230" s="183"/>
      <c r="D230" s="183"/>
      <c r="E230" s="99" t="n">
        <f aca="false">E167</f>
        <v>629.837077427568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230.46871875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2247.12038541667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276.5624625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-176.570795833333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276.5624625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-176.570795833333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17224.3418336736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16484.8382206957</v>
      </c>
      <c r="C88" s="130" t="n">
        <f aca="false">B81-B86</f>
        <v>16484.8382206957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1611.39471215215</v>
      </c>
      <c r="C89" s="130" t="n">
        <f aca="false">(B88/B87)</f>
        <v>1611.39471215215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17725.3418336736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17725.3418336736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1611.39471215215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1611.39471215215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1611.39471215215</v>
      </c>
      <c r="B167" s="174" t="str">
        <f aca="false">B94</f>
        <v>0</v>
      </c>
      <c r="C167" s="171"/>
      <c r="D167" s="171"/>
      <c r="E167" s="174" t="n">
        <f aca="false">B96</f>
        <v>1611.39471215215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-5774.65416632639</v>
      </c>
      <c r="B182" s="99" t="str">
        <f aca="false">B114</f>
        <v>199.99</v>
      </c>
      <c r="C182" s="99"/>
      <c r="D182" s="23"/>
      <c r="E182" s="99" t="n">
        <f aca="false">E179+A182+B182+A185</f>
        <v>23935.3318336736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122.91665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222.90665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1611.39471215215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1611.39471215215</v>
      </c>
      <c r="B212" s="174" t="str">
        <f aca="false">B167</f>
        <v>0</v>
      </c>
      <c r="C212" s="171"/>
      <c r="D212" s="171"/>
      <c r="E212" s="174" t="n">
        <f aca="false">E167</f>
        <v>1611.39471215215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-5774.65416632639</v>
      </c>
      <c r="B224" s="99" t="str">
        <f aca="false">B182</f>
        <v>199.99</v>
      </c>
      <c r="C224" s="99"/>
      <c r="D224" s="109"/>
      <c r="E224" s="99" t="n">
        <f aca="false">E182</f>
        <v>23935.3318336736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1611.39471215215</v>
      </c>
      <c r="B230" s="99" t="str">
        <f aca="false">B167</f>
        <v>0</v>
      </c>
      <c r="C230" s="183"/>
      <c r="D230" s="183"/>
      <c r="E230" s="99" t="n">
        <f aca="false">E167</f>
        <v>1611.39471215215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2139.56665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-47.50998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-47.50998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16914.9672461294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16370.885166767</v>
      </c>
      <c r="C88" s="130" t="n">
        <f aca="false">B81-B86</f>
        <v>16370.885166767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1583.26974964813</v>
      </c>
      <c r="C89" s="130" t="n">
        <f aca="false">(B88/B87)</f>
        <v>1583.26974964813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17415.9672461294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17415.9672461294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1583.26974964813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1583.26974964813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1583.26974964813</v>
      </c>
      <c r="B167" s="174" t="n">
        <f aca="false">B94</f>
        <v>0</v>
      </c>
      <c r="C167" s="171"/>
      <c r="D167" s="171"/>
      <c r="E167" s="174" t="n">
        <f aca="false">B96</f>
        <v>1583.26974964813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-6084.02875387059</v>
      </c>
      <c r="B182" s="99" t="str">
        <f aca="false">B114</f>
        <v>239.99</v>
      </c>
      <c r="C182" s="99"/>
      <c r="D182" s="23"/>
      <c r="E182" s="99" t="n">
        <f aca="false">E179+A182+B182+A185</f>
        <v>23665.9572461294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122.91665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222.908316666667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1583.26974964813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1583.26974964813</v>
      </c>
      <c r="B212" s="174" t="n">
        <f aca="false">B167</f>
        <v>0</v>
      </c>
      <c r="C212" s="171"/>
      <c r="D212" s="171"/>
      <c r="E212" s="174" t="n">
        <f aca="false">E167</f>
        <v>1583.26974964813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-6084.02875387059</v>
      </c>
      <c r="B224" s="99" t="str">
        <f aca="false">B182</f>
        <v>239.99</v>
      </c>
      <c r="C224" s="99"/>
      <c r="D224" s="109"/>
      <c r="E224" s="99" t="n">
        <f aca="false">E182</f>
        <v>23665.9572461294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1583.26974964813</v>
      </c>
      <c r="B230" s="99" t="n">
        <f aca="false">B167</f>
        <v>0</v>
      </c>
      <c r="C230" s="183"/>
      <c r="D230" s="183"/>
      <c r="E230" s="99" t="n">
        <f aca="false">E167</f>
        <v>1583.26974964813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2139.56831666667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-47.5083133333334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-47.5083133333334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262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16914.9672461294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16370.885166767</v>
      </c>
      <c r="C88" s="130" t="n">
        <f aca="false">B81-B86</f>
        <v>16370.885166767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1583.26974964813</v>
      </c>
      <c r="C89" s="130" t="n">
        <f aca="false">(B88/B87)</f>
        <v>1583.26974964813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17415.9672461294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17415.9672461294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1583.26974964813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1583.26974964813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1583.26974964813</v>
      </c>
      <c r="B167" s="174" t="str">
        <f aca="false">B94</f>
        <v>0</v>
      </c>
      <c r="C167" s="171"/>
      <c r="D167" s="171"/>
      <c r="E167" s="174" t="n">
        <f aca="false">B96</f>
        <v>1583.26974964813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-6084.02875387059</v>
      </c>
      <c r="B182" s="99" t="str">
        <f aca="false">B114</f>
        <v>199.99</v>
      </c>
      <c r="C182" s="99"/>
      <c r="D182" s="23"/>
      <c r="E182" s="99" t="n">
        <f aca="false">E179+A182+B182+A185</f>
        <v>23625.9572461294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122.91665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222.90665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1583.26974964813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1583.26974964813</v>
      </c>
      <c r="B212" s="174" t="str">
        <f aca="false">B167</f>
        <v>0</v>
      </c>
      <c r="C212" s="171"/>
      <c r="D212" s="171"/>
      <c r="E212" s="174" t="n">
        <f aca="false">E167</f>
        <v>1583.26974964813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-6084.02875387059</v>
      </c>
      <c r="B224" s="99" t="str">
        <f aca="false">B182</f>
        <v>199.99</v>
      </c>
      <c r="C224" s="99"/>
      <c r="D224" s="109"/>
      <c r="E224" s="99" t="n">
        <f aca="false">E182</f>
        <v>23625.9572461294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1583.26974964813</v>
      </c>
      <c r="B230" s="99" t="str">
        <f aca="false">B167</f>
        <v>0</v>
      </c>
      <c r="C230" s="183"/>
      <c r="D230" s="183"/>
      <c r="E230" s="99" t="n">
        <f aca="false">E167</f>
        <v>1583.26974964813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2139.56665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-47.50998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-47.50998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45113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4533.334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294.4445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255.5555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258.222166666667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208.222166666667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258.222166666667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258.222166666667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208.222166666667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7946.8352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56.0990786607503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8002.93427866075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666.911189888396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744.911189888396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666.911189888396</v>
      </c>
      <c r="B134" s="320" t="n">
        <f aca="false">IF(A111="YES", B95, 0)</f>
        <v>78</v>
      </c>
      <c r="C134" s="324"/>
      <c r="D134" s="320" t="n">
        <f aca="false">B97</f>
        <v>744.911189888396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666.911189888396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744.911189888396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666.911189888396</v>
      </c>
      <c r="B143" s="38" t="n">
        <f aca="false">IF(A111="YES", B95, 0)</f>
        <v>78</v>
      </c>
      <c r="C143" s="316"/>
      <c r="D143" s="38" t="n">
        <f aca="false">B97</f>
        <v>744.911189888396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4533.334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744.911189888396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666.911189888396</v>
      </c>
      <c r="B177" s="354" t="n">
        <f aca="false">IF(A111="YES", B95, 0)</f>
        <v>78</v>
      </c>
      <c r="C177" s="356"/>
      <c r="D177" s="354" t="n">
        <f aca="false">A177+B177</f>
        <v>744.911189888396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666.911189888396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744.911189888396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666.911189888396</v>
      </c>
      <c r="B186" s="99" t="n">
        <f aca="false">IF(A111="YES", B95, 0)</f>
        <v>78</v>
      </c>
      <c r="C186" s="352"/>
      <c r="D186" s="99" t="n">
        <f aca="false">B97</f>
        <v>744.911189888396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2764.23166666667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2764.23166666667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56.0990786607503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45113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4533.334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294.4445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205.5555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208.222166666667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208.222166666667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208.222166666667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208.222166666667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6622.36266666667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56.0990786607503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6678.46174532742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556.538478777285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556.538478777285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556.538478777285</v>
      </c>
      <c r="B134" s="320" t="n">
        <f aca="false">IF(A111="YES", B95, 0)</f>
        <v>0</v>
      </c>
      <c r="C134" s="325"/>
      <c r="D134" s="320" t="n">
        <f aca="false">B97</f>
        <v>556.538478777285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5008.84630899556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5008.84630899556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556.538478777285</v>
      </c>
      <c r="B143" s="38" t="n">
        <f aca="false">IF(A111="YES", B95, 0)</f>
        <v>0</v>
      </c>
      <c r="C143" s="316"/>
      <c r="D143" s="38" t="n">
        <f aca="false">B97</f>
        <v>556.538478777285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4533.334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556.538478777285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556.538478777285</v>
      </c>
      <c r="B177" s="354" t="n">
        <f aca="false">IF(A111="YES", B95, 0)</f>
        <v>0</v>
      </c>
      <c r="C177" s="357"/>
      <c r="D177" s="354" t="n">
        <f aca="false">B91</f>
        <v>6622.36266666667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5008.84630899556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5008.84630899556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556.538478777285</v>
      </c>
      <c r="B186" s="99" t="n">
        <f aca="false">IF(A111="YES", B95, 0)</f>
        <v>0</v>
      </c>
      <c r="C186" s="352"/>
      <c r="D186" s="99" t="n">
        <f aca="false">B97</f>
        <v>556.538478777285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56.0990786607503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3230.66694666667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269.222245555556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9242.66694666667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78.2960895038322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9320.9630361705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72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776.746919680875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776.746919680875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20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776.746919680875</v>
      </c>
      <c r="B134" s="320" t="n">
        <f aca="false">IF(A111="YES", B95, 0)</f>
        <v>0</v>
      </c>
      <c r="C134" s="325"/>
      <c r="D134" s="320" t="n">
        <f aca="false">B97</f>
        <v>776.746919680875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776.746919680875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776.746919680875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776.746919680875</v>
      </c>
      <c r="B143" s="38" t="n">
        <f aca="false">IF(A111="YES", B95, 0)</f>
        <v>0</v>
      </c>
      <c r="C143" s="316"/>
      <c r="D143" s="38" t="n">
        <f aca="false">B97</f>
        <v>776.746919680875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776.746919680875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776.746919680875</v>
      </c>
      <c r="B177" s="354" t="n">
        <f aca="false">IF(A111="YES", B95, 0)</f>
        <v>0</v>
      </c>
      <c r="C177" s="357"/>
      <c r="D177" s="354" t="n">
        <f aca="false">B91</f>
        <v>9242.66694666667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776.746919680875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776.746919680875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776.746919680875</v>
      </c>
      <c r="B186" s="99" t="n">
        <f aca="false">IF(A111="YES", B95, 0)</f>
        <v>0</v>
      </c>
      <c r="C186" s="352"/>
      <c r="D186" s="99" t="n">
        <f aca="false">B97</f>
        <v>776.746919680875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78.2960895038322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3409.41694666667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284.118078888889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11305.700336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79.8103089471561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11385.5106449472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948.792553745596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948.792553745596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948.792553745596</v>
      </c>
      <c r="B134" s="320" t="n">
        <f aca="false">IF(A111="YES", B95, 0)</f>
        <v>0</v>
      </c>
      <c r="C134" s="325"/>
      <c r="D134" s="320" t="n">
        <f aca="false">B97</f>
        <v>948.792553745596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948.792553745596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948.792553745596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948.792553745596</v>
      </c>
      <c r="B143" s="38" t="n">
        <f aca="false">IF(A111="YES", B95, 0)</f>
        <v>0</v>
      </c>
      <c r="C143" s="316"/>
      <c r="D143" s="38" t="n">
        <f aca="false">B97</f>
        <v>948.792553745596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948.792553745596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948.792553745596</v>
      </c>
      <c r="B177" s="354" t="n">
        <f aca="false">IF(A111="YES", B95, 0)</f>
        <v>0</v>
      </c>
      <c r="C177" s="357"/>
      <c r="D177" s="354" t="n">
        <f aca="false">B97</f>
        <v>948.792553745596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948.792553745596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948.792553745596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948.792553745596</v>
      </c>
      <c r="B186" s="99" t="n">
        <f aca="false">IF(A111="YES", B95, 0)</f>
        <v>0</v>
      </c>
      <c r="C186" s="352"/>
      <c r="D186" s="99" t="n">
        <f aca="false">B97</f>
        <v>948.792553745596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1869.95194666667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1869.95194666667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79.8103089471561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3409.41694666667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284.118078888889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9421.41694666667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79.8103089471561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9501.22725561382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791.768937967819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791.768937967819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791.768937967819</v>
      </c>
      <c r="B134" s="320" t="n">
        <f aca="false">IF(A111="YES", B95, 0)</f>
        <v>0</v>
      </c>
      <c r="C134" s="325"/>
      <c r="D134" s="320" t="n">
        <f aca="false">B97</f>
        <v>791.768937967819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791.768937967819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791.768937967819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791.768937967819</v>
      </c>
      <c r="B143" s="38" t="n">
        <f aca="false">IF(A111="YES", B95, 0)</f>
        <v>0</v>
      </c>
      <c r="C143" s="316"/>
      <c r="D143" s="38" t="n">
        <f aca="false">B97</f>
        <v>791.768937967819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791.768937967819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791.768937967819</v>
      </c>
      <c r="B177" s="354" t="n">
        <f aca="false">IF(A111="YES", B95, 0)</f>
        <v>0</v>
      </c>
      <c r="C177" s="357"/>
      <c r="D177" s="354" t="n">
        <f aca="false">B91</f>
        <v>9421.41694666667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791.768937967819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791.768937967819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791.768937967819</v>
      </c>
      <c r="B186" s="99" t="n">
        <f aca="false">IF(A111="YES", B95, 0)</f>
        <v>0</v>
      </c>
      <c r="C186" s="352"/>
      <c r="D186" s="99" t="n">
        <f aca="false">B97</f>
        <v>791.768937967819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79.8103089471561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3230.66694666667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269.222245555556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9242.66694666667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78.2960895038322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9320.9630361705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776.746919680875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776.746919680875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776.746919680875</v>
      </c>
      <c r="B134" s="320" t="n">
        <f aca="false">IF(A111="YES", B95, 0)</f>
        <v>0</v>
      </c>
      <c r="C134" s="325"/>
      <c r="D134" s="320" t="n">
        <f aca="false">B97</f>
        <v>776.746919680875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6990.72227712787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6990.72227712787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776.746919680875</v>
      </c>
      <c r="B143" s="38" t="n">
        <f aca="false">IF(A111="YES", B95, 0)</f>
        <v>0</v>
      </c>
      <c r="C143" s="316"/>
      <c r="D143" s="38" t="n">
        <f aca="false">B97</f>
        <v>776.746919680875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776.746919680875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776.746919680875</v>
      </c>
      <c r="B177" s="354" t="n">
        <f aca="false">IF(A111="YES", B95, 0)</f>
        <v>0</v>
      </c>
      <c r="C177" s="357"/>
      <c r="D177" s="354" t="n">
        <f aca="false">B91</f>
        <v>9242.66694666667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6990.72227712787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6990.72227712787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776.746919680875</v>
      </c>
      <c r="B186" s="99" t="n">
        <f aca="false">IF(A111="YES", B95, 0)</f>
        <v>0</v>
      </c>
      <c r="C186" s="352"/>
      <c r="D186" s="99" t="n">
        <f aca="false">B97</f>
        <v>776.746919680875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78.2960895038322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2742.75028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228.562523333333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10505.700336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74.1628704638968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10579.8632064639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881.655267205325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881.655267205325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10000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4000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881.655267205325</v>
      </c>
      <c r="B134" s="320" t="n">
        <f aca="false">IF(A111="YES", B95, 0)</f>
        <v>0</v>
      </c>
      <c r="C134" s="325"/>
      <c r="D134" s="320" t="n">
        <f aca="false">B97</f>
        <v>881.655267205325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881.655267205325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881.655267205325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881.655267205325</v>
      </c>
      <c r="B143" s="38" t="n">
        <f aca="false">IF(A111="YES", B95, 0)</f>
        <v>0</v>
      </c>
      <c r="C143" s="316"/>
      <c r="D143" s="38" t="n">
        <f aca="false">B97</f>
        <v>881.655267205325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474.031666666667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881.655267205325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881.655267205325</v>
      </c>
      <c r="B177" s="354" t="n">
        <f aca="false">IF(A111="YES", B95, 0)</f>
        <v>0</v>
      </c>
      <c r="C177" s="357"/>
      <c r="D177" s="354" t="n">
        <f aca="false">B91</f>
        <v>10505.700336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881.655267205325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881.655267205325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881.655267205325</v>
      </c>
      <c r="B186" s="99" t="n">
        <f aca="false">IF(A111="YES", B95, 0)</f>
        <v>0</v>
      </c>
      <c r="C186" s="352"/>
      <c r="D186" s="99" t="n">
        <f aca="false">B97</f>
        <v>881.655267205325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474.031666666667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1629.95194666667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1629.95194666667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74.1628704638968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n">
        <f aca="false">IF(B26="YES", K42, "0.00")</f>
        <v>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7245.30805519762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238.3333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28599.996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12822.1277229139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15777.8682770861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532.753617006669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18646.3765952334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18646.3765952334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532.753617006669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532.753617006669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28599.996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532.753617006669</v>
      </c>
      <c r="B167" s="174" t="n">
        <f aca="false">B94</f>
        <v>0</v>
      </c>
      <c r="C167" s="171"/>
      <c r="D167" s="171"/>
      <c r="E167" s="174" t="n">
        <f aca="false">B96</f>
        <v>532.753617006669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28599.996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8121.3805952334</v>
      </c>
      <c r="B182" s="99" t="str">
        <f aca="false">B114</f>
        <v>239.99</v>
      </c>
      <c r="C182" s="99"/>
      <c r="D182" s="23"/>
      <c r="E182" s="99" t="n">
        <f aca="false">E179+A182+B182+A185</f>
        <v>36971.3665952334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238.3333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338.324966666667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532.753617006669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532.753617006669</v>
      </c>
      <c r="B212" s="174" t="n">
        <f aca="false">B167</f>
        <v>0</v>
      </c>
      <c r="C212" s="171"/>
      <c r="D212" s="171"/>
      <c r="E212" s="174" t="n">
        <f aca="false">E167</f>
        <v>532.753617006669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28599.996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8121.3805952334</v>
      </c>
      <c r="B224" s="99" t="str">
        <f aca="false">B182</f>
        <v>239.99</v>
      </c>
      <c r="C224" s="99"/>
      <c r="D224" s="109"/>
      <c r="E224" s="99" t="n">
        <f aca="false">E182</f>
        <v>36971.3665952334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532.753617006669</v>
      </c>
      <c r="B230" s="99" t="n">
        <f aca="false">B167</f>
        <v>0</v>
      </c>
      <c r="C230" s="183"/>
      <c r="D230" s="183"/>
      <c r="E230" s="99" t="n">
        <f aca="false">E167</f>
        <v>532.753617006669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238.3333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2254.98496666667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285.99996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-186.008293333333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18646.3765952334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285.99996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-186.008293333333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3574.25289260614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224.999966666667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26999.996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13853.1829830242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13146.8130169759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427.866326646912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14975.3214326419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14975.3214326419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427.866326646912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427.866326646912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26999.996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427.866326646912</v>
      </c>
      <c r="B167" s="174" t="str">
        <f aca="false">B94</f>
        <v>0</v>
      </c>
      <c r="C167" s="171"/>
      <c r="D167" s="171"/>
      <c r="E167" s="174" t="n">
        <f aca="false">B96</f>
        <v>427.866326646912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26999.996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6050.32543264192</v>
      </c>
      <c r="B182" s="99" t="str">
        <f aca="false">B114</f>
        <v>199.99</v>
      </c>
      <c r="C182" s="99"/>
      <c r="D182" s="23"/>
      <c r="E182" s="99" t="n">
        <f aca="false">E179+A182+B182+A185</f>
        <v>33260.3114326419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224.999966666667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324.989966666667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427.866326646912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427.866326646912</v>
      </c>
      <c r="B212" s="174" t="str">
        <f aca="false">B167</f>
        <v>0</v>
      </c>
      <c r="C212" s="171"/>
      <c r="D212" s="171"/>
      <c r="E212" s="174" t="n">
        <f aca="false">E167</f>
        <v>427.866326646912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26999.996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6050.32543264192</v>
      </c>
      <c r="B224" s="99" t="str">
        <f aca="false">B182</f>
        <v>199.99</v>
      </c>
      <c r="C224" s="99"/>
      <c r="D224" s="109"/>
      <c r="E224" s="99" t="n">
        <f aca="false">E182</f>
        <v>33260.3114326419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427.866326646912</v>
      </c>
      <c r="B230" s="99" t="str">
        <f aca="false">B167</f>
        <v>0</v>
      </c>
      <c r="C230" s="183"/>
      <c r="D230" s="183"/>
      <c r="E230" s="99" t="n">
        <f aca="false">E167</f>
        <v>427.866326646912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224.999966666667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2241.64996666667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269.99996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-170.00996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14975.3214326419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269.99996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-170.00996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H208" activeCellId="0" sqref="H20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50000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4500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326.437544186836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276.437544186836</v>
      </c>
      <c r="B36" s="228" t="n">
        <f aca="false">IF(B26="YES", K42, "0.00")</f>
        <v>50</v>
      </c>
      <c r="C36" s="228"/>
      <c r="D36" s="228"/>
      <c r="E36" s="228" t="n">
        <f aca="false">K31</f>
        <v>50000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38117.8237527412</v>
      </c>
      <c r="N39" s="1" t="n">
        <f aca="false">K39-L39</f>
        <v>-15451.1537527412</v>
      </c>
      <c r="P39" s="208"/>
    </row>
    <row r="40" customFormat="false" ht="17.35" hidden="false" customHeight="false" outlineLevel="0" collapsed="false">
      <c r="A40" s="103" t="n">
        <f aca="false">E36*A45/100</f>
        <v>20000</v>
      </c>
      <c r="B40" s="103" t="n">
        <f aca="false">IF(B26="YES", K42, "0.00")</f>
        <v>50</v>
      </c>
      <c r="C40" s="103"/>
      <c r="D40" s="103"/>
      <c r="E40" s="179" t="n">
        <f aca="false">K32</f>
        <v>4500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-15451.1537527412</v>
      </c>
      <c r="N40" s="1" t="n">
        <f aca="false">N38-N39</f>
        <v>18362.8337527412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50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9019.4628941323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276.437544186836</v>
      </c>
      <c r="L47" s="2" t="n">
        <f aca="false">L49-K42</f>
        <v>750</v>
      </c>
      <c r="M47" s="1" t="n">
        <f aca="false">K47-L47</f>
        <v>-473.562455813164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326.437544186836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326.437544186836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3342.99574490142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224.999966666667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276.437544186836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276.437544186836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326.437544186836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326.437544186836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26999.996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11671.4394489359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379.849923875072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13294.7473356275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13294.7473356275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74.0571428571429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195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154.285714285714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185.142857142857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379.849923875072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453.907066732215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26999.996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379.849923875072</v>
      </c>
      <c r="B167" s="174" t="n">
        <f aca="false">B94</f>
        <v>74.0571428571429</v>
      </c>
      <c r="C167" s="171"/>
      <c r="D167" s="171"/>
      <c r="E167" s="174" t="n">
        <f aca="false">B96</f>
        <v>453.907066732215</v>
      </c>
      <c r="F167" s="23"/>
      <c r="G167" s="23"/>
      <c r="H167" s="33"/>
      <c r="J167" s="173" t="e">
        <f aca="false">K95</f>
        <v>#VALUE!</v>
      </c>
      <c r="K167" s="174" t="n">
        <f aca="false">K94</f>
        <v>195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154.285714285714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185.142857142857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26999.996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6294.75133562751</v>
      </c>
      <c r="B182" s="99" t="str">
        <f aca="false">B114</f>
        <v>239.99</v>
      </c>
      <c r="C182" s="99"/>
      <c r="D182" s="23"/>
      <c r="E182" s="99" t="n">
        <f aca="false">E179+A182+B182+A185</f>
        <v>33544.7373356275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224.999966666667</v>
      </c>
      <c r="C188" s="130"/>
      <c r="D188" s="130"/>
      <c r="E188" s="99" t="n">
        <f aca="false">(E40*A108)*0.1*(C45/100)</f>
        <v>36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135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360.991633333333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453.907066732215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379.849923875072</v>
      </c>
      <c r="B212" s="174" t="n">
        <f aca="false">B167</f>
        <v>74.0571428571429</v>
      </c>
      <c r="C212" s="171"/>
      <c r="D212" s="171"/>
      <c r="E212" s="174" t="n">
        <f aca="false">E167</f>
        <v>453.907066732215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26999.996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6294.75133562751</v>
      </c>
      <c r="B224" s="99" t="str">
        <f aca="false">B182</f>
        <v>239.99</v>
      </c>
      <c r="C224" s="99"/>
      <c r="D224" s="109"/>
      <c r="E224" s="99" t="n">
        <f aca="false">E182</f>
        <v>33544.7373356275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379.849923875072</v>
      </c>
      <c r="B230" s="99" t="n">
        <f aca="false">B167</f>
        <v>74.0571428571429</v>
      </c>
      <c r="C230" s="183"/>
      <c r="D230" s="183"/>
      <c r="E230" s="99" t="n">
        <f aca="false">E167</f>
        <v>453.907066732215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224.999966666667</v>
      </c>
      <c r="C240" s="130"/>
      <c r="D240" s="130"/>
      <c r="E240" s="99" t="n">
        <f aca="false">E188</f>
        <v>36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2277.65163333334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269.99996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459.991666666667</v>
      </c>
      <c r="C255" s="194"/>
      <c r="D255" s="195" t="s">
        <v>215</v>
      </c>
      <c r="E255" s="195"/>
      <c r="F255" s="196" t="n">
        <f aca="false">(B254-F254)+B255</f>
        <v>189.991706666667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13294.7473356275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269.99996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189.991706666667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-27181.0045418724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13853.1829830242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-13853.1829830242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-450.85531433819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-15779.9360018367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-15779.9360018367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-450.85531433819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-450.85531433819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-22666.67</v>
      </c>
      <c r="I148" s="1" t="n">
        <f aca="false">(H148-G81)/1.2</f>
        <v>-18888.8916666667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-450.85531433819</v>
      </c>
      <c r="B167" s="174" t="str">
        <f aca="false">B94</f>
        <v>0</v>
      </c>
      <c r="C167" s="171"/>
      <c r="D167" s="171"/>
      <c r="E167" s="174" t="n">
        <f aca="false">B96</f>
        <v>-450.85531433819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0</v>
      </c>
      <c r="B173" s="99" t="n">
        <f aca="false">H137</f>
        <v>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2295.06399816335</v>
      </c>
      <c r="B182" s="99" t="str">
        <f aca="false">B114</f>
        <v>199.99</v>
      </c>
      <c r="C182" s="99"/>
      <c r="D182" s="23"/>
      <c r="E182" s="99" t="n">
        <f aca="false">E179+A182+B182+A185</f>
        <v>2505.05399816335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IF(A40=0,(E167+A185),(E170+A185))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99.99</v>
      </c>
      <c r="C191" s="130"/>
      <c r="D191" s="130"/>
      <c r="E191" s="99" t="n">
        <f aca="false">H148</f>
        <v>-22666.67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-450.85531433819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-450.85531433819</v>
      </c>
      <c r="B212" s="174" t="str">
        <f aca="false">B167</f>
        <v>0</v>
      </c>
      <c r="C212" s="171"/>
      <c r="D212" s="171"/>
      <c r="E212" s="174" t="n">
        <f aca="false">E167</f>
        <v>-450.85531433819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0</v>
      </c>
      <c r="B215" s="99" t="n">
        <f aca="false">B173</f>
        <v>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2295.06399816335</v>
      </c>
      <c r="B224" s="99" t="str">
        <f aca="false">B182</f>
        <v>199.99</v>
      </c>
      <c r="C224" s="99"/>
      <c r="D224" s="109"/>
      <c r="E224" s="99" t="n">
        <f aca="false">E182</f>
        <v>2505.05399816335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-450.85531433819</v>
      </c>
      <c r="B230" s="99" t="str">
        <f aca="false">B167</f>
        <v>0</v>
      </c>
      <c r="C230" s="183"/>
      <c r="D230" s="183"/>
      <c r="E230" s="99" t="n">
        <f aca="false">E167</f>
        <v>-450.85531433819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-22666.67</v>
      </c>
      <c r="B240" s="99" t="n">
        <f aca="false">B68</f>
        <v>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-22566.68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99.99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-15779.9360018367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99.99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1904.00028</v>
      </c>
      <c r="C64" s="211" t="n">
        <v>10000</v>
      </c>
      <c r="D64" s="290" t="n">
        <f aca="false">B64</f>
        <v>1904.00028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272.00004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3230.66694666667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269.222245555556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11091.200336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78.2960895038322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11169.4964255038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930.791368791986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1002.79136879199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930.791368791986</v>
      </c>
      <c r="B128" s="320" t="n">
        <f aca="false">IF(A105="YES", B89, 0)</f>
        <v>72</v>
      </c>
      <c r="C128" s="325"/>
      <c r="D128" s="320" t="n">
        <f aca="false">B91</f>
        <v>1002.79136879199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8377.12231912787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9025.12231912787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930.791368791986</v>
      </c>
      <c r="B137" s="38" t="n">
        <f aca="false">IF(A105="YES", B89, 0)</f>
        <v>72</v>
      </c>
      <c r="C137" s="316"/>
      <c r="D137" s="38" t="n">
        <f aca="false">B91</f>
        <v>1002.79136879199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272.00004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783.99004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1002.79136879199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930.791368791986</v>
      </c>
      <c r="B171" s="354" t="n">
        <f aca="false">IF(A105="YES", B89, 0)</f>
        <v>72</v>
      </c>
      <c r="C171" s="357"/>
      <c r="D171" s="354" t="n">
        <f aca="false">B91</f>
        <v>1002.79136879199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8377.12231912787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9025.12231912787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930.791368791986</v>
      </c>
      <c r="B180" s="99" t="n">
        <f aca="false">IF(A105="YES", B89, 0)</f>
        <v>72</v>
      </c>
      <c r="C180" s="352"/>
      <c r="D180" s="99" t="n">
        <f aca="false">B91</f>
        <v>1002.79136879199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272.00004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783.99004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1904.00028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272.00004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2091.99024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1904.00028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272.00004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78.2960895038322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1904.00028</v>
      </c>
      <c r="C64" s="211"/>
      <c r="D64" s="290" t="n">
        <f aca="false">B64</f>
        <v>1904.00028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272.00004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3230.66694666667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269.222245555556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9242.66694666667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78.2960895038322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9320.9630361705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776.746919680875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836.746919680875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776.746919680875</v>
      </c>
      <c r="B128" s="320" t="n">
        <f aca="false">IF(A105="YES", B89, 0)</f>
        <v>60</v>
      </c>
      <c r="C128" s="325"/>
      <c r="D128" s="320" t="n">
        <f aca="false">B91</f>
        <v>836.746919680875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6990.72227712787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7530.72227712787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776.746919680875</v>
      </c>
      <c r="B137" s="38" t="n">
        <f aca="false">IF(A105="YES", B89, 0)</f>
        <v>60</v>
      </c>
      <c r="C137" s="316"/>
      <c r="D137" s="38" t="n">
        <f aca="false">B91</f>
        <v>836.746919680875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272.00004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783.99004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836.746919680875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776.746919680875</v>
      </c>
      <c r="B171" s="354" t="n">
        <f aca="false">IF(A105="YES", B89, 0)</f>
        <v>60</v>
      </c>
      <c r="C171" s="357"/>
      <c r="D171" s="354" t="n">
        <f aca="false">B91</f>
        <v>836.746919680875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6990.72227712787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7530.72227712787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776.746919680875</v>
      </c>
      <c r="B180" s="99" t="n">
        <f aca="false">IF(A105="YES", B89, 0)</f>
        <v>60</v>
      </c>
      <c r="C180" s="352"/>
      <c r="D180" s="99" t="n">
        <f aca="false">B91</f>
        <v>836.746919680875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272.00004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783.99004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1904.00028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272.00004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2091.99024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1904.00028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272.00004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78.2960895038322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4302.66708666667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119.518530185185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389.783234865848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14254.4186773928</v>
      </c>
      <c r="C85" s="472"/>
      <c r="D85" s="472"/>
      <c r="E85" s="465" t="n">
        <f aca="false">B85/(B58+B57)</f>
        <v>395.956074372021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120.751428892799</v>
      </c>
      <c r="C86" s="472" t="s">
        <v>227</v>
      </c>
      <c r="D86" s="211"/>
      <c r="E86" s="465" t="n">
        <f aca="false">B86/(B58+B57)</f>
        <v>3.3542063581333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14375.1701062856</v>
      </c>
      <c r="C87" s="472"/>
      <c r="D87" s="474"/>
      <c r="E87" s="465" t="n">
        <f aca="false">E86+E85</f>
        <v>399.310280730154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399.310280730154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464.310280730154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262.540746926034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399.310280730154</v>
      </c>
      <c r="B128" s="320" t="n">
        <f aca="false">IF(A105="YES", B89, 0)</f>
        <v>65</v>
      </c>
      <c r="C128" s="324"/>
      <c r="D128" s="320" t="n">
        <f aca="false">B91</f>
        <v>464.310280730154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399.310280730154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464.310280730154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399.310280730154</v>
      </c>
      <c r="B137" s="38" t="n">
        <f aca="false">IF(A105="YES", B89, 0)</f>
        <v>65</v>
      </c>
      <c r="C137" s="316"/>
      <c r="D137" s="38" t="n">
        <f aca="false">B91</f>
        <v>464.310280730154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464.310280730154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399.310280730154</v>
      </c>
      <c r="B177" s="354" t="n">
        <f aca="false">IF(A105="YES", B89, 0)</f>
        <v>65</v>
      </c>
      <c r="C177" s="356"/>
      <c r="D177" s="354" t="n">
        <f aca="false">B91</f>
        <v>464.310280730154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399.310280730154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464.310280730154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399.310280730154</v>
      </c>
      <c r="B186" s="99" t="n">
        <f aca="false">IF(A105="YES", B89, 0)</f>
        <v>65</v>
      </c>
      <c r="C186" s="352"/>
      <c r="D186" s="99" t="n">
        <f aca="false">B91</f>
        <v>464.310280730154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2987.91042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2987.91042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120.751428892799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4811.41708666667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133.65047462963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403.915179310293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17715.8024128713</v>
      </c>
      <c r="C85" s="472"/>
      <c r="D85" s="472"/>
      <c r="E85" s="465" t="n">
        <f aca="false">B85/(B58+B57)</f>
        <v>492.105622579759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125.061130385336</v>
      </c>
      <c r="C86" s="472" t="s">
        <v>227</v>
      </c>
      <c r="D86" s="211"/>
      <c r="E86" s="465" t="n">
        <f aca="false">B86/(B58+B57)</f>
        <v>3.47392028848156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17840.8635432566</v>
      </c>
      <c r="C87" s="472"/>
      <c r="D87" s="474"/>
      <c r="E87" s="465" t="n">
        <f aca="false">E86+E85</f>
        <v>495.57954286824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78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495.57954286824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573.57954286824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262.540746926034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495.57954286824</v>
      </c>
      <c r="B128" s="320" t="n">
        <f aca="false">IF(A105="YES", B89, 0)</f>
        <v>78</v>
      </c>
      <c r="C128" s="324"/>
      <c r="D128" s="320" t="n">
        <f aca="false">B91</f>
        <v>573.57954286824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495.57954286824</v>
      </c>
      <c r="C131" s="316"/>
      <c r="D131" s="38" t="n">
        <f aca="false">IF(A105="YES", B89*B57, 0)</f>
        <v>78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573.57954286824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495.57954286824</v>
      </c>
      <c r="B137" s="38" t="n">
        <f aca="false">IF(A105="YES", B89, 0)</f>
        <v>78</v>
      </c>
      <c r="C137" s="316"/>
      <c r="D137" s="38" t="n">
        <f aca="false">B91</f>
        <v>573.57954286824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573.57954286824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495.57954286824</v>
      </c>
      <c r="B177" s="354" t="n">
        <f aca="false">IF(A105="YES", B89, 0)</f>
        <v>78</v>
      </c>
      <c r="C177" s="356"/>
      <c r="D177" s="354" t="n">
        <f aca="false">B91</f>
        <v>573.57954286824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495.57954286824</v>
      </c>
      <c r="C180" s="352"/>
      <c r="D180" s="99" t="n">
        <f aca="false">IF(A105="YES", B89*B57,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573.57954286824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495.57954286824</v>
      </c>
      <c r="B186" s="99" t="n">
        <f aca="false">IF(A105="YES", B89, 0)</f>
        <v>78</v>
      </c>
      <c r="C186" s="352"/>
      <c r="D186" s="99" t="n">
        <f aca="false">B91</f>
        <v>573.57954286824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2987.91042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2987.91042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125.061130385336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143</v>
      </c>
      <c r="C2" s="481" t="s">
        <v>144</v>
      </c>
      <c r="D2" s="481" t="s">
        <v>145</v>
      </c>
      <c r="E2" s="482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45113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155</v>
      </c>
      <c r="C80" s="316"/>
      <c r="D80" s="316"/>
      <c r="E80" s="403" t="n">
        <f aca="false">E79+D82</f>
        <v>654.833333333333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335</v>
      </c>
      <c r="C81" s="316"/>
      <c r="D81" s="316"/>
      <c r="E81" s="317" t="n">
        <f aca="false">E80/12</f>
        <v>54.5694444444445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40.8333333333333</v>
      </c>
      <c r="C82" s="316"/>
      <c r="D82" s="32" t="n">
        <f aca="false">IF(A50="YES", 0, B82)</f>
        <v>40.8333333333333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5373.45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447.7875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3309.54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23.3630294473578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3332.90302944736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277.741919120613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355.741919120613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277.741919120613</v>
      </c>
      <c r="B134" s="320" t="n">
        <f aca="false">IF(A111="YES", B95, 0)</f>
        <v>78</v>
      </c>
      <c r="C134" s="324"/>
      <c r="D134" s="320" t="n">
        <f aca="false">B97</f>
        <v>355.741919120613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2499.67727208552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3201.67727208552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277.741919120613</v>
      </c>
      <c r="B143" s="38" t="n">
        <f aca="false">IF(A111="YES", B95, 0)</f>
        <v>78</v>
      </c>
      <c r="C143" s="316"/>
      <c r="D143" s="38" t="n">
        <f aca="false">B97</f>
        <v>355.741919120613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807.416666666667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355.741919120613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277.741919120613</v>
      </c>
      <c r="B177" s="354" t="n">
        <f aca="false">IF(A111="YES", B95, 0)</f>
        <v>78</v>
      </c>
      <c r="C177" s="356"/>
      <c r="D177" s="354" t="n">
        <f aca="false">A177+B177</f>
        <v>355.741919120613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2499.67727208552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3201.67727208552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277.741919120613</v>
      </c>
      <c r="B186" s="99" t="n">
        <f aca="false">IF(A111="YES", B95, 0)</f>
        <v>78</v>
      </c>
      <c r="C186" s="352"/>
      <c r="D186" s="99" t="n">
        <f aca="false">B97</f>
        <v>355.741919120613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807.416666666667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4282.51666666667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4282.51666666667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23.3630294473578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143</v>
      </c>
      <c r="C2" s="481" t="s">
        <v>144</v>
      </c>
      <c r="D2" s="481" t="s">
        <v>145</v>
      </c>
      <c r="E2" s="482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45113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155</v>
      </c>
      <c r="C80" s="316"/>
      <c r="D80" s="316"/>
      <c r="E80" s="403" t="n">
        <f aca="false">E79+D82</f>
        <v>654.833333333333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335</v>
      </c>
      <c r="C81" s="316"/>
      <c r="D81" s="316"/>
      <c r="E81" s="317" t="n">
        <f aca="false">E80/12</f>
        <v>54.5694444444445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40.8333333333333</v>
      </c>
      <c r="C82" s="316"/>
      <c r="D82" s="32" t="n">
        <f aca="false">IF(A50="YES", 0, B82)</f>
        <v>40.8333333333333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5373.45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447.7875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2757.95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23.3630294473578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2781.31302944736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231.77608578728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296.77608578728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231.77608578728</v>
      </c>
      <c r="B134" s="320" t="n">
        <f aca="false">IF(A111="YES", B95, 0)</f>
        <v>65</v>
      </c>
      <c r="C134" s="325"/>
      <c r="D134" s="320" t="n">
        <f aca="false">B97</f>
        <v>296.77608578728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2085.98477208552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2670.98477208552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231.77608578728</v>
      </c>
      <c r="B143" s="38" t="n">
        <f aca="false">IF(A111="YES", B95, 0)</f>
        <v>65</v>
      </c>
      <c r="C143" s="316"/>
      <c r="D143" s="38" t="n">
        <f aca="false">B97</f>
        <v>296.77608578728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296.77608578728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231.77608578728</v>
      </c>
      <c r="B177" s="354" t="n">
        <f aca="false">IF(A111="YES", B95, 0)</f>
        <v>65</v>
      </c>
      <c r="C177" s="357"/>
      <c r="D177" s="354" t="n">
        <f aca="false">B91</f>
        <v>2757.95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2085.98477208552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2670.98477208552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231.77608578728</v>
      </c>
      <c r="B186" s="99" t="n">
        <f aca="false">IF(A111="YES", B95, 0)</f>
        <v>65</v>
      </c>
      <c r="C186" s="352"/>
      <c r="D186" s="99" t="n">
        <f aca="false">B97</f>
        <v>296.77608578728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807.415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4282.515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4282.515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23.3630294473578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46877.5</v>
      </c>
      <c r="B37" s="32"/>
      <c r="C37" s="41" t="s">
        <v>45</v>
      </c>
      <c r="D37" s="41"/>
      <c r="E37" s="32"/>
      <c r="F37" s="43" t="n">
        <f aca="false">A37-C37</f>
        <v>45877.5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9247.5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249.924242424242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300.075757575758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301.045454545455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251.045454545455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301.045454545455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55485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55485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55485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55485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48370.3147968251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51453.7517664729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51453.7517664729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526.171875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3987.984375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520.171875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409.394521875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301.045454545455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301.045454545455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301.045454545455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45877.5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43668.749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43668.749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41497.6467407538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43660.1897086168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43660.1897086168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1511.94733740079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1608.30474270228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1608.30474270228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48382.3147968251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51465.7517664729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51465.7517664729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48382.3147968251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51465.7517664729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51465.7517664729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67.03125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1511.94733740079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1608.30474270228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1608.30474270228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1578.97858740079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1608.30474270228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1608.30474270228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44854.17</v>
      </c>
      <c r="C130" s="40" t="n">
        <f aca="false">B130</f>
        <v>44854.17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44854.17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44854.17</v>
      </c>
      <c r="U130" s="40" t="n">
        <f aca="false">T130</f>
        <v>44854.17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44854.17</v>
      </c>
      <c r="AD130" s="40" t="n">
        <f aca="false">AC130</f>
        <v>44854.17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11213.5425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11213.5425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44854.17</v>
      </c>
      <c r="C134" s="65" t="n">
        <f aca="false">C130-C133</f>
        <v>44854.17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44854.17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44854.17</v>
      </c>
      <c r="U134" s="65" t="n">
        <f aca="false">U130-U133</f>
        <v>33640.6275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44854.17</v>
      </c>
      <c r="AD134" s="65" t="n">
        <f aca="false">AD130-AD133</f>
        <v>33640.6275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45687.5</v>
      </c>
      <c r="H144" s="150" t="n">
        <f aca="false">C134+E134+G134+H137</f>
        <v>45687.5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45687.5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45687.5</v>
      </c>
      <c r="Z144" s="150" t="n">
        <f aca="false">U134+W134+Y134+Z137</f>
        <v>34473.9575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45687.5</v>
      </c>
      <c r="AI144" s="150" t="n">
        <f aca="false">AD134+AF134+AH134+AI137</f>
        <v>34473.9575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9247.5</v>
      </c>
      <c r="H146" s="33" t="n">
        <f aca="false">(H144+H145)*20%</f>
        <v>9247.5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9247.5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9247.5</v>
      </c>
      <c r="Z146" s="33" t="n">
        <f aca="false">(Z144+Z145)*20%</f>
        <v>7004.7915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9247.5</v>
      </c>
      <c r="AI146" s="33" t="n">
        <f aca="false">(AI144+AI145)*20%</f>
        <v>7004.7915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56125</v>
      </c>
      <c r="H150" s="154" t="n">
        <f aca="false">(H144+H145+H148+H149+H146)-H147</f>
        <v>56125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56125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56125</v>
      </c>
      <c r="Z150" s="154" t="n">
        <f aca="false">(Z144+Z145+Z148+Z149+Z146)-Z147</f>
        <v>42668.749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56125</v>
      </c>
      <c r="AI150" s="154" t="n">
        <f aca="false">(AI144+AI145+AI148+AI149+AI146)-AI147</f>
        <v>42668.749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56125</v>
      </c>
      <c r="H156" s="161" t="n">
        <f aca="false">H150-((H153*1.2)+(H154*1.2)+(H155*1.2)+(H151*1.2))</f>
        <v>56125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56125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56125</v>
      </c>
      <c r="Z156" s="161" t="n">
        <f aca="false">Z150-((Z153*1.2)+(Z154*1.2)+(Z155*1.2)+(Z151*1.2))</f>
        <v>42668.749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56125</v>
      </c>
      <c r="AI156" s="161" t="n">
        <f aca="false">AI150-((AI153*1.2)+(AI154*1.2)+(AI155*1.2)+(AI151*1.2))</f>
        <v>42668.749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-19470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-13456.251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-13456.251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56125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43668.749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43668.749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1511.94733740079</v>
      </c>
      <c r="B176" s="174" t="n">
        <f aca="false">B103</f>
        <v>67.03125</v>
      </c>
      <c r="C176" s="171"/>
      <c r="D176" s="171"/>
      <c r="E176" s="174" t="n">
        <f aca="false">B105</f>
        <v>1578.97858740079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1608.30474270228</v>
      </c>
      <c r="T176" s="175" t="n">
        <f aca="false">T103</f>
        <v>0</v>
      </c>
      <c r="U176" s="172"/>
      <c r="V176" s="172"/>
      <c r="W176" s="175" t="n">
        <f aca="false">T105</f>
        <v>1608.30474270228</v>
      </c>
      <c r="X176" s="23"/>
      <c r="Y176" s="23"/>
      <c r="Z176" s="33"/>
      <c r="AB176" s="173" t="n">
        <f aca="false">AC104</f>
        <v>1608.30474270228</v>
      </c>
      <c r="AC176" s="175" t="n">
        <f aca="false">AC103</f>
        <v>0</v>
      </c>
      <c r="AD176" s="172"/>
      <c r="AE176" s="172"/>
      <c r="AF176" s="175" t="n">
        <f aca="false">AC105</f>
        <v>1608.30474270228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46237.5</v>
      </c>
      <c r="B182" s="99" t="n">
        <f aca="false">H146</f>
        <v>9247.5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35023.9575</v>
      </c>
      <c r="T182" s="38" t="n">
        <f aca="false">Z146</f>
        <v>7004.7915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35023.9575</v>
      </c>
      <c r="AC182" s="38" t="n">
        <f aca="false">AI146</f>
        <v>7004.7915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56125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42668.749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42668.749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56125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43668.749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43668.749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-1742.68520317486</v>
      </c>
      <c r="B191" s="99" t="str">
        <f aca="false">B123</f>
        <v>199.99</v>
      </c>
      <c r="C191" s="99"/>
      <c r="D191" s="23"/>
      <c r="E191" s="99" t="n">
        <f aca="false">E188+A191+B191+A194</f>
        <v>54592.3047968251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7809.00276647286</v>
      </c>
      <c r="T191" s="38" t="n">
        <f aca="false">T123</f>
        <v>199.99</v>
      </c>
      <c r="U191" s="38"/>
      <c r="V191" s="23"/>
      <c r="W191" s="38" t="n">
        <f aca="false">W188+S191+T191+S194</f>
        <v>51687.7417664729</v>
      </c>
      <c r="X191" s="23"/>
      <c r="Y191" s="23"/>
      <c r="Z191" s="101"/>
      <c r="AB191" s="107" t="n">
        <f aca="false">(AB176*AC68)+AF194-AF188-AB194</f>
        <v>7809.00276647286</v>
      </c>
      <c r="AC191" s="38" t="n">
        <f aca="false">AC123</f>
        <v>239.99</v>
      </c>
      <c r="AD191" s="38"/>
      <c r="AE191" s="23"/>
      <c r="AF191" s="38" t="n">
        <f aca="false">AF188+AB191+AC191+AB194</f>
        <v>51727.7417664729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11.097</v>
      </c>
      <c r="B197" s="99" t="n">
        <f aca="false">(G167*B76)/1.2</f>
        <v>438.4765625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0.11225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341.1621015625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341.1621015625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587.9665625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-19470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1441.1521015625</v>
      </c>
      <c r="U200" s="32"/>
      <c r="V200" s="32"/>
      <c r="W200" s="38" t="n">
        <f aca="false">Z157</f>
        <v>-13456.251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1481.1521015625</v>
      </c>
      <c r="AD200" s="32"/>
      <c r="AE200" s="32"/>
      <c r="AF200" s="38" t="n">
        <f aca="false">AI157</f>
        <v>-13456.251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1578.97858740079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1608.30474270228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1608.30474270228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1511.94733740079</v>
      </c>
      <c r="B221" s="174" t="n">
        <f aca="false">B176</f>
        <v>67.03125</v>
      </c>
      <c r="C221" s="171"/>
      <c r="D221" s="171"/>
      <c r="E221" s="174" t="n">
        <f aca="false">E176</f>
        <v>1578.97858740079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46237.5</v>
      </c>
      <c r="B224" s="99" t="n">
        <f aca="false">B182</f>
        <v>9247.5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56125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56125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-1742.68520317486</v>
      </c>
      <c r="B233" s="99" t="str">
        <f aca="false">B191</f>
        <v>199.99</v>
      </c>
      <c r="C233" s="99"/>
      <c r="D233" s="109"/>
      <c r="E233" s="99" t="n">
        <f aca="false">E191</f>
        <v>54592.3047968251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1511.94733740079</v>
      </c>
      <c r="B239" s="99" t="n">
        <f aca="false">B176</f>
        <v>67.03125</v>
      </c>
      <c r="C239" s="183"/>
      <c r="D239" s="183"/>
      <c r="E239" s="99" t="n">
        <f aca="false">E176</f>
        <v>1578.97858740079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33.291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11.097</v>
      </c>
      <c r="B245" s="99" t="n">
        <f aca="false">E242+A245</f>
        <v>44.388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438.4765625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587.9665625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526.171875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</v>
      </c>
      <c r="C264" s="194"/>
      <c r="D264" s="195" t="s">
        <v>215</v>
      </c>
      <c r="E264" s="195"/>
      <c r="F264" s="196" t="n">
        <f aca="false">(B263-F263)+B264</f>
        <v>68.8181249999999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48382.3147968251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526.171875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68.8181249999999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46877.5</v>
      </c>
      <c r="B37" s="32"/>
      <c r="C37" s="41" t="s">
        <v>45</v>
      </c>
      <c r="D37" s="41"/>
      <c r="E37" s="32"/>
      <c r="F37" s="43" t="n">
        <f aca="false">A37-C37</f>
        <v>45877.5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9247.5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249.924242424242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300.075757575758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301.045454545455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251.045454545455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301.045454545455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55485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55485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55485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55485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48370.3147968251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51453.7517664729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51453.7517664729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526.171875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3987.984375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520.171875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409.394521875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301.045454545455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301.045454545455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301.045454545455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45877.5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43668.749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43668.749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41497.6467407538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43660.1897086168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43660.1897086168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1511.94733740079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1608.30474270228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1608.30474270228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48382.3147968251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51465.7517664729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51465.7517664729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48382.3147968251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51465.7517664729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51465.7517664729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1511.94733740079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1608.30474270228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1608.30474270228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1592.38483740079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1608.30474270228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1608.30474270228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44854.17</v>
      </c>
      <c r="C130" s="40" t="n">
        <f aca="false">B130</f>
        <v>44854.17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44854.17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44854.17</v>
      </c>
      <c r="U130" s="40" t="n">
        <f aca="false">T130</f>
        <v>44854.17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44854.17</v>
      </c>
      <c r="AD130" s="40" t="n">
        <f aca="false">AC130</f>
        <v>44854.17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11213.5425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11213.5425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44854.17</v>
      </c>
      <c r="C134" s="65" t="n">
        <f aca="false">C130-C133</f>
        <v>44854.17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44854.17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44854.17</v>
      </c>
      <c r="U134" s="65" t="n">
        <f aca="false">U130-U133</f>
        <v>33640.6275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44854.17</v>
      </c>
      <c r="AD134" s="65" t="n">
        <f aca="false">AD130-AD133</f>
        <v>33640.6275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45687.5</v>
      </c>
      <c r="H144" s="150" t="n">
        <f aca="false">C134+E134+G134+H137</f>
        <v>45687.5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45687.5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45687.5</v>
      </c>
      <c r="Z144" s="150" t="n">
        <f aca="false">U134+W134+Y134+Z137</f>
        <v>34473.9575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45687.5</v>
      </c>
      <c r="AI144" s="150" t="n">
        <f aca="false">AD134+AF134+AH134+AI137</f>
        <v>34473.9575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9247.5</v>
      </c>
      <c r="H146" s="33" t="n">
        <f aca="false">(H144+H145)*20%</f>
        <v>9247.5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9247.5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9247.5</v>
      </c>
      <c r="Z146" s="33" t="n">
        <f aca="false">(Z144+Z145)*20%</f>
        <v>7004.7915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9247.5</v>
      </c>
      <c r="AI146" s="33" t="n">
        <f aca="false">(AI144+AI145)*20%</f>
        <v>7004.7915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56125</v>
      </c>
      <c r="H150" s="154" t="n">
        <f aca="false">(H144+H145+H148+H149+H146)-H147</f>
        <v>56125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56125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56125</v>
      </c>
      <c r="Z150" s="154" t="n">
        <f aca="false">(Z144+Z145+Z148+Z149+Z146)-Z147</f>
        <v>42668.749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56125</v>
      </c>
      <c r="AI150" s="154" t="n">
        <f aca="false">(AI144+AI145+AI148+AI149+AI146)-AI147</f>
        <v>42668.749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56125</v>
      </c>
      <c r="H156" s="161" t="n">
        <f aca="false">H150-((H153*1.2)+(H154*1.2)+(H155*1.2)+(H151*1.2))</f>
        <v>56125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56125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56125</v>
      </c>
      <c r="Z156" s="161" t="n">
        <f aca="false">Z150-((Z153*1.2)+(Z154*1.2)+(Z155*1.2)+(Z151*1.2))</f>
        <v>42668.749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56125</v>
      </c>
      <c r="AI156" s="161" t="n">
        <f aca="false">AI150-((AI153*1.2)+(AI154*1.2)+(AI155*1.2)+(AI151*1.2))</f>
        <v>42668.749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-19470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-13456.251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-13456.251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56125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43668.749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43668.749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1511.94733740079</v>
      </c>
      <c r="B176" s="174" t="n">
        <f aca="false">B103</f>
        <v>80.4375</v>
      </c>
      <c r="C176" s="171"/>
      <c r="D176" s="171"/>
      <c r="E176" s="174" t="n">
        <f aca="false">B105</f>
        <v>1592.38483740079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1608.30474270228</v>
      </c>
      <c r="T176" s="175" t="n">
        <f aca="false">T103</f>
        <v>0</v>
      </c>
      <c r="U176" s="172"/>
      <c r="V176" s="172"/>
      <c r="W176" s="175" t="n">
        <f aca="false">T105</f>
        <v>1608.30474270228</v>
      </c>
      <c r="X176" s="23"/>
      <c r="Y176" s="23"/>
      <c r="Z176" s="33"/>
      <c r="AB176" s="173" t="n">
        <f aca="false">AC104</f>
        <v>1608.30474270228</v>
      </c>
      <c r="AC176" s="175" t="n">
        <f aca="false">AC103</f>
        <v>0</v>
      </c>
      <c r="AD176" s="172"/>
      <c r="AE176" s="172"/>
      <c r="AF176" s="175" t="n">
        <f aca="false">AC105</f>
        <v>1608.30474270228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46237.5</v>
      </c>
      <c r="B182" s="99" t="n">
        <f aca="false">H146</f>
        <v>9247.5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35023.9575</v>
      </c>
      <c r="T182" s="38" t="n">
        <f aca="false">Z146</f>
        <v>7004.7915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35023.9575</v>
      </c>
      <c r="AC182" s="38" t="n">
        <f aca="false">AI146</f>
        <v>7004.7915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56125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42668.749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42668.749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56125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43668.749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43668.749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-1742.68520317486</v>
      </c>
      <c r="B191" s="99" t="str">
        <f aca="false">B123</f>
        <v>239.99</v>
      </c>
      <c r="C191" s="99"/>
      <c r="D191" s="23"/>
      <c r="E191" s="99" t="n">
        <f aca="false">E188+A191+B191+A194</f>
        <v>54632.3047968251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7809.00276647286</v>
      </c>
      <c r="T191" s="38" t="n">
        <f aca="false">T123</f>
        <v>199.99</v>
      </c>
      <c r="U191" s="38"/>
      <c r="V191" s="23"/>
      <c r="W191" s="38" t="n">
        <f aca="false">W188+S191+T191+S194</f>
        <v>51687.7417664729</v>
      </c>
      <c r="X191" s="23"/>
      <c r="Y191" s="23"/>
      <c r="Z191" s="101"/>
      <c r="AB191" s="107" t="n">
        <f aca="false">(AB176*AC68)+AF194-AF188-AB194</f>
        <v>7809.00276647286</v>
      </c>
      <c r="AC191" s="38" t="n">
        <f aca="false">AC123</f>
        <v>239.99</v>
      </c>
      <c r="AD191" s="38"/>
      <c r="AE191" s="23"/>
      <c r="AF191" s="38" t="n">
        <f aca="false">AF188+AB191+AC191+AB194</f>
        <v>51727.7417664729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13.3164</v>
      </c>
      <c r="B197" s="99" t="n">
        <f aca="false">(G167*B76)/1.2</f>
        <v>438.4765625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0.11225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341.1621015625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341.1621015625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587.968229166667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-19470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1441.1521015625</v>
      </c>
      <c r="U200" s="32"/>
      <c r="V200" s="32"/>
      <c r="W200" s="38" t="n">
        <f aca="false">Z157</f>
        <v>-13456.251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1481.1521015625</v>
      </c>
      <c r="AD200" s="32"/>
      <c r="AE200" s="32"/>
      <c r="AF200" s="38" t="n">
        <f aca="false">AI157</f>
        <v>-13456.251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1592.38483740079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1608.30474270228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1608.30474270228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1511.94733740079</v>
      </c>
      <c r="B221" s="174" t="n">
        <f aca="false">B176</f>
        <v>80.4375</v>
      </c>
      <c r="C221" s="171"/>
      <c r="D221" s="171"/>
      <c r="E221" s="174" t="n">
        <f aca="false">E176</f>
        <v>1592.38483740079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46237.5</v>
      </c>
      <c r="B224" s="99" t="n">
        <f aca="false">B182</f>
        <v>9247.5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56125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56125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-1742.68520317486</v>
      </c>
      <c r="B233" s="99" t="str">
        <f aca="false">B191</f>
        <v>239.99</v>
      </c>
      <c r="C233" s="99"/>
      <c r="D233" s="109"/>
      <c r="E233" s="99" t="n">
        <f aca="false">E191</f>
        <v>54632.3047968251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1511.94733740079</v>
      </c>
      <c r="B239" s="99" t="n">
        <f aca="false">B176</f>
        <v>80.4375</v>
      </c>
      <c r="C239" s="183"/>
      <c r="D239" s="183"/>
      <c r="E239" s="99" t="n">
        <f aca="false">E176</f>
        <v>1592.38483740079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39.9492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13.3164</v>
      </c>
      <c r="B245" s="99" t="n">
        <f aca="false">E242+A245</f>
        <v>53.2656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438.4765625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587.968229166667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526.171875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594.991666666667</v>
      </c>
      <c r="C264" s="194"/>
      <c r="D264" s="195" t="s">
        <v>215</v>
      </c>
      <c r="E264" s="195"/>
      <c r="F264" s="196" t="n">
        <f aca="false">(B263-F263)+B264</f>
        <v>68.8197916666666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48382.3147968251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526.171875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68.8197916666666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4811.41708666667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133.65047462963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403.915179310293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14763.1686773928</v>
      </c>
      <c r="C85" s="472"/>
      <c r="D85" s="472"/>
      <c r="E85" s="465" t="n">
        <f aca="false">B85/(B58+B57)</f>
        <v>410.088018816465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125.061130385336</v>
      </c>
      <c r="C86" s="472" t="s">
        <v>227</v>
      </c>
      <c r="D86" s="211"/>
      <c r="E86" s="465" t="n">
        <f aca="false">B86/(B58+B57)</f>
        <v>3.47392028848156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14888.2298077781</v>
      </c>
      <c r="C87" s="472"/>
      <c r="D87" s="474"/>
      <c r="E87" s="465" t="n">
        <f aca="false">E86+E85</f>
        <v>413.561939104947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413.561939104947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478.561939104947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262.540746926034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413.561939104947</v>
      </c>
      <c r="B128" s="320" t="n">
        <f aca="false">IF(A105="YES", B89, 0)</f>
        <v>65</v>
      </c>
      <c r="C128" s="324"/>
      <c r="D128" s="320" t="n">
        <f aca="false">B91</f>
        <v>478.561939104947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413.561939104947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478.561939104947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413.561939104947</v>
      </c>
      <c r="B137" s="38" t="n">
        <f aca="false">IF(A105="YES", B89, 0)</f>
        <v>65</v>
      </c>
      <c r="C137" s="316"/>
      <c r="D137" s="38" t="n">
        <f aca="false">B91</f>
        <v>478.561939104947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478.561939104947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413.561939104947</v>
      </c>
      <c r="B177" s="354" t="n">
        <f aca="false">IF(A105="YES", B89, 0)</f>
        <v>65</v>
      </c>
      <c r="C177" s="356"/>
      <c r="D177" s="354" t="n">
        <f aca="false">B91</f>
        <v>478.561939104947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413.561939104947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478.561939104947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413.561939104947</v>
      </c>
      <c r="B186" s="99" t="n">
        <f aca="false">IF(A105="YES", B89, 0)</f>
        <v>65</v>
      </c>
      <c r="C186" s="352"/>
      <c r="D186" s="99" t="n">
        <f aca="false">B91</f>
        <v>478.561939104947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2987.89042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2987.89042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125.061130385336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49615.950777274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1566.13482542617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1566.13482542617</v>
      </c>
      <c r="B167" s="174" t="str">
        <f aca="false">B94</f>
        <v>0</v>
      </c>
      <c r="C167" s="171"/>
      <c r="D167" s="171"/>
      <c r="E167" s="174" t="n">
        <f aca="false">B96</f>
        <v>1566.13482542617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239.99</v>
      </c>
      <c r="C182" s="99"/>
      <c r="D182" s="23"/>
      <c r="E182" s="99" t="n">
        <f aca="false">E179+A182+B182+A185</f>
        <v>56366.3044136376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13.3164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538.468229166667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1566.13482542617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str">
        <f aca="false">B167</f>
        <v>0</v>
      </c>
      <c r="C212" s="171"/>
      <c r="D212" s="171"/>
      <c r="E212" s="174" t="n">
        <f aca="false">E167</f>
        <v>1566.13482542617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239.99</v>
      </c>
      <c r="C224" s="99"/>
      <c r="D224" s="109"/>
      <c r="E224" s="99" t="n">
        <f aca="false">E182</f>
        <v>56366.3044136376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str">
        <f aca="false">B167</f>
        <v>0</v>
      </c>
      <c r="C230" s="183"/>
      <c r="D230" s="183"/>
      <c r="E230" s="99" t="n">
        <f aca="false">E167</f>
        <v>1566.13482542617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39.9492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13.3164</v>
      </c>
      <c r="B236" s="99" t="n">
        <f aca="false">E233+A236</f>
        <v>53.2656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538.468229166667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-426.180208333333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-426.180208333333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49615.950777274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1566.13482542617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1566.13482542617</v>
      </c>
      <c r="B167" s="174" t="str">
        <f aca="false">B94</f>
        <v>0</v>
      </c>
      <c r="C167" s="171"/>
      <c r="D167" s="171"/>
      <c r="E167" s="174" t="n">
        <f aca="false">B96</f>
        <v>1566.13482542617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199.99</v>
      </c>
      <c r="C182" s="99"/>
      <c r="D182" s="23"/>
      <c r="E182" s="99" t="n">
        <f aca="false">E179+A182+B182+A185</f>
        <v>56326.3044136376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11.097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538.4665625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1566.13482542617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str">
        <f aca="false">B167</f>
        <v>0</v>
      </c>
      <c r="C212" s="171"/>
      <c r="D212" s="171"/>
      <c r="E212" s="174" t="n">
        <f aca="false">E167</f>
        <v>1566.13482542617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199.99</v>
      </c>
      <c r="C224" s="99"/>
      <c r="D224" s="109"/>
      <c r="E224" s="99" t="n">
        <f aca="false">E182</f>
        <v>56326.3044136376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str">
        <f aca="false">B167</f>
        <v>0</v>
      </c>
      <c r="C230" s="183"/>
      <c r="D230" s="183"/>
      <c r="E230" s="99" t="n">
        <f aca="false">E167</f>
        <v>1566.13482542617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33.291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11.097</v>
      </c>
      <c r="B236" s="99" t="n">
        <f aca="false">E233+A236</f>
        <v>44.388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538.4665625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-426.181875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-426.181875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85" zoomScaleNormal="8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47270.8981671663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0.107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0.00891666666666667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4476.37509036003</v>
      </c>
      <c r="C86" s="130" t="n">
        <f aca="false">(B82/((1+B84)^(B85+1)))</f>
        <v>4476.37509036003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27.7329077585843</v>
      </c>
      <c r="C87" s="130" t="n">
        <f aca="false">((1-(1/((1+B84)^B85)))/B84)</f>
        <v>27.7329077585843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41401.12490964</v>
      </c>
      <c r="C88" s="130" t="n">
        <f aca="false">B81-B86</f>
        <v>41401.12490964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1492.85193136031</v>
      </c>
      <c r="C89" s="130" t="n">
        <f aca="false">(B88/B87)</f>
        <v>1492.85193136031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47771.26180353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47771.26180353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1492.85193136031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1492.85193136031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0.107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1492.85193136031</v>
      </c>
      <c r="B167" s="174" t="str">
        <f aca="false">B94</f>
        <v>0</v>
      </c>
      <c r="C167" s="171"/>
      <c r="D167" s="171"/>
      <c r="E167" s="174" t="n">
        <f aca="false">B96</f>
        <v>1492.85193136031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-2353.73819647005</v>
      </c>
      <c r="B182" s="99" t="str">
        <f aca="false">B114</f>
        <v>239.99</v>
      </c>
      <c r="C182" s="99"/>
      <c r="D182" s="23"/>
      <c r="E182" s="99" t="n">
        <f aca="false">E179+A182+B182+A185</f>
        <v>54021.25180353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13.3164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538.468229166667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1492.85193136031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1492.85193136031</v>
      </c>
      <c r="B212" s="174" t="str">
        <f aca="false">B167</f>
        <v>0</v>
      </c>
      <c r="C212" s="171"/>
      <c r="D212" s="171"/>
      <c r="E212" s="174" t="n">
        <f aca="false">E167</f>
        <v>1492.85193136031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-2353.73819647005</v>
      </c>
      <c r="B224" s="99" t="str">
        <f aca="false">B182</f>
        <v>239.99</v>
      </c>
      <c r="C224" s="99"/>
      <c r="D224" s="109"/>
      <c r="E224" s="99" t="n">
        <f aca="false">E182</f>
        <v>54021.25180353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1492.85193136031</v>
      </c>
      <c r="B230" s="99" t="str">
        <f aca="false">B167</f>
        <v>0</v>
      </c>
      <c r="C230" s="183"/>
      <c r="D230" s="183"/>
      <c r="E230" s="99" t="n">
        <f aca="false">E167</f>
        <v>1492.85193136031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13.3164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538.468229166667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0.107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-426.180208333333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0.107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-426.180208333333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960.257225314867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6.864</v>
      </c>
      <c r="C134" s="325"/>
      <c r="D134" s="320" t="n">
        <f aca="false">B97</f>
        <v>960.257225314867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8580.53902783381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8642.3150278338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6.864</v>
      </c>
      <c r="C143" s="316"/>
      <c r="D143" s="38" t="n">
        <f aca="false">B97</f>
        <v>960.257225314867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791.3158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960.257225314867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6.864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8580.53902783381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8642.3150278338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6.864</v>
      </c>
      <c r="C186" s="352"/>
      <c r="D186" s="99" t="n">
        <f aca="false">B97</f>
        <v>960.257225314867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791.3158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4121.523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4121.523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13662.54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13758.9879427188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8.2368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1146.5823285599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1154.8191285599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1146.5823285599</v>
      </c>
      <c r="B134" s="320" t="n">
        <f aca="false">IF(A111="YES", B95, 0)</f>
        <v>8.2368</v>
      </c>
      <c r="C134" s="325"/>
      <c r="D134" s="320" t="n">
        <f aca="false">B97</f>
        <v>1154.8191285599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10319.2409570391</v>
      </c>
      <c r="C137" s="316"/>
      <c r="D137" s="38" t="n">
        <f aca="false">IF(A111="YES", B95*B63, 0)</f>
        <v>74.1312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10393.3721570391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1146.5823285599</v>
      </c>
      <c r="B143" s="38" t="n">
        <f aca="false">IF(A111="YES", B95, 0)</f>
        <v>8.2368</v>
      </c>
      <c r="C143" s="316"/>
      <c r="D143" s="38" t="n">
        <f aca="false">B97</f>
        <v>1154.8191285599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791.317466666667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1154.8191285599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1146.5823285599</v>
      </c>
      <c r="B177" s="354" t="n">
        <f aca="false">IF(A111="YES", B95, 0)</f>
        <v>8.2368</v>
      </c>
      <c r="C177" s="357"/>
      <c r="D177" s="354" t="n">
        <f aca="false">B91</f>
        <v>13662.54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10319.2409570391</v>
      </c>
      <c r="C180" s="352"/>
      <c r="D180" s="99" t="n">
        <f aca="false">IF(A111="YES", B95*B63, 0)</f>
        <v>74.1312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10393.3721570391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1146.5823285599</v>
      </c>
      <c r="B186" s="99" t="n">
        <f aca="false">IF(A111="YES", B95, 0)</f>
        <v>8.2368</v>
      </c>
      <c r="C186" s="352"/>
      <c r="D186" s="99" t="n">
        <f aca="false">B97</f>
        <v>1154.8191285599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791.317466666667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358.999666666667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4121.52466666667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4121.52466666667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 t="n">
        <v>0</v>
      </c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393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28.61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398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11385.45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11481.8979427188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956.824828559903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956.824828559903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260</v>
      </c>
      <c r="C105" s="311"/>
      <c r="D105" s="420" t="n">
        <v>6300.0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393</v>
      </c>
      <c r="B111" s="311" t="n">
        <v>0.2</v>
      </c>
      <c r="C111" s="311"/>
      <c r="D111" s="103" t="n">
        <v>440.0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956.824828559903</v>
      </c>
      <c r="B134" s="320" t="n">
        <f aca="false">IF(A111="YES", B95, 0)</f>
        <v>0</v>
      </c>
      <c r="C134" s="325"/>
      <c r="D134" s="320" t="n">
        <f aca="false">B97</f>
        <v>956.824828559903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8611.42345703913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8611.42345703913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956.824828559903</v>
      </c>
      <c r="B143" s="38" t="n">
        <f aca="false">IF(A111="YES", B95, 0)</f>
        <v>0</v>
      </c>
      <c r="C143" s="316"/>
      <c r="D143" s="38" t="n">
        <f aca="false">B97</f>
        <v>956.824828559903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956.824828559903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956.824828559903</v>
      </c>
      <c r="B177" s="354" t="n">
        <f aca="false">IF(A111="YES", B95, 0)</f>
        <v>0</v>
      </c>
      <c r="C177" s="357"/>
      <c r="D177" s="354" t="n">
        <f aca="false">B91</f>
        <v>11385.45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8611.42345703913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8611.42345703913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956.824828559903</v>
      </c>
      <c r="B186" s="99" t="n">
        <f aca="false">IF(A111="YES", B95, 0)</f>
        <v>0</v>
      </c>
      <c r="C186" s="352"/>
      <c r="D186" s="99" t="n">
        <f aca="false">B97</f>
        <v>956.824828559903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240</v>
      </c>
      <c r="H32" s="221" t="n">
        <f aca="false">A41</f>
        <v>14.2424242424242</v>
      </c>
      <c r="I32" s="0"/>
      <c r="J32" s="44" t="s">
        <v>37</v>
      </c>
      <c r="K32" s="262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49601.7083530315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1583.75982542617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1566.13482542617</v>
      </c>
      <c r="B167" s="174" t="n">
        <f aca="false">B94</f>
        <v>17.625</v>
      </c>
      <c r="C167" s="171"/>
      <c r="D167" s="171"/>
      <c r="E167" s="174" t="n">
        <f aca="false">B96</f>
        <v>1583.75982542617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199.99</v>
      </c>
      <c r="C182" s="99"/>
      <c r="D182" s="23"/>
      <c r="E182" s="99" t="n">
        <f aca="false">E179+A182+B182+A185</f>
        <v>56326.3044136376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11.097</v>
      </c>
      <c r="B188" s="99" t="n">
        <f aca="false">(G158*B67)/1.2</f>
        <v>438.4765625</v>
      </c>
      <c r="C188" s="130"/>
      <c r="D188" s="130"/>
      <c r="E188" s="99" t="n">
        <f aca="false">IF(E105 ="YES"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547.8665625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1583.75982542617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n">
        <f aca="false">B167</f>
        <v>17.625</v>
      </c>
      <c r="C212" s="171"/>
      <c r="D212" s="171"/>
      <c r="E212" s="174" t="n">
        <f aca="false">E167</f>
        <v>1583.75982542617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199.99</v>
      </c>
      <c r="C224" s="99"/>
      <c r="D224" s="109"/>
      <c r="E224" s="99" t="n">
        <f aca="false">E182</f>
        <v>56326.3044136376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n">
        <f aca="false">B167</f>
        <v>17.625</v>
      </c>
      <c r="C230" s="183"/>
      <c r="D230" s="183"/>
      <c r="E230" s="99" t="n">
        <f aca="false">E167</f>
        <v>1583.75982542617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11.097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547.8665625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193.99</v>
      </c>
      <c r="C255" s="194"/>
      <c r="D255" s="195" t="s">
        <v>215</v>
      </c>
      <c r="E255" s="195"/>
      <c r="F255" s="196" t="n">
        <f aca="false">(B254-F254)+B255</f>
        <v>-332.181875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-332.181875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1031.39322531487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78</v>
      </c>
      <c r="C134" s="325"/>
      <c r="D134" s="320" t="n">
        <f aca="false">B97</f>
        <v>1031.39322531487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8580.53902783381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9282.53902783381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78</v>
      </c>
      <c r="C143" s="316"/>
      <c r="D143" s="38" t="n">
        <f aca="false">B97</f>
        <v>1031.39322531487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1031.39322531487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78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8580.53902783381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9282.53902783381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78</v>
      </c>
      <c r="C186" s="352"/>
      <c r="D186" s="99" t="n">
        <f aca="false">B97</f>
        <v>1031.39322531487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811.015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4318.515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13662.54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13758.9879427188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1146.5823285599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1146.5823285599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1146.5823285599</v>
      </c>
      <c r="B134" s="320" t="n">
        <f aca="false">IF(A111="YES", B95, 0)</f>
        <v>0</v>
      </c>
      <c r="C134" s="325"/>
      <c r="D134" s="320" t="n">
        <f aca="false">B97</f>
        <v>1146.5823285599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10319.2409570391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10319.2409570391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1146.5823285599</v>
      </c>
      <c r="B143" s="38" t="n">
        <f aca="false">IF(A111="YES", B95, 0)</f>
        <v>0</v>
      </c>
      <c r="C143" s="316"/>
      <c r="D143" s="38" t="n">
        <f aca="false">B97</f>
        <v>1146.5823285599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1146.5823285599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1146.5823285599</v>
      </c>
      <c r="B177" s="354" t="n">
        <f aca="false">IF(A111="YES", B95, 0)</f>
        <v>0</v>
      </c>
      <c r="C177" s="357"/>
      <c r="D177" s="354" t="n">
        <f aca="false">B97</f>
        <v>1146.5823285599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10319.2409570391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10319.2409570391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1146.5823285599</v>
      </c>
      <c r="B186" s="99" t="n">
        <f aca="false">IF(A111="YES", B95, 0)</f>
        <v>0</v>
      </c>
      <c r="C186" s="352"/>
      <c r="D186" s="99" t="n">
        <f aca="false">B97</f>
        <v>1146.5823285599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789.416666666667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4102.51666666667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11385.45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11481.8979427188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956.824828559903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956.824828559903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956.824828559903</v>
      </c>
      <c r="B134" s="320" t="n">
        <f aca="false">IF(A111="YES", B95, 0)</f>
        <v>0</v>
      </c>
      <c r="C134" s="325"/>
      <c r="D134" s="320" t="n">
        <f aca="false">B97</f>
        <v>956.824828559903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8611.42345703913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8611.42345703913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956.824828559903</v>
      </c>
      <c r="B143" s="38" t="n">
        <f aca="false">IF(A111="YES", B95, 0)</f>
        <v>0</v>
      </c>
      <c r="C143" s="316"/>
      <c r="D143" s="38" t="n">
        <f aca="false">B97</f>
        <v>956.824828559903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956.824828559903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956.824828559903</v>
      </c>
      <c r="B177" s="354" t="n">
        <f aca="false">IF(A111="YES", B95, 0)</f>
        <v>0</v>
      </c>
      <c r="C177" s="357"/>
      <c r="D177" s="354" t="n">
        <f aca="false">B91</f>
        <v>11385.45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8611.42345703913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8611.42345703913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956.824828559903</v>
      </c>
      <c r="B186" s="99" t="n">
        <f aca="false">IF(A111="YES", B95, 0)</f>
        <v>0</v>
      </c>
      <c r="C186" s="352"/>
      <c r="D186" s="99" t="n">
        <f aca="false">B97</f>
        <v>956.824828559903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161" colorId="64" zoomScale="85" zoomScaleNormal="85" zoomScalePageLayoutView="100" workbookViewId="0">
      <selection pane="topLeft" activeCell="B65" activeCellId="0" sqref="B6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1876.1668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36.3332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44978.0032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796.9968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44978.0032</v>
      </c>
      <c r="F9" s="149"/>
      <c r="G9" s="133"/>
      <c r="H9" s="442" t="n">
        <f aca="false">B7+D7+F7+H3</f>
        <v>45775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45785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9157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55582</v>
      </c>
      <c r="I15" s="2"/>
      <c r="J15" s="17" t="n">
        <f aca="false">H15</f>
        <v>55582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57237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55578.4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393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1030.0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1004.51472168928</v>
      </c>
      <c r="F33" s="228"/>
      <c r="G33" s="228"/>
      <c r="H33" s="47"/>
      <c r="I33" s="2"/>
      <c r="J33" s="34" t="s">
        <v>354</v>
      </c>
      <c r="K33" s="48" t="n">
        <f aca="false">H21-H11+(H16*20%)</f>
        <v>46422</v>
      </c>
      <c r="L33" s="1" t="n">
        <f aca="false">H21-H11+(H16*20%)</f>
        <v>46422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1004.51472168928</v>
      </c>
      <c r="B36" s="228" t="str">
        <f aca="false">IF(B26="YES", K42, "0.00")</f>
        <v>0.00</v>
      </c>
      <c r="C36" s="228"/>
      <c r="D36" s="228"/>
      <c r="E36" s="228" t="n">
        <f aca="false">K31</f>
        <v>20000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46422</v>
      </c>
      <c r="L39" s="2" t="n">
        <f aca="false">(L47*K46)+K44</f>
        <v>39749.1981958661</v>
      </c>
      <c r="N39" s="1" t="n">
        <f aca="false">K39-L39</f>
        <v>6672.80180413388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6672.80180413388</v>
      </c>
      <c r="N40" s="1" t="n">
        <f aca="false">N38-N39</f>
        <v>-3761.12180413388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32774.7928941323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1004.51472168928</v>
      </c>
      <c r="L47" s="2" t="n">
        <f aca="false">L49-K42</f>
        <v>800</v>
      </c>
      <c r="M47" s="1" t="n">
        <f aca="false">K47-L47</f>
        <v>204.51472168928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1004.51472168928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1004.51472168928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57237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57237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57237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57237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23601.3511730125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9151.16211007202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-3187.90526018714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-3187.90526018714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534.95675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4292.775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572.37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408.13565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1004.51472168928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1004.51472168928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1004.51472168928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1004.51472168928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64194.81</v>
      </c>
      <c r="C81" s="130"/>
      <c r="D81" s="130"/>
      <c r="E81" s="109"/>
      <c r="F81" s="25" t="s">
        <v>105</v>
      </c>
      <c r="G81" s="27" t="n">
        <f aca="false">G158</f>
        <v>64194.81</v>
      </c>
      <c r="H81" s="33"/>
      <c r="J81" s="25" t="s">
        <v>105</v>
      </c>
      <c r="K81" s="27" t="n">
        <f aca="false">P158</f>
        <v>32999.816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40813.565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40813.565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</v>
      </c>
      <c r="C83" s="130"/>
      <c r="D83" s="130"/>
      <c r="E83" s="109"/>
      <c r="F83" s="31" t="s">
        <v>107</v>
      </c>
      <c r="G83" s="258" t="n">
        <f aca="false">B63</f>
        <v>0.07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</v>
      </c>
      <c r="C84" s="130"/>
      <c r="D84" s="130"/>
      <c r="E84" s="109"/>
      <c r="F84" s="31" t="s">
        <v>108</v>
      </c>
      <c r="G84" s="255" t="n">
        <f aca="false">G83/12</f>
        <v>0.00583333333333333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13978.4989925452</v>
      </c>
      <c r="C86" s="130"/>
      <c r="D86" s="130"/>
      <c r="E86" s="109"/>
      <c r="F86" s="31" t="s">
        <v>110</v>
      </c>
      <c r="G86" s="33" t="n">
        <f aca="false">(G82/((1+G84)^(G85+1)))</f>
        <v>16221.5791473095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130"/>
      <c r="D87" s="130"/>
      <c r="E87" s="109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50216.3110074548</v>
      </c>
      <c r="C88" s="130"/>
      <c r="D88" s="130"/>
      <c r="E88" s="109"/>
      <c r="F88" s="31" t="s">
        <v>112</v>
      </c>
      <c r="G88" s="33" t="n">
        <f aca="false">G81-G86</f>
        <v>47973.2308526905</v>
      </c>
      <c r="H88" s="33"/>
      <c r="J88" s="31" t="s">
        <v>112</v>
      </c>
      <c r="K88" s="33" t="n">
        <f aca="false">K81-K86</f>
        <v>32999.816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27284.2080474456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27284.2080474456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1707.5394615379</v>
      </c>
      <c r="C89" s="130"/>
      <c r="D89" s="130"/>
      <c r="E89" s="109"/>
      <c r="F89" s="31" t="s">
        <v>113</v>
      </c>
      <c r="G89" s="33" t="n">
        <f aca="false">(G88/G87)</f>
        <v>1519.32367892705</v>
      </c>
      <c r="H89" s="33"/>
      <c r="J89" s="31" t="s">
        <v>113</v>
      </c>
      <c r="K89" s="33" t="n">
        <f aca="false">(K88/K87)</f>
        <v>1294.67691688246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942.132134875056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942.132134875056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59763.8811538266</v>
      </c>
      <c r="C90" s="130"/>
      <c r="D90" s="130"/>
      <c r="E90" s="109"/>
      <c r="F90" s="31" t="s">
        <v>114</v>
      </c>
      <c r="G90" s="33" t="n">
        <f aca="false">((G89*(G85))+G77)</f>
        <v>53176.3287624467</v>
      </c>
      <c r="H90" s="33"/>
      <c r="J90" s="31" t="s">
        <v>114</v>
      </c>
      <c r="K90" s="33" t="n">
        <f aca="false">((K89*(K85))+K77)</f>
        <v>46608.3690077686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32974.6247206269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32974.6247206269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59763.8811538266</v>
      </c>
      <c r="C92" s="130"/>
      <c r="D92" s="130"/>
      <c r="E92" s="109"/>
      <c r="F92" s="56" t="s">
        <v>116</v>
      </c>
      <c r="G92" s="65" t="n">
        <f aca="false">(G90+G91)</f>
        <v>53176.3287624467</v>
      </c>
      <c r="H92" s="33"/>
      <c r="J92" s="56" t="s">
        <v>116</v>
      </c>
      <c r="K92" s="65" t="n">
        <f aca="false">(K90+K91)</f>
        <v>46608.3690077686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32974.6247206269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32974.6247206269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1707.5394615379</v>
      </c>
      <c r="C95" s="130"/>
      <c r="D95" s="130"/>
      <c r="E95" s="109"/>
      <c r="F95" s="91" t="s">
        <v>118</v>
      </c>
      <c r="G95" s="92" t="n">
        <f aca="false">G92/(G85)</f>
        <v>1519.32367892705</v>
      </c>
      <c r="H95" s="33"/>
      <c r="J95" s="91" t="s">
        <v>118</v>
      </c>
      <c r="K95" s="92" t="n">
        <f aca="false">K92/(K85)</f>
        <v>1294.67691688246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942.132134875056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942.132134875056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1707.5394615379</v>
      </c>
      <c r="C96" s="130"/>
      <c r="D96" s="130"/>
      <c r="E96" s="109"/>
      <c r="F96" s="93" t="s">
        <v>119</v>
      </c>
      <c r="G96" s="94" t="n">
        <f aca="false">G94+G95</f>
        <v>1519.32367892705</v>
      </c>
      <c r="H96" s="33"/>
      <c r="J96" s="93" t="s">
        <v>119</v>
      </c>
      <c r="K96" s="94" t="n">
        <f aca="false">(K94+K95)</f>
        <v>1294.67691688246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942.132134875056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942.132134875056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393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390</v>
      </c>
      <c r="C108" s="103"/>
      <c r="D108" s="103" t="n">
        <v>0</v>
      </c>
      <c r="E108" s="104" t="n">
        <f aca="false">B83</f>
        <v>0.12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391</v>
      </c>
      <c r="B111" s="103" t="n">
        <v>5000.0</v>
      </c>
      <c r="C111" s="103"/>
      <c r="D111" s="103"/>
      <c r="E111" s="103" t="n">
        <v>4000.0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392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4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4</v>
      </c>
      <c r="G122" s="451" t="n">
        <v>0.0</v>
      </c>
      <c r="H122" s="122"/>
      <c r="J122" s="31" t="s">
        <v>150</v>
      </c>
      <c r="K122" s="119" t="n">
        <f aca="false">B4</f>
        <v>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4</v>
      </c>
      <c r="P122" s="451" t="n">
        <f aca="false">O122</f>
        <v>4</v>
      </c>
      <c r="Q122" s="122"/>
      <c r="S122" s="31" t="s">
        <v>150</v>
      </c>
      <c r="T122" s="119" t="n">
        <f aca="false">B4</f>
        <v>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4</v>
      </c>
      <c r="Y122" s="451" t="n">
        <f aca="false">X122</f>
        <v>4</v>
      </c>
      <c r="Z122" s="122"/>
      <c r="AB122" s="31" t="s">
        <v>150</v>
      </c>
      <c r="AC122" s="119" t="n">
        <f aca="false">B4</f>
        <v>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4</v>
      </c>
      <c r="AH122" s="451" t="n">
        <f aca="false">AG122</f>
        <v>4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2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3</v>
      </c>
      <c r="G123" s="117" t="n">
        <v>0.0</v>
      </c>
      <c r="H123" s="33"/>
      <c r="J123" s="31" t="s">
        <v>151</v>
      </c>
      <c r="K123" s="126" t="n">
        <f aca="false">B5</f>
        <v>2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3</v>
      </c>
      <c r="P123" s="117" t="n">
        <f aca="false">O123</f>
        <v>3</v>
      </c>
      <c r="Q123" s="33"/>
      <c r="S123" s="31" t="s">
        <v>151</v>
      </c>
      <c r="T123" s="126" t="n">
        <f aca="false">B5</f>
        <v>2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3</v>
      </c>
      <c r="Y123" s="117" t="n">
        <f aca="false">X123</f>
        <v>3</v>
      </c>
      <c r="Z123" s="33"/>
      <c r="AB123" s="31" t="s">
        <v>151</v>
      </c>
      <c r="AC123" s="126" t="n">
        <f aca="false">B5</f>
        <v>2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3</v>
      </c>
      <c r="AH123" s="117" t="n">
        <f aca="false">AG123</f>
        <v>3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187418.68</v>
      </c>
      <c r="C124" s="127" t="n">
        <f aca="false">(C121*C122/100)+C123</f>
        <v>-7378.1749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3336.32</v>
      </c>
      <c r="G124" s="127" t="n">
        <f aca="false">(G121*G122/100)+G123</f>
        <v>26.9999</v>
      </c>
      <c r="H124" s="33"/>
      <c r="J124" s="31" t="s">
        <v>152</v>
      </c>
      <c r="K124" s="126" t="n">
        <f aca="false">(K121*K122)+K123</f>
        <v>187418.68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3336.32</v>
      </c>
      <c r="P124" s="127" t="n">
        <f aca="false">(P121*P122)+P123</f>
        <v>3336.32</v>
      </c>
      <c r="Q124" s="33"/>
      <c r="S124" s="31" t="s">
        <v>152</v>
      </c>
      <c r="T124" s="126" t="n">
        <f aca="false">(T121*T122)+T123</f>
        <v>187418.68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3336.32</v>
      </c>
      <c r="Y124" s="127" t="n">
        <f aca="false">(Y121*Y122)+Y123</f>
        <v>3336.32</v>
      </c>
      <c r="Z124" s="33"/>
      <c r="AB124" s="31" t="s">
        <v>152</v>
      </c>
      <c r="AC124" s="126" t="n">
        <f aca="false">(AC121*AC122)+AC123</f>
        <v>187418.68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3336.32</v>
      </c>
      <c r="AH124" s="127" t="n">
        <f aca="false">(AH121*AH122)+AH123</f>
        <v>3336.32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-140564.51</v>
      </c>
      <c r="C125" s="129" t="n">
        <f aca="false">C121-C124</f>
        <v>54232.3449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-2502.99</v>
      </c>
      <c r="G125" s="129" t="n">
        <f aca="false">G121-G124</f>
        <v>806.3301</v>
      </c>
      <c r="H125" s="65"/>
      <c r="J125" s="56" t="s">
        <v>153</v>
      </c>
      <c r="K125" s="128" t="n">
        <f aca="false">K121-K124</f>
        <v>-140564.51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-2502.99</v>
      </c>
      <c r="P125" s="129" t="n">
        <f aca="false">P121-P124</f>
        <v>-2502.99</v>
      </c>
      <c r="Q125" s="65"/>
      <c r="S125" s="56" t="s">
        <v>153</v>
      </c>
      <c r="T125" s="128" t="n">
        <f aca="false">T121-T124</f>
        <v>-140564.51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-2502.99</v>
      </c>
      <c r="Y125" s="129" t="n">
        <f aca="false">Y121-Y124</f>
        <v>-2502.99</v>
      </c>
      <c r="Z125" s="65"/>
      <c r="AB125" s="56" t="s">
        <v>153</v>
      </c>
      <c r="AC125" s="128" t="n">
        <f aca="false">AC121-AC124</f>
        <v>-140564.51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-2502.99</v>
      </c>
      <c r="AH125" s="129" t="n">
        <f aca="false">AH121-AH124</f>
        <v>-2502.99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45775</v>
      </c>
      <c r="H135" s="150" t="n">
        <f aca="false">C125+E125+G125+H128</f>
        <v>55038.675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45775</v>
      </c>
      <c r="Q135" s="150" t="n">
        <f aca="false">L125+N125+P125+Q128</f>
        <v>26126.18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45775</v>
      </c>
      <c r="Z135" s="150" t="n">
        <f aca="false">U125+W125+Y125+Z128</f>
        <v>32637.6375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45775</v>
      </c>
      <c r="AI135" s="150" t="n">
        <f aca="false">AD125+AF125+AH125+AI128</f>
        <v>32637.6375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10</v>
      </c>
      <c r="H136" s="33" t="n">
        <f aca="false">G136</f>
        <v>10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10</v>
      </c>
      <c r="Q136" s="33" t="n">
        <f aca="false">P136</f>
        <v>10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10</v>
      </c>
      <c r="Z136" s="33" t="n">
        <f aca="false">Y136</f>
        <v>10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10</v>
      </c>
      <c r="AI136" s="33" t="n">
        <f aca="false">AH136</f>
        <v>10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9157</v>
      </c>
      <c r="H137" s="33" t="n">
        <f aca="false">(H135+H136)*20%</f>
        <v>11009.735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9157</v>
      </c>
      <c r="Q137" s="33" t="n">
        <f aca="false">(Q135+Q136)*20%</f>
        <v>5227.236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9157</v>
      </c>
      <c r="Z137" s="33" t="n">
        <f aca="false">(Z135+Z136)*20%</f>
        <v>6529.5275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9157</v>
      </c>
      <c r="AI137" s="33" t="n">
        <f aca="false">(AI135+AI136)*20%</f>
        <v>6529.5275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55582</v>
      </c>
      <c r="H141" s="154" t="n">
        <f aca="false">(H135+H136+H139+H140+H137)-H138</f>
        <v>66698.41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55582</v>
      </c>
      <c r="Q141" s="154" t="n">
        <f aca="false">(Q135+Q136+Q139+Q140+Q137)-Q138</f>
        <v>32003.416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55582</v>
      </c>
      <c r="Z141" s="154" t="n">
        <f aca="false">(Z135+Z136+Z139+Z140+Z137)-Z138</f>
        <v>39817.165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55582</v>
      </c>
      <c r="AI141" s="154" t="n">
        <f aca="false">(AI135+AI136+AI139+AI140+AI137)-AI138</f>
        <v>39817.165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3</v>
      </c>
      <c r="H142" s="40" t="n">
        <f aca="false">G142</f>
        <v>3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3</v>
      </c>
      <c r="Q142" s="40" t="n">
        <f aca="false">P142</f>
        <v>3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3</v>
      </c>
      <c r="Z142" s="40" t="n">
        <f aca="false">Y142</f>
        <v>3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3</v>
      </c>
      <c r="AI142" s="40" t="n">
        <f aca="false">AH142</f>
        <v>3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3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3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55578.4</v>
      </c>
      <c r="H147" s="161" t="n">
        <f aca="false">H141-((H144*1.2)+(H145*1.2)+(H146*1.2)+(H142*1.2))</f>
        <v>66694.81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55578.4</v>
      </c>
      <c r="Q147" s="161" t="n">
        <f aca="false">Q141-((Q144*1.2)+(Q145*1.2)+(Q146*1.2)+(Q142*1.2))</f>
        <v>31999.816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55578.4</v>
      </c>
      <c r="Z147" s="161" t="n">
        <f aca="false">Z141-((Z144*1.2)+(Z145*1.2)+(Z146*1.2)+(Z142*1.2))</f>
        <v>39813.565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55578.4</v>
      </c>
      <c r="AI147" s="161" t="n">
        <f aca="false">AI141-((AI144*1.2)+(AI145*1.2)+(AI146*1.2)+(AI142*1.2))</f>
        <v>39813.565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9263.675</v>
      </c>
      <c r="I148" s="1" t="n">
        <f aca="false">(H148-G81)/1.2</f>
        <v>-45775.9458333333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-23578.584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-15764.835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-15764.835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64194.81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32999.816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40813.565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40813.565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1707.5394615379</v>
      </c>
      <c r="B167" s="174" t="str">
        <f aca="false">B94</f>
        <v>0</v>
      </c>
      <c r="C167" s="171"/>
      <c r="D167" s="171"/>
      <c r="E167" s="174" t="n">
        <f aca="false">B96</f>
        <v>1707.5394615379</v>
      </c>
      <c r="F167" s="23"/>
      <c r="G167" s="23" t="n">
        <f aca="false">ROUND(G95, 2)</f>
        <v>1519.32</v>
      </c>
      <c r="H167" s="33"/>
      <c r="J167" s="173" t="n">
        <f aca="false">K95</f>
        <v>1294.67691688246</v>
      </c>
      <c r="K167" s="174" t="n">
        <f aca="false">K94</f>
        <v>0</v>
      </c>
      <c r="L167" s="171"/>
      <c r="M167" s="171"/>
      <c r="N167" s="174" t="n">
        <f aca="false">K96</f>
        <v>1294.67691688246</v>
      </c>
      <c r="O167" s="23"/>
      <c r="P167" s="23"/>
      <c r="Q167" s="33"/>
      <c r="S167" s="173" t="n">
        <f aca="false">T95</f>
        <v>942.132134875056</v>
      </c>
      <c r="T167" s="174" t="n">
        <f aca="false">T94</f>
        <v>0</v>
      </c>
      <c r="U167" s="171"/>
      <c r="V167" s="171"/>
      <c r="W167" s="174" t="n">
        <f aca="false">T96</f>
        <v>942.132134875056</v>
      </c>
      <c r="X167" s="23"/>
      <c r="Y167" s="23"/>
      <c r="Z167" s="33"/>
      <c r="AB167" s="173" t="n">
        <f aca="false">AC95</f>
        <v>942.132134875056</v>
      </c>
      <c r="AC167" s="174" t="n">
        <f aca="false">AC94</f>
        <v>0</v>
      </c>
      <c r="AD167" s="171"/>
      <c r="AE167" s="171"/>
      <c r="AF167" s="174" t="n">
        <f aca="false">AC96</f>
        <v>942.132134875056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H141-H137-H139-H140-H16</f>
        <v>55045.675</v>
      </c>
      <c r="B173" s="99" t="n">
        <f aca="false">H137</f>
        <v>11009.735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26136.18</v>
      </c>
      <c r="K173" s="99" t="n">
        <f aca="false">Q137</f>
        <v>5227.236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32647.6375</v>
      </c>
      <c r="T173" s="99" t="n">
        <f aca="false">Z137</f>
        <v>6529.5275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32647.6375</v>
      </c>
      <c r="AC173" s="99" t="n">
        <f aca="false">AI137</f>
        <v>6529.5275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66694.81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32003.416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39817.165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39817.165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64194.81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33003.416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40817.165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40817.165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15569.0711538266</v>
      </c>
      <c r="B182" s="99" t="str">
        <f aca="false">B114</f>
        <v>199.99</v>
      </c>
      <c r="C182" s="99"/>
      <c r="D182" s="23"/>
      <c r="E182" s="99" t="n">
        <f aca="false">E179+A182+(B182*1.2)+A185</f>
        <v>80013.8691538266</v>
      </c>
      <c r="F182" s="23"/>
      <c r="G182" s="23"/>
      <c r="H182" s="101"/>
      <c r="J182" s="107" t="n">
        <f aca="false">(J167*K59)+N185-N179-J185</f>
        <v>32310.2760908861</v>
      </c>
      <c r="K182" s="99" t="n">
        <f aca="false">K114</f>
        <v>239.99</v>
      </c>
      <c r="L182" s="99"/>
      <c r="M182" s="23"/>
      <c r="N182" s="99" t="n">
        <f aca="false">N179+J182+K182+J185</f>
        <v>65573.6820908861</v>
      </c>
      <c r="O182" s="23"/>
      <c r="P182" s="23"/>
      <c r="Q182" s="101"/>
      <c r="S182" s="107" t="n">
        <f aca="false">(S167*T59)+W185-W179-S185</f>
        <v>12157.459720627</v>
      </c>
      <c r="T182" s="99" t="n">
        <f aca="false">T114</f>
        <v>199.99</v>
      </c>
      <c r="U182" s="99"/>
      <c r="V182" s="23"/>
      <c r="W182" s="99" t="n">
        <f aca="false">W179+S182+T182+S185</f>
        <v>53184.614720627</v>
      </c>
      <c r="X182" s="23"/>
      <c r="Y182" s="23"/>
      <c r="Z182" s="101"/>
      <c r="AB182" s="107" t="n">
        <f aca="false">(AB167*AC59)+AF185-AF179-AB185</f>
        <v>12157.459720627</v>
      </c>
      <c r="AC182" s="99" t="n">
        <f aca="false">AC114</f>
        <v>239.99</v>
      </c>
      <c r="AD182" s="99"/>
      <c r="AE182" s="23"/>
      <c r="AF182" s="99" t="n">
        <f aca="false">AF179+AB182+AC182+AB185</f>
        <v>53224.6147206269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534.95675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0.111164</v>
      </c>
      <c r="K188" s="99" t="n">
        <f aca="false">(P158*K67)/1.2</f>
        <v>2062.4885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340.113041666667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340.113041666667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634.94675</v>
      </c>
      <c r="C191" s="130"/>
      <c r="D191" s="130"/>
      <c r="E191" s="99" t="n">
        <f aca="false">H148</f>
        <v>9263.675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3202.4785</v>
      </c>
      <c r="L191" s="130"/>
      <c r="M191" s="130"/>
      <c r="N191" s="99" t="n">
        <f aca="false">Q148</f>
        <v>-23578.584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1440.10304166667</v>
      </c>
      <c r="U191" s="130"/>
      <c r="V191" s="130"/>
      <c r="W191" s="99" t="n">
        <f aca="false">Z148</f>
        <v>-15764.835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1480.10304166667</v>
      </c>
      <c r="AD191" s="130"/>
      <c r="AE191" s="130"/>
      <c r="AF191" s="99" t="n">
        <f aca="false">AI148</f>
        <v>-15764.835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1707.5394615379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1294.67691688246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942.132134875056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942.132134875056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8981.39</v>
      </c>
      <c r="B201" s="183" t="n">
        <f aca="false">E179+A201+(B182*1.2)+A185</f>
        <v>73426.188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1707.5394615379</v>
      </c>
      <c r="B212" s="174" t="str">
        <f aca="false">B167</f>
        <v>0</v>
      </c>
      <c r="C212" s="171"/>
      <c r="D212" s="171"/>
      <c r="E212" s="174" t="n">
        <f aca="false">E167</f>
        <v>1707.5394615379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55045.675</v>
      </c>
      <c r="B215" s="99" t="n">
        <f aca="false">B173</f>
        <v>11009.735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66694.81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64194.81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15569.0711538266</v>
      </c>
      <c r="B224" s="99" t="str">
        <f aca="false">B182</f>
        <v>199.99</v>
      </c>
      <c r="C224" s="99"/>
      <c r="D224" s="109"/>
      <c r="E224" s="99" t="n">
        <f aca="false">E182</f>
        <v>80013.8691538266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1707.5394615379</v>
      </c>
      <c r="B230" s="99" t="str">
        <f aca="false">B167</f>
        <v>0</v>
      </c>
      <c r="C230" s="183"/>
      <c r="D230" s="183"/>
      <c r="E230" s="99" t="n">
        <f aca="false">E167</f>
        <v>1707.5394615379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9263.675</v>
      </c>
      <c r="B240" s="99" t="n">
        <f aca="false">B68</f>
        <v>534.95675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9898.62175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4" t="n">
        <f aca="false">(E182-B182)-(B201-B182-A185)</f>
        <v>6597.6811538266</v>
      </c>
      <c r="C254" s="194"/>
      <c r="D254" s="195" t="s">
        <v>213</v>
      </c>
      <c r="E254" s="195"/>
      <c r="F254" s="196" t="n">
        <f aca="false">F261+F267+F269+B270+B271</f>
        <v>641.9481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6055.72305382661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</v>
      </c>
      <c r="C260" s="43"/>
      <c r="D260" s="163" t="s">
        <v>212</v>
      </c>
      <c r="E260" s="163"/>
      <c r="F260" s="143" t="n">
        <f aca="false">B254</f>
        <v>6597.6811538266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641.9481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6055.72305382661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9150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1343.55272870724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1276.56272870724</v>
      </c>
      <c r="B36" s="228" t="n">
        <f aca="false">IF(B26="YES", K42, "0.00")</f>
        <v>66.99</v>
      </c>
      <c r="C36" s="228"/>
      <c r="D36" s="228"/>
      <c r="E36" s="228" t="n">
        <f aca="false">K31</f>
        <v>9150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29590.2288400368</v>
      </c>
      <c r="N39" s="1" t="n">
        <f aca="false">K39-L39</f>
        <v>17287.2711599632</v>
      </c>
      <c r="P39" s="208"/>
    </row>
    <row r="40" customFormat="false" ht="17.35" hidden="false" customHeight="false" outlineLevel="0" collapsed="false">
      <c r="A40" s="103" t="n">
        <f aca="false">E36*A45/100</f>
        <v>9150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7625</v>
      </c>
      <c r="L40" s="2" t="n">
        <f aca="false">K39-L39</f>
        <v>17287.2711599632</v>
      </c>
      <c r="N40" s="1" t="n">
        <f aca="false">N38-N39</f>
        <v>-14375.5911599632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6277.4167360437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365</v>
      </c>
      <c r="K45" s="2" t="n">
        <f aca="false">(K39-K44)</f>
        <v>40600.0832639563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1276.56272870724</v>
      </c>
      <c r="L47" s="2" t="n">
        <f aca="false">L49-K42</f>
        <v>733.01</v>
      </c>
      <c r="M47" s="1" t="n">
        <f aca="false">K47-L47</f>
        <v>543.552728707238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1343.55272870724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1343.55272870724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12826.2632612738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6533.93285588831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16323.1109937942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304.791443428519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457.964409722222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1276.56272870724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1276.56272870724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1343.55272870724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1343.55272870724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56125</v>
      </c>
      <c r="C81" s="130"/>
      <c r="D81" s="130"/>
      <c r="E81" s="109"/>
      <c r="F81" s="25" t="s">
        <v>105</v>
      </c>
      <c r="G81" s="27" t="n">
        <f aca="false">G158</f>
        <v>56125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9150</v>
      </c>
      <c r="C82" s="130"/>
      <c r="D82" s="130"/>
      <c r="E82" s="109"/>
      <c r="F82" s="31" t="s">
        <v>106</v>
      </c>
      <c r="G82" s="33" t="n">
        <f aca="false">IF(A111 = "Yes", A40, 0)</f>
        <v>9150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9150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9150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0.107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0.00891666666666667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6706.34237302299</v>
      </c>
      <c r="C86" s="130"/>
      <c r="D86" s="130"/>
      <c r="E86" s="109"/>
      <c r="F86" s="31" t="s">
        <v>110</v>
      </c>
      <c r="G86" s="33" t="n">
        <f aca="false">(G82/((1+G84)^(G85+1)))</f>
        <v>7573.70329203673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6257.25148792356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6257.25148792356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29.2184391908592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49418.657626977</v>
      </c>
      <c r="C88" s="130"/>
      <c r="D88" s="130"/>
      <c r="E88" s="109"/>
      <c r="F88" s="31" t="s">
        <v>112</v>
      </c>
      <c r="G88" s="33" t="n">
        <f aca="false">G81-G86</f>
        <v>48551.2967079633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50733.1860020764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37411.4975120764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1691.35172841256</v>
      </c>
      <c r="C89" s="130"/>
      <c r="D89" s="130"/>
      <c r="E89" s="109"/>
      <c r="F89" s="31" t="s">
        <v>113</v>
      </c>
      <c r="G89" s="33" t="n">
        <f aca="false">(G88/G87)</f>
        <v>1567.35932651525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1794.20019113375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1323.07314553476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57505.9587660271</v>
      </c>
      <c r="C90" s="130"/>
      <c r="D90" s="130"/>
      <c r="E90" s="109"/>
      <c r="F90" s="31" t="s">
        <v>114</v>
      </c>
      <c r="G90" s="33" t="n">
        <f aca="false">((G89*(G85))+G77)</f>
        <v>53290.2171015185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61002.8064985475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44984.4869481819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57505.9587660271</v>
      </c>
      <c r="C92" s="130"/>
      <c r="D92" s="130"/>
      <c r="E92" s="109"/>
      <c r="F92" s="56" t="s">
        <v>116</v>
      </c>
      <c r="G92" s="65" t="n">
        <f aca="false">(G90+G91)</f>
        <v>53290.2171015185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61002.8064985475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44984.4869481819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99.3028235294118</v>
      </c>
      <c r="C94" s="130"/>
      <c r="D94" s="130"/>
      <c r="E94" s="109"/>
      <c r="F94" s="88" t="s">
        <v>117</v>
      </c>
      <c r="G94" s="259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99.3028235294118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1691.35172841256</v>
      </c>
      <c r="C95" s="130"/>
      <c r="D95" s="130"/>
      <c r="E95" s="109"/>
      <c r="F95" s="91" t="s">
        <v>118</v>
      </c>
      <c r="G95" s="92" t="n">
        <f aca="false">G92/(G85)</f>
        <v>1567.35932651525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1794.20019113375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1323.07314553476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1790.65455194197</v>
      </c>
      <c r="C96" s="130"/>
      <c r="D96" s="130"/>
      <c r="E96" s="109"/>
      <c r="F96" s="93" t="s">
        <v>119</v>
      </c>
      <c r="G96" s="94" t="n">
        <f aca="false">G94+G95</f>
        <v>1650.11167945643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1876.95254407493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1422.37596906417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0.107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0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-46770.8333333333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1691.35172841256</v>
      </c>
      <c r="B167" s="174" t="n">
        <f aca="false">B94</f>
        <v>99.3028235294118</v>
      </c>
      <c r="C167" s="171"/>
      <c r="D167" s="171"/>
      <c r="E167" s="174" t="n">
        <f aca="false">B96</f>
        <v>1790.65455194197</v>
      </c>
      <c r="F167" s="23"/>
      <c r="G167" s="23" t="n">
        <f aca="false">ROUND(G95, 2)</f>
        <v>1567.36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1794.20019113375</v>
      </c>
      <c r="T167" s="174" t="n">
        <f aca="false">T94</f>
        <v>82.7523529411765</v>
      </c>
      <c r="U167" s="171"/>
      <c r="V167" s="171"/>
      <c r="W167" s="174" t="n">
        <f aca="false">T96</f>
        <v>1876.95254407493</v>
      </c>
      <c r="X167" s="23"/>
      <c r="Y167" s="23"/>
      <c r="Z167" s="33"/>
      <c r="AB167" s="173" t="n">
        <f aca="false">AC95</f>
        <v>1323.07314553476</v>
      </c>
      <c r="AC167" s="174" t="n">
        <f aca="false">AC94</f>
        <v>99.3028235294118</v>
      </c>
      <c r="AD167" s="171"/>
      <c r="AE167" s="171"/>
      <c r="AF167" s="174" t="n">
        <f aca="false">AC96</f>
        <v>1422.37596906417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9150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9150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9150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9150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10530.9587660271</v>
      </c>
      <c r="B182" s="99" t="str">
        <f aca="false">B114</f>
        <v>239.99</v>
      </c>
      <c r="C182" s="99"/>
      <c r="D182" s="23"/>
      <c r="E182" s="99" t="n">
        <f aca="false">E179+A182+B182+A185</f>
        <v>66905.9487660271</v>
      </c>
      <c r="F182" s="23"/>
      <c r="G182" s="23"/>
      <c r="H182" s="101"/>
      <c r="J182" s="107" t="n">
        <f aca="false">(J167*K59)+N185-N179-J185</f>
        <v>22708.6283606416</v>
      </c>
      <c r="K182" s="99" t="n">
        <f aca="false">K114</f>
        <v>239.99</v>
      </c>
      <c r="L182" s="99"/>
      <c r="M182" s="23"/>
      <c r="N182" s="99" t="n">
        <f aca="false">N179+J182+K182+J185</f>
        <v>60623.6183606416</v>
      </c>
      <c r="O182" s="23"/>
      <c r="P182" s="23"/>
      <c r="Q182" s="101"/>
      <c r="S182" s="107" t="n">
        <f aca="false">(S167*T59)+W185-W179-S185</f>
        <v>13162.3690085475</v>
      </c>
      <c r="T182" s="99" t="n">
        <f aca="false">T114</f>
        <v>199.99</v>
      </c>
      <c r="U182" s="99"/>
      <c r="V182" s="23"/>
      <c r="W182" s="99" t="n">
        <f aca="false">W179+S182+T182+S185</f>
        <v>70362.7964985475</v>
      </c>
      <c r="X182" s="23"/>
      <c r="Y182" s="23"/>
      <c r="Z182" s="101"/>
      <c r="AB182" s="107" t="n">
        <f aca="false">(AB167*AC59)+AF185-AF179-AB185</f>
        <v>10465.7379481819</v>
      </c>
      <c r="AC182" s="99" t="n">
        <f aca="false">AC114</f>
        <v>239.99</v>
      </c>
      <c r="AD182" s="99"/>
      <c r="AE182" s="23"/>
      <c r="AF182" s="99" t="n">
        <f aca="false">AF179+AB182+AC182+AB185</f>
        <v>54384.4769481819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E170+A185</f>
        <v>9160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9170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9160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9160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13.3164</v>
      </c>
      <c r="B188" s="99" t="n">
        <f aca="false">(G158*B67)</f>
        <v>549.557291666667</v>
      </c>
      <c r="C188" s="130"/>
      <c r="D188" s="130"/>
      <c r="E188" s="99" t="n">
        <f aca="false">(E40*A108)*0.1*(C45/100)</f>
        <v>46.893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696.441958333334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1611.90913924132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1543.20786163194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1790.65455194197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1876.95254407493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1422.37596906417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6315.24</v>
      </c>
      <c r="B201" s="183" t="n">
        <f aca="false">E179+A201+B182+A185</f>
        <v>62690.23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1691.35172841256</v>
      </c>
      <c r="B212" s="174" t="n">
        <f aca="false">B167</f>
        <v>99.3028235294118</v>
      </c>
      <c r="C212" s="171"/>
      <c r="D212" s="171"/>
      <c r="E212" s="174" t="n">
        <f aca="false">E167</f>
        <v>1790.65455194197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10530.9587660271</v>
      </c>
      <c r="B224" s="99" t="str">
        <f aca="false">B182</f>
        <v>239.99</v>
      </c>
      <c r="C224" s="99"/>
      <c r="D224" s="109"/>
      <c r="E224" s="99" t="n">
        <f aca="false">E182</f>
        <v>66905.9487660271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1691.35172841256</v>
      </c>
      <c r="B230" s="99" t="n">
        <f aca="false">B167</f>
        <v>99.3028235294118</v>
      </c>
      <c r="C230" s="183"/>
      <c r="D230" s="183"/>
      <c r="E230" s="99" t="n">
        <f aca="false">E167</f>
        <v>1790.65455194197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9150</v>
      </c>
      <c r="B233" s="99" t="n">
        <f aca="false">E185</f>
        <v>9160</v>
      </c>
      <c r="C233" s="130"/>
      <c r="D233" s="130"/>
      <c r="E233" s="99" t="n">
        <f aca="false">A188</f>
        <v>13.3164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457.964409722222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604.849076388889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0.107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4" t="n">
        <f aca="false">(E182-B182)-(B201-B182-A185)</f>
        <v>4225.71876602712</v>
      </c>
      <c r="C254" s="194"/>
      <c r="D254" s="195" t="s">
        <v>213</v>
      </c>
      <c r="E254" s="195"/>
      <c r="F254" s="196" t="n">
        <f aca="false">F261+F267+F269+B270+B271</f>
        <v>549.557291666667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568.921666666667</v>
      </c>
      <c r="C255" s="194"/>
      <c r="D255" s="195" t="s">
        <v>215</v>
      </c>
      <c r="E255" s="195"/>
      <c r="F255" s="196" t="n">
        <f aca="false">(B254-F254)+B255</f>
        <v>4245.08314102712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0.107</v>
      </c>
      <c r="C260" s="43"/>
      <c r="D260" s="163" t="s">
        <v>212</v>
      </c>
      <c r="E260" s="163"/>
      <c r="F260" s="143" t="n">
        <f aca="false">B254</f>
        <v>4225.71876602712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549.557291666667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4245.08314102712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393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35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20000.0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1030.0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1276.56272870724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1276.56272870724</v>
      </c>
      <c r="B36" s="228" t="str">
        <f aca="false">IF(B26="YES", K42, "0.00")</f>
        <v>0.00</v>
      </c>
      <c r="C36" s="228"/>
      <c r="D36" s="228"/>
      <c r="E36" s="228" t="n">
        <f aca="false">K31</f>
        <v>9150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31720.7936111129</v>
      </c>
      <c r="N39" s="1" t="n">
        <f aca="false">K39-L39</f>
        <v>15156.7063888871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7625</v>
      </c>
      <c r="L40" s="2" t="n">
        <f aca="false">K39-L39</f>
        <v>15156.7063888871</v>
      </c>
      <c r="N40" s="1" t="n">
        <f aca="false">N38-N39</f>
        <v>-12245.0263888871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6277.4167360437</v>
      </c>
      <c r="L44" s="2"/>
      <c r="P44" s="208"/>
    </row>
    <row r="45" customFormat="false" ht="17.35" hidden="false" customHeight="false" outlineLevel="0" collapsed="false">
      <c r="A45" s="507" t="n">
        <v>100.0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365</v>
      </c>
      <c r="K45" s="2" t="n">
        <f aca="false">(K39-K44)</f>
        <v>40600.0832639563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1276.56272870724</v>
      </c>
      <c r="L47" s="2" t="n">
        <f aca="false">L49-K42</f>
        <v>800</v>
      </c>
      <c r="M47" s="1" t="n">
        <f aca="false">K47-L47</f>
        <v>476.562728707238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1276.56272870724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1276.56272870724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15953.591134468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6533.93285588831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16323.1109937942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304.791443428519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457.964409722222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1276.56272870724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1276.56272870724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1276.56272870724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1276.56272870724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56125</v>
      </c>
      <c r="C81" s="130"/>
      <c r="D81" s="130"/>
      <c r="E81" s="109"/>
      <c r="F81" s="25" t="s">
        <v>105</v>
      </c>
      <c r="G81" s="27" t="n">
        <f aca="false">G158</f>
        <v>56125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9150</v>
      </c>
      <c r="C82" s="130"/>
      <c r="D82" s="130"/>
      <c r="E82" s="109"/>
      <c r="F82" s="31" t="s">
        <v>106</v>
      </c>
      <c r="G82" s="33" t="n">
        <f aca="false">IF(A111 = "Yes", A40, 0)</f>
        <v>9150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9150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9150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0.1375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6141.02978336746</v>
      </c>
      <c r="C86" s="130"/>
      <c r="D86" s="130"/>
      <c r="E86" s="109"/>
      <c r="F86" s="31" t="s">
        <v>110</v>
      </c>
      <c r="G86" s="33" t="n">
        <f aca="false">(G82/((1+G84)^(G85+1)))</f>
        <v>7573.70329203673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6257.25148792356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6257.25148792356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28.0284160988594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49983.9702166325</v>
      </c>
      <c r="C88" s="130"/>
      <c r="D88" s="130"/>
      <c r="E88" s="109"/>
      <c r="F88" s="31" t="s">
        <v>112</v>
      </c>
      <c r="G88" s="33" t="n">
        <f aca="false">G81-G86</f>
        <v>48551.2967079633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50733.1860020764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37411.4975120764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1783.3319599771</v>
      </c>
      <c r="C89" s="130"/>
      <c r="D89" s="130"/>
      <c r="E89" s="109"/>
      <c r="F89" s="31" t="s">
        <v>113</v>
      </c>
      <c r="G89" s="33" t="n">
        <f aca="false">(G88/G87)</f>
        <v>1567.35932651525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1794.20019113375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1323.07314553476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60633.2866392214</v>
      </c>
      <c r="C90" s="130"/>
      <c r="D90" s="130"/>
      <c r="E90" s="109"/>
      <c r="F90" s="31" t="s">
        <v>114</v>
      </c>
      <c r="G90" s="33" t="n">
        <f aca="false">((G89*(G85))+G77)</f>
        <v>53290.2171015185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61002.8064985475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44984.4869481819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60633.2866392214</v>
      </c>
      <c r="C92" s="130"/>
      <c r="D92" s="130"/>
      <c r="E92" s="109"/>
      <c r="F92" s="56" t="s">
        <v>116</v>
      </c>
      <c r="G92" s="65" t="n">
        <f aca="false">(G90+G91)</f>
        <v>53290.2171015185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61002.8064985475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44984.4869481819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1783.3319599771</v>
      </c>
      <c r="C95" s="130"/>
      <c r="D95" s="130"/>
      <c r="E95" s="109"/>
      <c r="F95" s="91" t="s">
        <v>118</v>
      </c>
      <c r="G95" s="92" t="n">
        <f aca="false">G92/(G85)</f>
        <v>1567.35932651525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1794.20019113375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1323.07314553476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1783.3319599771</v>
      </c>
      <c r="C96" s="130"/>
      <c r="D96" s="130"/>
      <c r="E96" s="109"/>
      <c r="F96" s="93" t="s">
        <v>119</v>
      </c>
      <c r="G96" s="94" t="n">
        <f aca="false">G94+G95</f>
        <v>1567.35932651525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1794.20019113375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1323.07314553476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393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395</v>
      </c>
      <c r="C108" s="103"/>
      <c r="D108" s="103"/>
      <c r="E108" s="104" t="n">
        <f aca="false">B83</f>
        <v>0.1375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391</v>
      </c>
      <c r="B111" s="103" t="n">
        <v>5000.0</v>
      </c>
      <c r="C111" s="103"/>
      <c r="D111" s="103"/>
      <c r="E111" s="103" t="n">
        <v>8000.0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-46770.8333333333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1783.3319599771</v>
      </c>
      <c r="B167" s="174" t="str">
        <f aca="false">B94</f>
        <v>0</v>
      </c>
      <c r="C167" s="171"/>
      <c r="D167" s="171"/>
      <c r="E167" s="174" t="n">
        <f aca="false">B96</f>
        <v>1783.3319599771</v>
      </c>
      <c r="F167" s="23"/>
      <c r="G167" s="23" t="n">
        <f aca="false">ROUND(G95, 2)</f>
        <v>1567.36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1794.20019113375</v>
      </c>
      <c r="T167" s="174" t="n">
        <f aca="false">T94</f>
        <v>0</v>
      </c>
      <c r="U167" s="171"/>
      <c r="V167" s="171"/>
      <c r="W167" s="174" t="n">
        <f aca="false">T96</f>
        <v>1794.20019113375</v>
      </c>
      <c r="X167" s="23"/>
      <c r="Y167" s="23"/>
      <c r="Z167" s="33"/>
      <c r="AB167" s="173" t="n">
        <f aca="false">AC95</f>
        <v>1323.07314553476</v>
      </c>
      <c r="AC167" s="174" t="n">
        <f aca="false">AC94</f>
        <v>0</v>
      </c>
      <c r="AD167" s="171"/>
      <c r="AE167" s="171"/>
      <c r="AF167" s="174" t="n">
        <f aca="false">AC96</f>
        <v>1323.07314553476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9150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9150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9150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9150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13658.2866392214</v>
      </c>
      <c r="B182" s="99" t="str">
        <f aca="false">B114</f>
        <v>239.99</v>
      </c>
      <c r="C182" s="99"/>
      <c r="D182" s="23"/>
      <c r="E182" s="99" t="n">
        <f aca="false">E179+A182+B182+A185</f>
        <v>70033.2766392214</v>
      </c>
      <c r="F182" s="23"/>
      <c r="G182" s="23"/>
      <c r="H182" s="101"/>
      <c r="J182" s="107" t="n">
        <f aca="false">(J167*K59)+N185-N179-J185</f>
        <v>22708.6283606416</v>
      </c>
      <c r="K182" s="99" t="n">
        <f aca="false">K114</f>
        <v>239.99</v>
      </c>
      <c r="L182" s="99"/>
      <c r="M182" s="23"/>
      <c r="N182" s="99" t="n">
        <f aca="false">N179+J182+K182+J185</f>
        <v>60623.6183606416</v>
      </c>
      <c r="O182" s="23"/>
      <c r="P182" s="23"/>
      <c r="Q182" s="101"/>
      <c r="S182" s="107" t="n">
        <f aca="false">(S167*T59)+W185-W179-S185</f>
        <v>13162.3690085475</v>
      </c>
      <c r="T182" s="99" t="n">
        <f aca="false">T114</f>
        <v>199.99</v>
      </c>
      <c r="U182" s="99"/>
      <c r="V182" s="23"/>
      <c r="W182" s="99" t="n">
        <f aca="false">W179+S182+T182+S185</f>
        <v>70362.7964985475</v>
      </c>
      <c r="X182" s="23"/>
      <c r="Y182" s="23"/>
      <c r="Z182" s="101"/>
      <c r="AB182" s="107" t="n">
        <f aca="false">(AB167*AC59)+AF185-AF179-AB185</f>
        <v>10465.7379481819</v>
      </c>
      <c r="AC182" s="99" t="n">
        <f aca="false">AC114</f>
        <v>239.99</v>
      </c>
      <c r="AD182" s="99"/>
      <c r="AE182" s="23"/>
      <c r="AF182" s="99" t="n">
        <f aca="false">AF179+AB182+AC182+AB185</f>
        <v>54384.4769481819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9160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9170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9160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9160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</v>
      </c>
      <c r="B188" s="99" t="n">
        <f aca="false">(G158*B67)/1.2</f>
        <v>457.964409722222</v>
      </c>
      <c r="C188" s="130"/>
      <c r="D188" s="130"/>
      <c r="E188" s="99" t="n">
        <f aca="false">(E40*A108)*0.1*C45/100</f>
        <v>0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557.956076388889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1565.01613924132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1496.31486163194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1783.3319599771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1794.20019113375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1323.07314553476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6315.24</v>
      </c>
      <c r="B201" s="183" t="n">
        <f aca="false">E179+A201+B182+A185</f>
        <v>62690.23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1783.3319599771</v>
      </c>
      <c r="B212" s="174" t="str">
        <f aca="false">B167</f>
        <v>0</v>
      </c>
      <c r="C212" s="171"/>
      <c r="D212" s="171"/>
      <c r="E212" s="174" t="n">
        <f aca="false">E167</f>
        <v>1783.3319599771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13658.2866392214</v>
      </c>
      <c r="B224" s="99" t="str">
        <f aca="false">B182</f>
        <v>239.99</v>
      </c>
      <c r="C224" s="99"/>
      <c r="D224" s="109"/>
      <c r="E224" s="99" t="n">
        <f aca="false">E182</f>
        <v>70033.2766392214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1783.3319599771</v>
      </c>
      <c r="B230" s="99" t="str">
        <f aca="false">B167</f>
        <v>0</v>
      </c>
      <c r="C230" s="183"/>
      <c r="D230" s="183"/>
      <c r="E230" s="99" t="n">
        <f aca="false">E167</f>
        <v>1783.3319599771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9150</v>
      </c>
      <c r="B233" s="99" t="n">
        <f aca="false">E185</f>
        <v>9160</v>
      </c>
      <c r="C233" s="130"/>
      <c r="D233" s="130"/>
      <c r="E233" s="99" t="n">
        <f aca="false">J18*0.000006*100*1.2</f>
        <v>39.9492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39.9492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457.964409722222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557.956076388889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4" t="n">
        <f aca="false">(E182-B182)-(B201-B182-A185)</f>
        <v>7353.04663922136</v>
      </c>
      <c r="C254" s="194"/>
      <c r="D254" s="195" t="s">
        <v>213</v>
      </c>
      <c r="E254" s="195"/>
      <c r="F254" s="196" t="n">
        <f aca="false">F261+F267+F269+B270+B271</f>
        <v>549.557291666667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6903.48101422136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B254</f>
        <v>7353.04663922136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549.557291666667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6903.48101422136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0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10980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3282.3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1330.86736021749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1237.08736021749</v>
      </c>
      <c r="B36" s="228" t="n">
        <f aca="false">IF(B26="YES", K42, "0.00")</f>
        <v>93.78</v>
      </c>
      <c r="C36" s="228"/>
      <c r="D36" s="228"/>
      <c r="E36" s="228" t="n">
        <f aca="false">K31</f>
        <v>10980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29993.6771041417</v>
      </c>
      <c r="N39" s="1" t="n">
        <f aca="false">K39-L39</f>
        <v>16883.8228958583</v>
      </c>
      <c r="P39" s="208"/>
    </row>
    <row r="40" customFormat="false" ht="17.35" hidden="false" customHeight="false" outlineLevel="0" collapsed="false">
      <c r="A40" s="312" t="n">
        <f aca="false">E36*A45/100</f>
        <v>10980</v>
      </c>
      <c r="B40" s="103" t="n">
        <f aca="false">IF(B26="YES", K42, "0.00")</f>
        <v>93.78</v>
      </c>
      <c r="C40" s="103"/>
      <c r="D40" s="103"/>
      <c r="E40" s="179" t="n">
        <f aca="false">K32</f>
        <v>3282.3</v>
      </c>
      <c r="F40" s="183"/>
      <c r="G40" s="183"/>
      <c r="H40" s="47"/>
      <c r="J40" s="2" t="s">
        <v>106</v>
      </c>
      <c r="K40" s="2" t="n">
        <f aca="false">(A40)/1.2</f>
        <v>9150</v>
      </c>
      <c r="L40" s="2" t="n">
        <f aca="false">K39-L39</f>
        <v>16883.8228958583</v>
      </c>
      <c r="N40" s="1" t="n">
        <f aca="false">N38-N39</f>
        <v>-13972.1428958583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93.78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7532.90008325244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365</v>
      </c>
      <c r="K45" s="2" t="n">
        <f aca="false">(K39-K44)</f>
        <v>39344.5999167476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1237.08736021749</v>
      </c>
      <c r="L47" s="2" t="n">
        <f aca="false">L49-K42</f>
        <v>706.22</v>
      </c>
      <c r="M47" s="1" t="n">
        <f aca="false">K47-L47</f>
        <v>530.867360217486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1330.86736021749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1330.86736021749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23745.7999041337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7915.57075302963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16199.9748689967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181.655318631114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529.15801875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1237.08736021749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1237.08736021749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1330.86736021749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1330.86736021749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64850.004</v>
      </c>
      <c r="C81" s="130"/>
      <c r="D81" s="130"/>
      <c r="E81" s="109"/>
      <c r="F81" s="25" t="s">
        <v>105</v>
      </c>
      <c r="G81" s="27" t="n">
        <f aca="false">G158</f>
        <v>64850.004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10980</v>
      </c>
      <c r="C82" s="130"/>
      <c r="D82" s="130"/>
      <c r="E82" s="109"/>
      <c r="F82" s="31" t="s">
        <v>106</v>
      </c>
      <c r="G82" s="33" t="n">
        <f aca="false">IF(A111 = "Yes", A40, 0)</f>
        <v>10980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10980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10980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7863.68856360932</v>
      </c>
      <c r="C86" s="130"/>
      <c r="D86" s="130"/>
      <c r="E86" s="109"/>
      <c r="F86" s="31" t="s">
        <v>110</v>
      </c>
      <c r="G86" s="33" t="n">
        <f aca="false">(G82/((1+G84)^(G85+1)))</f>
        <v>9088.44395044407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7508.70178550827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7508.70178550827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56986.3154363907</v>
      </c>
      <c r="C88" s="130"/>
      <c r="D88" s="130"/>
      <c r="E88" s="109"/>
      <c r="F88" s="31" t="s">
        <v>112</v>
      </c>
      <c r="G88" s="33" t="n">
        <f aca="false">G81-G86</f>
        <v>55761.5600495559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49481.7357044917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36160.0472144917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1971.87816211017</v>
      </c>
      <c r="C89" s="130"/>
      <c r="D89" s="130"/>
      <c r="E89" s="109"/>
      <c r="F89" s="31" t="s">
        <v>113</v>
      </c>
      <c r="G89" s="33" t="n">
        <f aca="false">(G88/G87)</f>
        <v>1800.12496330251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1749.94213166496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1278.81508606597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67043.8575117457</v>
      </c>
      <c r="C90" s="130"/>
      <c r="D90" s="130"/>
      <c r="E90" s="109"/>
      <c r="F90" s="31" t="s">
        <v>114</v>
      </c>
      <c r="G90" s="33" t="n">
        <f aca="false">((G89*(G85))+G77)</f>
        <v>61204.2487522854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59498.0324766088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43479.7129262431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67043.8575117457</v>
      </c>
      <c r="C92" s="130"/>
      <c r="D92" s="130"/>
      <c r="E92" s="109"/>
      <c r="F92" s="56" t="s">
        <v>116</v>
      </c>
      <c r="G92" s="65" t="n">
        <f aca="false">(G90+G91)</f>
        <v>61204.2487522854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59498.0324766088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43479.7129262431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125.499705882353</v>
      </c>
      <c r="C94" s="130"/>
      <c r="D94" s="130"/>
      <c r="E94" s="109"/>
      <c r="F94" s="88" t="s">
        <v>117</v>
      </c>
      <c r="G94" s="259" t="n">
        <f aca="false">IF(B26="YES",((E40/B85)*(1+A108)*(C45/100)),"0")</f>
        <v>125.499705882353</v>
      </c>
      <c r="H94" s="33"/>
      <c r="J94" s="88" t="s">
        <v>117</v>
      </c>
      <c r="K94" s="89" t="n">
        <f aca="false">((E40/K85)*(1+J108))*1.2</f>
        <v>146.2968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115.845882352941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139.015058823529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1971.87816211017</v>
      </c>
      <c r="C95" s="130"/>
      <c r="D95" s="130"/>
      <c r="E95" s="109"/>
      <c r="F95" s="91" t="s">
        <v>118</v>
      </c>
      <c r="G95" s="92" t="n">
        <f aca="false">G92/(G85)</f>
        <v>1800.12496330251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1749.94213166496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1278.81508606597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2097.37786799252</v>
      </c>
      <c r="C96" s="130"/>
      <c r="D96" s="130"/>
      <c r="E96" s="109"/>
      <c r="F96" s="93" t="s">
        <v>119</v>
      </c>
      <c r="G96" s="94" t="n">
        <f aca="false">G94+G95</f>
        <v>1925.62466918486</v>
      </c>
      <c r="H96" s="33"/>
      <c r="J96" s="93" t="s">
        <v>119</v>
      </c>
      <c r="K96" s="94" t="n">
        <f aca="false">(K94+K95)</f>
        <v>1652.5799870777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1865.7880140179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1417.8301448895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-9354.17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-9354.17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54208.34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55041.67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11118.334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67350.004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67350.004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9354.17</v>
      </c>
      <c r="I148" s="1" t="n">
        <f aca="false">(H148-G81)/1.2</f>
        <v>-46246.5283333333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64850.004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1971.87816211017</v>
      </c>
      <c r="B167" s="174" t="n">
        <f aca="false">B94</f>
        <v>125.499705882353</v>
      </c>
      <c r="C167" s="171"/>
      <c r="D167" s="171"/>
      <c r="E167" s="174" t="n">
        <f aca="false">B96</f>
        <v>2097.37786799252</v>
      </c>
      <c r="F167" s="23"/>
      <c r="G167" s="23" t="n">
        <f aca="false">ROUND(G95, 2)</f>
        <v>1800.12</v>
      </c>
      <c r="H167" s="33"/>
      <c r="J167" s="173" t="n">
        <f aca="false">K95</f>
        <v>1506.2831870777</v>
      </c>
      <c r="K167" s="174" t="n">
        <f aca="false">K94</f>
        <v>146.2968</v>
      </c>
      <c r="L167" s="171"/>
      <c r="M167" s="171"/>
      <c r="N167" s="174" t="n">
        <f aca="false">K96</f>
        <v>1652.5799870777</v>
      </c>
      <c r="O167" s="23"/>
      <c r="P167" s="23"/>
      <c r="Q167" s="33"/>
      <c r="S167" s="173" t="n">
        <f aca="false">T95</f>
        <v>1749.94213166496</v>
      </c>
      <c r="T167" s="174" t="n">
        <f aca="false">T94</f>
        <v>115.845882352941</v>
      </c>
      <c r="U167" s="171"/>
      <c r="V167" s="171"/>
      <c r="W167" s="174" t="n">
        <f aca="false">T96</f>
        <v>1865.7880140179</v>
      </c>
      <c r="X167" s="23"/>
      <c r="Y167" s="23"/>
      <c r="Z167" s="33"/>
      <c r="AB167" s="173" t="n">
        <f aca="false">AC95</f>
        <v>1278.81508606597</v>
      </c>
      <c r="AC167" s="174" t="n">
        <f aca="false">AC94</f>
        <v>139.015058823529</v>
      </c>
      <c r="AD167" s="171"/>
      <c r="AE167" s="171"/>
      <c r="AF167" s="174" t="n">
        <f aca="false">AC96</f>
        <v>1417.8301448895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10980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10980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10980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10980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55591.67</v>
      </c>
      <c r="B173" s="99" t="n">
        <f aca="false">H137</f>
        <v>11118.334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67350.004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64850.004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13173.8535117457</v>
      </c>
      <c r="B182" s="99" t="str">
        <f aca="false">B114</f>
        <v>199.99</v>
      </c>
      <c r="C182" s="99"/>
      <c r="D182" s="23"/>
      <c r="E182" s="99" t="n">
        <f aca="false">E179+A182+B182+A185</f>
        <v>78233.8475117457</v>
      </c>
      <c r="F182" s="23"/>
      <c r="G182" s="23"/>
      <c r="H182" s="101"/>
      <c r="J182" s="107" t="n">
        <f aca="false">(J167*K59)+N185-N179-J185</f>
        <v>24538.6283606416</v>
      </c>
      <c r="K182" s="99" t="n">
        <f aca="false">K114</f>
        <v>239.99</v>
      </c>
      <c r="L182" s="99"/>
      <c r="M182" s="23"/>
      <c r="N182" s="99" t="n">
        <f aca="false">N179+J182+K182+J185</f>
        <v>62453.6183606416</v>
      </c>
      <c r="O182" s="23"/>
      <c r="P182" s="23"/>
      <c r="Q182" s="101"/>
      <c r="S182" s="107" t="n">
        <f aca="false">(S167*T59)+W185-W179-S185</f>
        <v>13487.5949866088</v>
      </c>
      <c r="T182" s="99" t="n">
        <f aca="false">T114</f>
        <v>199.99</v>
      </c>
      <c r="U182" s="99"/>
      <c r="V182" s="23"/>
      <c r="W182" s="99" t="n">
        <f aca="false">W179+S182+T182+S185</f>
        <v>70688.0224766088</v>
      </c>
      <c r="X182" s="23"/>
      <c r="Y182" s="23"/>
      <c r="Z182" s="101"/>
      <c r="AB182" s="107" t="n">
        <f aca="false">(AB167*AC59)+AF185-AF179-AB185</f>
        <v>10790.9639262431</v>
      </c>
      <c r="AC182" s="99" t="n">
        <f aca="false">AC114</f>
        <v>239.99</v>
      </c>
      <c r="AD182" s="99"/>
      <c r="AE182" s="23"/>
      <c r="AF182" s="99" t="n">
        <f aca="false">AF179+AB182+AC182+AB185</f>
        <v>54709.7029262431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10990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11000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10990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10990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11.097</v>
      </c>
      <c r="B188" s="99" t="n">
        <f aca="false">(G158*B67)/1.2</f>
        <v>529.15801875</v>
      </c>
      <c r="C188" s="130"/>
      <c r="D188" s="130"/>
      <c r="E188" s="99" t="n">
        <f aca="false">(E40*A108)*0.1*(C45/100)</f>
        <v>98.469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98.469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65.646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65.646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727.61701875</v>
      </c>
      <c r="C191" s="130"/>
      <c r="D191" s="130"/>
      <c r="E191" s="99" t="n">
        <f aca="false">H148</f>
        <v>9354.17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3559.20986805556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1630.66213924132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1561.96086163194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2097.37786799252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1652.5799870777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1865.7880140179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1417.8301448895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7334.07599999999</v>
      </c>
      <c r="B201" s="183" t="n">
        <f aca="false">E179+A201+(B182*1.2)+A185</f>
        <v>72434.068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1971.87816211017</v>
      </c>
      <c r="B212" s="174" t="n">
        <f aca="false">B167</f>
        <v>125.499705882353</v>
      </c>
      <c r="C212" s="171"/>
      <c r="D212" s="171"/>
      <c r="E212" s="174" t="n">
        <f aca="false">E167</f>
        <v>2097.37786799252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55591.67</v>
      </c>
      <c r="B215" s="99" t="n">
        <f aca="false">B173</f>
        <v>11118.334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67350.004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64850.004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13173.8535117457</v>
      </c>
      <c r="B224" s="99" t="str">
        <f aca="false">B182</f>
        <v>199.99</v>
      </c>
      <c r="C224" s="99"/>
      <c r="D224" s="109"/>
      <c r="E224" s="99" t="n">
        <f aca="false">E182</f>
        <v>78233.8475117457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1971.87816211017</v>
      </c>
      <c r="B230" s="99" t="n">
        <f aca="false">B167</f>
        <v>125.499705882353</v>
      </c>
      <c r="C230" s="183"/>
      <c r="D230" s="183"/>
      <c r="E230" s="99" t="n">
        <f aca="false">E167</f>
        <v>2097.37786799252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10980</v>
      </c>
      <c r="B233" s="99" t="n">
        <f aca="false">E185</f>
        <v>10990</v>
      </c>
      <c r="C233" s="130"/>
      <c r="D233" s="130"/>
      <c r="E233" s="99" t="n">
        <f aca="false">J18*0.000006*100</f>
        <v>33.291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11.097</v>
      </c>
      <c r="B236" s="99" t="n">
        <f aca="false">E233+A236</f>
        <v>44.388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9354.17</v>
      </c>
      <c r="B240" s="99" t="n">
        <f aca="false">B68</f>
        <v>529.15801875</v>
      </c>
      <c r="C240" s="130"/>
      <c r="D240" s="130"/>
      <c r="E240" s="99" t="n">
        <f aca="false">E188</f>
        <v>98.469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10081.78701875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5809.7795117457</v>
      </c>
      <c r="C254" s="194"/>
      <c r="D254" s="195" t="s">
        <v>213</v>
      </c>
      <c r="E254" s="195"/>
      <c r="F254" s="196" t="n">
        <f aca="false">F261+F267+F269+B270+B271</f>
        <v>634.9896225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1084.68</v>
      </c>
      <c r="C255" s="194"/>
      <c r="D255" s="195" t="s">
        <v>215</v>
      </c>
      <c r="E255" s="195"/>
      <c r="F255" s="196" t="n">
        <f aca="false">(B254-F254)+B255</f>
        <v>6259.4698892457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5809.7795117457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634.9896225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984.69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6259.4698892457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8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14325</v>
      </c>
      <c r="I31" s="234" t="n">
        <f aca="false">IF(C107="YES",H31,0)</f>
        <v>14325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1845.83241193248</v>
      </c>
      <c r="E33" s="212"/>
      <c r="F33" s="63"/>
      <c r="G33" s="215" t="s">
        <v>354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1845.83241193248</v>
      </c>
      <c r="B36" s="99" t="str">
        <f aca="false">IF(B26="YES", H42, "")</f>
        <v/>
      </c>
      <c r="C36" s="217"/>
      <c r="D36" s="181" t="n">
        <f aca="false">I31</f>
        <v>14325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39504.5591381392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14325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11937.5</v>
      </c>
      <c r="I40" s="234" t="n">
        <f aca="false">H39-I39</f>
        <v>9222.94086186084</v>
      </c>
      <c r="J40" s="63" t="n">
        <v>23875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10542.7410625153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38184.7589374847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1845.83241193248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1845.83241193248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1845.83241193248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212"/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0.00708333333333333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410.01875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0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99</v>
      </c>
      <c r="C73" s="211"/>
      <c r="D73" s="290" t="n">
        <f aca="false">B73+B71</f>
        <v>259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6221.77291666667</v>
      </c>
      <c r="C81" s="211"/>
      <c r="D81" s="211"/>
      <c r="E81" s="212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282.807859848485</v>
      </c>
      <c r="C82" s="211"/>
      <c r="D82" s="211"/>
      <c r="E82" s="212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1845.83241193248</v>
      </c>
      <c r="C83" s="211"/>
      <c r="D83" s="211"/>
      <c r="E83" s="212"/>
      <c r="F83" s="63"/>
      <c r="G83" s="304" t="s">
        <v>104</v>
      </c>
      <c r="H83" s="305" t="n">
        <f aca="false">H47</f>
        <v>1845.83241193248</v>
      </c>
      <c r="I83" s="211"/>
      <c r="J83" s="211"/>
      <c r="K83" s="212"/>
      <c r="L83" s="63"/>
      <c r="M83" s="304" t="s">
        <v>104</v>
      </c>
      <c r="N83" s="305" t="n">
        <f aca="false">H47</f>
        <v>1845.83241193248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46830.0859791813</v>
      </c>
      <c r="C85" s="211"/>
      <c r="D85" s="211"/>
      <c r="E85" s="212"/>
      <c r="F85" s="63"/>
      <c r="G85" s="287" t="s">
        <v>114</v>
      </c>
      <c r="H85" s="127" t="n">
        <f aca="false">((H83*H29)+H81)*1.2</f>
        <v>55577.6031750176</v>
      </c>
      <c r="I85" s="211"/>
      <c r="J85" s="211"/>
      <c r="K85" s="212"/>
      <c r="L85" s="63"/>
      <c r="M85" s="287" t="s">
        <v>114</v>
      </c>
      <c r="N85" s="127" t="n">
        <f aca="false">((N83*H29)+N81)</f>
        <v>46163.4193125146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396.705044599761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392.338868722391</v>
      </c>
      <c r="I86" s="211"/>
      <c r="J86" s="211"/>
      <c r="K86" s="212"/>
      <c r="L86" s="63"/>
      <c r="M86" s="210" t="s">
        <v>115</v>
      </c>
      <c r="N86" s="299" t="n">
        <f aca="false">(N85/(1-N70))*N70</f>
        <v>391.057606116502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47226.7910237811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55969.94204374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46554.4769186312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2146.67231926278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2072.96081643481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1724.23988587523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2146.67231926278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2072.96081643481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1724.23988587523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2072.96081643481</v>
      </c>
      <c r="H127" s="174" t="n">
        <f aca="false">IF(G105="YES", H89*H57, 0)</f>
        <v>0</v>
      </c>
      <c r="I127" s="174"/>
      <c r="J127" s="333" t="n">
        <f aca="false">H91</f>
        <v>2072.96081643481</v>
      </c>
      <c r="K127" s="212"/>
      <c r="L127" s="63"/>
      <c r="M127" s="332" t="n">
        <f aca="false">N90</f>
        <v>1724.23988587523</v>
      </c>
      <c r="N127" s="174" t="n">
        <f aca="false">IF(M105="YES", N89*N57, 0)</f>
        <v>0</v>
      </c>
      <c r="O127" s="174"/>
      <c r="P127" s="174" t="n">
        <f aca="false">N91</f>
        <v>1724.23988587523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2146.67231926278</v>
      </c>
      <c r="B128" s="320" t="n">
        <f aca="false">IF(A105="YES", B89, 0)</f>
        <v>0</v>
      </c>
      <c r="C128" s="324"/>
      <c r="D128" s="320" t="n">
        <f aca="false">B91</f>
        <v>2146.67231926278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2146.67231926278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12437.7648986089</v>
      </c>
      <c r="H133" s="99" t="n">
        <f aca="false">IF(G105="YES", H89*H57, 0)</f>
        <v>0</v>
      </c>
      <c r="I133" s="217"/>
      <c r="J133" s="181" t="n">
        <f aca="false">H91*H57</f>
        <v>12437.7648986089</v>
      </c>
      <c r="K133" s="212"/>
      <c r="L133" s="63"/>
      <c r="M133" s="182" t="n">
        <f aca="false">N90*N57</f>
        <v>10345.4393152514</v>
      </c>
      <c r="N133" s="99" t="n">
        <f aca="false">IF(M105="YES", N89*N57, 0)</f>
        <v>0</v>
      </c>
      <c r="O133" s="217"/>
      <c r="P133" s="181" t="n">
        <f aca="false">N91*N57</f>
        <v>10345.4393152514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2146.67231926278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2146.67231926278</v>
      </c>
      <c r="B137" s="38" t="n">
        <f aca="false">IF(A105="YES", B89, 0)</f>
        <v>0</v>
      </c>
      <c r="C137" s="316"/>
      <c r="D137" s="38" t="n">
        <f aca="false">B91</f>
        <v>2146.67231926278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910.00875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2072.96081643481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1724.23988587523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2146.67231926278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2146.67231926278</v>
      </c>
      <c r="B177" s="354" t="n">
        <f aca="false">IF(A105="YES", B89, 0)</f>
        <v>0</v>
      </c>
      <c r="C177" s="356"/>
      <c r="D177" s="354" t="n">
        <f aca="false">B91</f>
        <v>2146.67231926278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2146.67231926278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2146.67231926278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2146.67231926278</v>
      </c>
      <c r="B186" s="99" t="n">
        <f aca="false">IF(A105="YES", B89, 0)</f>
        <v>0</v>
      </c>
      <c r="C186" s="352"/>
      <c r="D186" s="99" t="n">
        <f aca="false">B91</f>
        <v>2146.67231926278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410.01875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910.00875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410.01875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4826.0775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410.01875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4826.0775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396.705044599761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8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28650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1336.20150930817</v>
      </c>
      <c r="E33" s="212"/>
      <c r="F33" s="63"/>
      <c r="G33" s="215" t="s">
        <v>354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1336.20150930817</v>
      </c>
      <c r="B36" s="99" t="str">
        <f aca="false">IF(B26="YES", H42, "")</f>
        <v/>
      </c>
      <c r="C36" s="217"/>
      <c r="D36" s="181" t="n">
        <f aca="false">H31</f>
        <v>28650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50047.3002006544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28650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(A40)/1.2</f>
        <v>23875</v>
      </c>
      <c r="I40" s="234" t="n">
        <f aca="false">H39-I39</f>
        <v>-1319.80020065443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21085.4821250306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510" t="n">
        <v>100</v>
      </c>
      <c r="D45" s="510"/>
      <c r="E45" s="212"/>
      <c r="F45" s="63"/>
      <c r="G45" s="63" t="s">
        <v>372</v>
      </c>
      <c r="H45" s="234" t="n">
        <f aca="false">(H39-H44)</f>
        <v>27642.0178749694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1336.20150930817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1336.20150930817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1336.20150930817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465" t="n">
        <f aca="false">D64/(B58+B57)</f>
        <v>222.550284090909</v>
      </c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0.00708333333333333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410.01875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99</v>
      </c>
      <c r="C73" s="211"/>
      <c r="D73" s="290" t="n">
        <f aca="false">B73+B71</f>
        <v>259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155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335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449.166666666667</v>
      </c>
      <c r="C76" s="211"/>
      <c r="D76" s="290" t="n">
        <f aca="false">B76</f>
        <v>449.166666666667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465" t="n">
        <f aca="false">(D73+D76+D79+D80)/(B58+B57)</f>
        <v>50.3712121212121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6670.93958333333</v>
      </c>
      <c r="C81" s="211"/>
      <c r="D81" s="211"/>
      <c r="E81" s="465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303.224526515152</v>
      </c>
      <c r="C82" s="211"/>
      <c r="D82" s="211"/>
      <c r="E82" s="465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1336.20150930817</v>
      </c>
      <c r="C83" s="211"/>
      <c r="D83" s="211"/>
      <c r="E83" s="465" t="n">
        <f aca="false">B83+E80+E77+E64</f>
        <v>1629.32502572231</v>
      </c>
      <c r="F83" s="63"/>
      <c r="G83" s="304" t="s">
        <v>104</v>
      </c>
      <c r="H83" s="305" t="n">
        <f aca="false">H47</f>
        <v>1336.20150930817</v>
      </c>
      <c r="I83" s="211"/>
      <c r="J83" s="211"/>
      <c r="K83" s="212"/>
      <c r="L83" s="63"/>
      <c r="M83" s="304" t="s">
        <v>104</v>
      </c>
      <c r="N83" s="305" t="n">
        <f aca="false">H47</f>
        <v>1336.20150930817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43280.8473457357</v>
      </c>
      <c r="C85" s="211"/>
      <c r="D85" s="211"/>
      <c r="E85" s="465" t="n">
        <f aca="false">B85/(B58+B57)</f>
        <v>1967.31124298798</v>
      </c>
      <c r="F85" s="63"/>
      <c r="G85" s="287" t="s">
        <v>114</v>
      </c>
      <c r="H85" s="127" t="n">
        <f aca="false">((H83*H29)+H81)*1.2</f>
        <v>42123.3473457357</v>
      </c>
      <c r="I85" s="211"/>
      <c r="J85" s="211"/>
      <c r="K85" s="212"/>
      <c r="L85" s="63"/>
      <c r="M85" s="287" t="s">
        <v>114</v>
      </c>
      <c r="N85" s="127" t="n">
        <f aca="false">((N83*H29)+N81)</f>
        <v>34951.5394547797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305.532403610478</v>
      </c>
      <c r="C86" s="211"/>
      <c r="D86" s="211"/>
      <c r="E86" s="465" t="n">
        <f aca="false">B86/(B58+B57)</f>
        <v>13.887836527749</v>
      </c>
      <c r="F86" s="63"/>
      <c r="G86" s="210" t="s">
        <v>115</v>
      </c>
      <c r="H86" s="299" t="n">
        <f aca="false">((((H83*H29)+H81))/(1-H70))*H70</f>
        <v>297.361266055012</v>
      </c>
      <c r="I86" s="211"/>
      <c r="J86" s="211"/>
      <c r="K86" s="212"/>
      <c r="L86" s="63"/>
      <c r="M86" s="210" t="s">
        <v>115</v>
      </c>
      <c r="N86" s="299" t="n">
        <f aca="false">(N85/(1-N70))*N70</f>
        <v>296.080003449122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43586.3797493461</v>
      </c>
      <c r="C87" s="211"/>
      <c r="D87" s="211"/>
      <c r="E87" s="465" t="n">
        <f aca="false">E86+E85</f>
        <v>1981.19907951573</v>
      </c>
      <c r="F87" s="63"/>
      <c r="G87" s="284" t="s">
        <v>116</v>
      </c>
      <c r="H87" s="129" t="n">
        <f aca="false">IF(H110="YES",((H85+H86)-K114),(H85+H86))</f>
        <v>42420.7086117907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35247.6194582288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1981.19907951573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1571.13735599225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1305.46738734181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1981.19907951573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1571.13735599225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1305.46738734181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1571.13735599225</v>
      </c>
      <c r="H127" s="174" t="n">
        <f aca="false">IF(G105="YES", H89*H57, 0)</f>
        <v>0</v>
      </c>
      <c r="I127" s="174"/>
      <c r="J127" s="333" t="n">
        <f aca="false">H91</f>
        <v>1571.13735599225</v>
      </c>
      <c r="K127" s="212"/>
      <c r="L127" s="63"/>
      <c r="M127" s="332" t="n">
        <f aca="false">N90</f>
        <v>1305.46738734181</v>
      </c>
      <c r="N127" s="174" t="n">
        <f aca="false">IF(M105="YES", N89*N57, 0)</f>
        <v>0</v>
      </c>
      <c r="O127" s="174"/>
      <c r="P127" s="174" t="n">
        <f aca="false">N91</f>
        <v>1305.46738734181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1981.19907951573</v>
      </c>
      <c r="B128" s="320" t="n">
        <f aca="false">IF(A105="YES", B89, 0)</f>
        <v>0</v>
      </c>
      <c r="C128" s="324"/>
      <c r="D128" s="320" t="n">
        <f aca="false">B91</f>
        <v>1981.19907951573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17830.7917156416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9426.82413595348</v>
      </c>
      <c r="H133" s="99" t="n">
        <f aca="false">IF(G105="YES", H89*H57, 0)</f>
        <v>0</v>
      </c>
      <c r="I133" s="217"/>
      <c r="J133" s="181" t="n">
        <f aca="false">H91*H57</f>
        <v>9426.82413595348</v>
      </c>
      <c r="K133" s="212"/>
      <c r="L133" s="63"/>
      <c r="M133" s="182" t="n">
        <f aca="false">N90*N57</f>
        <v>7832.80432405085</v>
      </c>
      <c r="N133" s="99" t="n">
        <f aca="false">IF(M105="YES", N89*N57, 0)</f>
        <v>0</v>
      </c>
      <c r="O133" s="217"/>
      <c r="P133" s="181" t="n">
        <f aca="false">N91*N57</f>
        <v>7832.80432405085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17830.7917156416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1981.19907951573</v>
      </c>
      <c r="B137" s="38" t="n">
        <f aca="false">IF(A105="YES", B89, 0)</f>
        <v>0</v>
      </c>
      <c r="C137" s="316"/>
      <c r="D137" s="38" t="n">
        <f aca="false">B91</f>
        <v>1981.19907951573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910.010416666667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1571.13735599225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1305.46738734181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1981.19907951573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1981.19907951573</v>
      </c>
      <c r="B177" s="354" t="n">
        <f aca="false">IF(A105="YES", B89, 0)</f>
        <v>0</v>
      </c>
      <c r="C177" s="356"/>
      <c r="D177" s="354" t="n">
        <f aca="false">B91</f>
        <v>1981.19907951573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17830.7917156416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17830.7917156416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1981.19907951573</v>
      </c>
      <c r="B186" s="99" t="n">
        <f aca="false">IF(A105="YES", B89, 0)</f>
        <v>0</v>
      </c>
      <c r="C186" s="352"/>
      <c r="D186" s="99" t="n">
        <f aca="false">B91</f>
        <v>1981.19907951573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410.01875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910.010416666667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410.01875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4826.07916666667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410.01875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4826.07916666667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305.532403610478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 t="n">
        <v>23125</v>
      </c>
      <c r="C9" s="485"/>
      <c r="D9" s="485"/>
      <c r="E9" s="508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 t="n">
        <v>0</v>
      </c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 t="n">
        <v>0</v>
      </c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100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58405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20000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1076.7084479649</v>
      </c>
      <c r="E33" s="212"/>
      <c r="F33" s="63"/>
      <c r="G33" s="215" t="s">
        <v>354</v>
      </c>
      <c r="H33" s="459" t="n">
        <f aca="false">E21-E11+((E16*20%)+(E19*20%)+(E20*20%))</f>
        <v>48777.5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1076.7084479649</v>
      </c>
      <c r="B36" s="99" t="str">
        <f aca="false">IF(B26="YES", H42, "")</f>
        <v/>
      </c>
      <c r="C36" s="217"/>
      <c r="D36" s="181" t="n">
        <f aca="false">H31</f>
        <v>20000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48777.5</v>
      </c>
      <c r="I39" s="234" t="n">
        <f aca="false">(I48*H46)+H44</f>
        <v>59325.6915133649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-10548.1915133649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35130.2928941323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1076.7084479649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1076.7084479649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1076.7084479649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6077.925</v>
      </c>
      <c r="C64" s="464" t="n">
        <v>10000</v>
      </c>
      <c r="D64" s="290" t="n">
        <f aca="false">B64</f>
        <v>6077.925</v>
      </c>
      <c r="E64" s="465" t="n">
        <f aca="false">D64/(B58+B57)</f>
        <v>168.83125</v>
      </c>
      <c r="F64" s="63"/>
      <c r="G64" s="284" t="s">
        <v>90</v>
      </c>
      <c r="H64" s="129" t="n">
        <f aca="false">H61*H63</f>
        <v>6077.925</v>
      </c>
      <c r="I64" s="211"/>
      <c r="J64" s="290" t="n">
        <f aca="false">H64-G145</f>
        <v>6077.925</v>
      </c>
      <c r="K64" s="212"/>
      <c r="L64" s="63"/>
      <c r="M64" s="284" t="s">
        <v>90</v>
      </c>
      <c r="N64" s="129" t="n">
        <f aca="false">N61*N63</f>
        <v>6077.925</v>
      </c>
      <c r="O64" s="211"/>
      <c r="P64" s="290" t="n">
        <f aca="false">N64-M145</f>
        <v>6077.925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1157.7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964.75</v>
      </c>
      <c r="I67" s="211"/>
      <c r="J67" s="290"/>
      <c r="K67" s="212"/>
      <c r="L67" s="63"/>
      <c r="M67" s="284" t="s">
        <v>93</v>
      </c>
      <c r="N67" s="129" t="n">
        <f aca="false">(N61*N66)/1.2</f>
        <v>964.75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1083.33333333333</v>
      </c>
      <c r="C76" s="211"/>
      <c r="D76" s="290" t="n">
        <f aca="false">B76</f>
        <v>1083.33333333333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51.7592592592593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8607.925</v>
      </c>
      <c r="C81" s="472"/>
      <c r="D81" s="473"/>
      <c r="E81" s="465"/>
      <c r="F81" s="63"/>
      <c r="G81" s="302" t="s">
        <v>102</v>
      </c>
      <c r="H81" s="303" t="n">
        <f aca="false">SUM(J64:J80)</f>
        <v>7143.675</v>
      </c>
      <c r="I81" s="211"/>
      <c r="J81" s="211"/>
      <c r="K81" s="212"/>
      <c r="L81" s="63"/>
      <c r="M81" s="302" t="s">
        <v>102</v>
      </c>
      <c r="N81" s="303" t="n">
        <f aca="false">SUM(P64:P80)</f>
        <v>6799.925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239.109027777778</v>
      </c>
      <c r="C82" s="472"/>
      <c r="D82" s="211"/>
      <c r="E82" s="465"/>
      <c r="F82" s="63"/>
      <c r="G82" s="210" t="s">
        <v>103</v>
      </c>
      <c r="H82" s="299" t="n">
        <f aca="false">H81/H29</f>
        <v>198.435416666667</v>
      </c>
      <c r="I82" s="211"/>
      <c r="J82" s="211"/>
      <c r="K82" s="212"/>
      <c r="L82" s="63"/>
      <c r="M82" s="210" t="s">
        <v>103</v>
      </c>
      <c r="N82" s="299" t="n">
        <f aca="false">N81/H29</f>
        <v>188.886805555556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1076.7084479649</v>
      </c>
      <c r="C83" s="472"/>
      <c r="D83" s="211"/>
      <c r="E83" s="465" t="n">
        <f aca="false">B83+E80+E77+E64</f>
        <v>1309.6446362365</v>
      </c>
      <c r="F83" s="63"/>
      <c r="G83" s="304" t="s">
        <v>104</v>
      </c>
      <c r="H83" s="305" t="n">
        <f aca="false">H47</f>
        <v>1076.7084479649</v>
      </c>
      <c r="I83" s="211"/>
      <c r="J83" s="211"/>
      <c r="K83" s="212"/>
      <c r="L83" s="63"/>
      <c r="M83" s="304" t="s">
        <v>104</v>
      </c>
      <c r="N83" s="305" t="n">
        <f aca="false">H47</f>
        <v>1076.7084479649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47369.4291267364</v>
      </c>
      <c r="C85" s="472"/>
      <c r="D85" s="472"/>
      <c r="E85" s="465" t="n">
        <f aca="false">B85/(B58+B57)</f>
        <v>1315.81747574268</v>
      </c>
      <c r="F85" s="63"/>
      <c r="G85" s="287" t="s">
        <v>114</v>
      </c>
      <c r="H85" s="127" t="n">
        <f aca="false">((H83*H29)+H81)*1.2</f>
        <v>55086.2149520837</v>
      </c>
      <c r="I85" s="211"/>
      <c r="J85" s="211"/>
      <c r="K85" s="212"/>
      <c r="L85" s="63"/>
      <c r="M85" s="287" t="s">
        <v>114</v>
      </c>
      <c r="N85" s="127" t="n">
        <f aca="false">((N83*H29)+N81)</f>
        <v>45561.4291267364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401.273905470538</v>
      </c>
      <c r="C86" s="472" t="s">
        <v>227</v>
      </c>
      <c r="D86" s="211"/>
      <c r="E86" s="465" t="n">
        <f aca="false">B86/(B58+B57)</f>
        <v>11.1464973741816</v>
      </c>
      <c r="F86" s="63"/>
      <c r="G86" s="210" t="s">
        <v>115</v>
      </c>
      <c r="H86" s="299" t="n">
        <f aca="false">((((H83*H29)+H81))/(1-H70))*H70</f>
        <v>388.870012771869</v>
      </c>
      <c r="I86" s="211"/>
      <c r="J86" s="211"/>
      <c r="K86" s="212"/>
      <c r="L86" s="63"/>
      <c r="M86" s="210" t="s">
        <v>115</v>
      </c>
      <c r="N86" s="299" t="n">
        <f aca="false">(N85/(1-N70))*N70</f>
        <v>385.958052303939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47770.7030322069</v>
      </c>
      <c r="C87" s="472"/>
      <c r="D87" s="474"/>
      <c r="E87" s="465" t="n">
        <f aca="false">E86+E85</f>
        <v>1326.96397311686</v>
      </c>
      <c r="F87" s="63"/>
      <c r="G87" s="284" t="s">
        <v>116</v>
      </c>
      <c r="H87" s="129" t="n">
        <f aca="false">IF(H110="YES",((H85+H86)-K114),(H85+H86))</f>
        <v>55475.0849648555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45947.3871790403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1326.96397311686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1353.05085280135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1120.66797997659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1326.96397311686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1353.05085280135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1120.66797997659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1353.05085280135</v>
      </c>
      <c r="H127" s="174" t="n">
        <f aca="false">IF(G105="YES", H89*H57, 0)</f>
        <v>0</v>
      </c>
      <c r="I127" s="174"/>
      <c r="J127" s="333" t="n">
        <f aca="false">H91</f>
        <v>1353.05085280135</v>
      </c>
      <c r="K127" s="212"/>
      <c r="L127" s="63"/>
      <c r="M127" s="332" t="n">
        <f aca="false">N90</f>
        <v>1120.66797997659</v>
      </c>
      <c r="N127" s="174" t="n">
        <f aca="false">IF(M105="YES", N89*N57, 0)</f>
        <v>0</v>
      </c>
      <c r="O127" s="174"/>
      <c r="P127" s="174" t="n">
        <f aca="false">N91</f>
        <v>1120.66797997659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1326.96397311686</v>
      </c>
      <c r="B128" s="320" t="n">
        <f aca="false">IF(A105="YES", B89, 0)</f>
        <v>0</v>
      </c>
      <c r="C128" s="324"/>
      <c r="D128" s="320" t="n">
        <f aca="false">B91</f>
        <v>1326.96397311686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1326.96397311686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8118.30511680813</v>
      </c>
      <c r="H133" s="99" t="n">
        <f aca="false">IF(G105="YES", H89*H57, 0)</f>
        <v>0</v>
      </c>
      <c r="I133" s="217"/>
      <c r="J133" s="181" t="n">
        <f aca="false">H91*H57</f>
        <v>8118.30511680813</v>
      </c>
      <c r="K133" s="212"/>
      <c r="L133" s="63"/>
      <c r="M133" s="182" t="n">
        <f aca="false">N90*N57</f>
        <v>6724.00787985956</v>
      </c>
      <c r="N133" s="99" t="n">
        <f aca="false">IF(M105="YES", N89*N57, 0)</f>
        <v>0</v>
      </c>
      <c r="O133" s="217"/>
      <c r="P133" s="181" t="n">
        <f aca="false">N91*N57</f>
        <v>6724.00787985956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1326.96397311686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1326.96397311686</v>
      </c>
      <c r="B137" s="38" t="n">
        <f aca="false">IF(A105="YES", B89, 0)</f>
        <v>0</v>
      </c>
      <c r="C137" s="316"/>
      <c r="D137" s="38" t="n">
        <f aca="false">B91</f>
        <v>1326.96397311686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964.75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964.75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1157.7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1657.69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1353.05085280135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1120.66797997659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1326.96397311686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1326.96397311686</v>
      </c>
      <c r="B177" s="354" t="n">
        <f aca="false">IF(A105="YES", B89, 0)</f>
        <v>0</v>
      </c>
      <c r="C177" s="356"/>
      <c r="D177" s="354" t="n">
        <f aca="false">B91</f>
        <v>1326.96397311686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1326.96397311686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1326.96397311686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1326.96397311686</v>
      </c>
      <c r="B186" s="99" t="n">
        <f aca="false">IF(A105="YES", B89, 0)</f>
        <v>0</v>
      </c>
      <c r="C186" s="352"/>
      <c r="D186" s="99" t="n">
        <f aca="false">B91</f>
        <v>1326.96397311686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1157.7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1657.69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6077.925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1157.7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5260.215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6077.925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1157.7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5260.215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401.273905470538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387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238</v>
      </c>
      <c r="C138" s="211"/>
      <c r="D138" s="211" t="s">
        <v>242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511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13613.54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13709.6420371117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1142.47016975931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1142.47016975931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1142.47016975931</v>
      </c>
      <c r="B128" s="320" t="n">
        <f aca="false">IF(A105="YES", B89, 0)</f>
        <v>0</v>
      </c>
      <c r="C128" s="325"/>
      <c r="D128" s="320" t="n">
        <f aca="false">B91</f>
        <v>1142.47016975931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1142.47016975931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1142.47016975931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1142.47016975931</v>
      </c>
      <c r="B137" s="38" t="n">
        <f aca="false">IF(A105="YES", B89, 0)</f>
        <v>0</v>
      </c>
      <c r="C137" s="316"/>
      <c r="D137" s="38" t="n">
        <f aca="false">B91</f>
        <v>1142.47016975931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1142.47016975931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1142.47016975931</v>
      </c>
      <c r="B171" s="354" t="n">
        <f aca="false">IF(A105="YES", B89, 0)</f>
        <v>0</v>
      </c>
      <c r="C171" s="357"/>
      <c r="D171" s="354" t="n">
        <f aca="false">B91</f>
        <v>1142.47016975931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1142.47016975931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1142.47016975931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1142.47016975931</v>
      </c>
      <c r="B180" s="99" t="n">
        <f aca="false">IF(A105="YES", B89, 0)</f>
        <v>0</v>
      </c>
      <c r="C180" s="352"/>
      <c r="D180" s="99" t="n">
        <f aca="false">B91</f>
        <v>1142.47016975931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789.415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4102.515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11344.6166666667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11440.7187037784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953.393225314867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1013.39322531487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953.393225314867</v>
      </c>
      <c r="B128" s="320" t="n">
        <f aca="false">IF(A105="YES", B89, 0)</f>
        <v>60</v>
      </c>
      <c r="C128" s="325"/>
      <c r="D128" s="320" t="n">
        <f aca="false">B91</f>
        <v>1013.39322531487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72</v>
      </c>
      <c r="I130" s="174"/>
      <c r="J130" s="333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8580.53902783381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9120.53902783381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953.393225314867</v>
      </c>
      <c r="B137" s="38" t="n">
        <f aca="false">IF(A105="YES", B89, 0)</f>
        <v>60</v>
      </c>
      <c r="C137" s="316"/>
      <c r="D137" s="38" t="n">
        <f aca="false">B91</f>
        <v>1013.39322531487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1013.39322531487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953.393225314867</v>
      </c>
      <c r="B171" s="354" t="n">
        <f aca="false">IF(A105="YES", B89, 0)</f>
        <v>60</v>
      </c>
      <c r="C171" s="357"/>
      <c r="D171" s="354" t="n">
        <f aca="false">B91</f>
        <v>1013.39322531487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8580.53902783381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9120.53902783381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953.393225314867</v>
      </c>
      <c r="B180" s="99" t="n">
        <f aca="false">IF(A105="YES", B89, 0)</f>
        <v>60</v>
      </c>
      <c r="C180" s="352"/>
      <c r="D180" s="99" t="n">
        <f aca="false">B91</f>
        <v>1013.39322531487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801.415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4222.515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4610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2023-07-05T16:23:03Z</dcterms:modified>
  <cp:revision>812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