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<sst xmlns="http://schemas.openxmlformats.org/spreadsheetml/2006/main" count="32278" uniqueCount="388">
  <si>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</si>
  <si>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</si>
  <si>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</si>
  <si>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</si>
  <si>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</si>
  <si>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</si>
  <si>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</si>
  <si>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</si>
  <si>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</si>
  <si>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</si>
  <si>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</si>
  <si>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</si>
  <si>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</si>
  <si>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</si>
  <si>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</si>
  <si>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</si>
  <si>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</si>
  <si>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</si>
  <si>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</si>
  <si>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</si>
  <si>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</si>
  <si>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</si>
  <si>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</si>
  <si>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</si>
  <si>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</si>
  <si>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</si>
  <si>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</si>
  <si>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</si>
  <si>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</si>
  <si>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</si>
  <si>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</si>
  <si>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</si>
  <si>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</si>
  <si>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</si>
  <si>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</si>
  <si>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</si>
  <si>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</si>
  <si>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</si>
  <si>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</si>
  <si>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</si>
  <si>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</si>
  <si>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</si>
  <si>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</si>
  <si>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</si>
  <si>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</si>
  <si>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</si>
  <si>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</si>
  <si>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</si>
  <si>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</si>
  <si>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</si>
  <si>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</si>
  <si>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</si>
  <si>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</si>
  <si>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</si>
  <si>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</si>
  <si>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</si>
  <si>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</si>
  <si>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</si>
  <si>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</si>
  <si>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</si>
  <si>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</si>
  <si>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</si>
  <si>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</si>
  <si>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</si>
  <si>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</si>
  <si>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</si>
  <si>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</si>
  <si>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</si>
  <si>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</si>
  <si>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</si>
  <si>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</si>
  <si>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</si>
  <si>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</si>
  <si>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</si>
  <si>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</si>
  <si>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</si>
  <si>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</si>
  <si>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</si>
  <si>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</si>
  <si>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</si>
  <si>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</si>
  <si>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</si>
  <si>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</si>
  <si>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</si>
  <si>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</si>
  <si>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</si>
  <si>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</si>
  <si>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</si>
  <si>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</si>
  <si>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</si>
  <si>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</si>
  <si>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</si>
  <si>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</si>
  <si>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</si>
  <si>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</si>
  <si>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</si>
  <si>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</si>
  <si>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</si>
  <si>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</si>
  <si>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</si>
  <si>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</si>
  <si>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</si>
  <si>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</si>
  <si>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</si>
  <si>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</si>
  <si>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</si>
  <si>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</si>
  <si>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</si>
  <si>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</si>
  <si>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</si>
  <si>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</si>
  <si>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</si>
  <si>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</si>
  <si>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</si>
  <si>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</si>
  <si>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</si>
  <si>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</si>
  <si>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</si>
  <si>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</si>
  <si>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</si>
  <si>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</si>
  <si>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</si>
  <si>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</si>
  <si>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</si>
  <si>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</si>
  <si>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</si>
  <si>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</si>
  <si>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</si>
  <si>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</si>
  <si>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</si>
  <si>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</si>
  <si>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</si>
  <si>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</si>
  <si>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</si>
  <si>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</si>
  <si>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</si>
  <si>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</si>
  <si>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</si>
  <si>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</si>
  <si>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</si>
  <si>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</si>
  <si>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</si>
  <si>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</si>
  <si>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</si>
  <si>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</si>
  <si>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</si>
  <si>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</si>
  <si>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</si>
  <si>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</si>
  <si>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</si>
  <si>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</si>
  <si>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</si>
  <si>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</si>
  <si>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</si>
  <si>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</si>
  <si>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</si>
  <si>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</si>
  <si>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</si>
  <si>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</si>
  <si>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</si>
  <si>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</si>
  <si>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</si>
  <si>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</si>
  <si>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</si>
  <si>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</si>
  <si>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</si>
  <si>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</si>
  <si>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</si>
  <si>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</si>
  <si>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</si>
  <si>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</si>
  <si>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</si>
  <si>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</si>
  <si>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</si>
  <si>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</si>
  <si>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</si>
  <si>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</si>
  <si>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</si>
  <si>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</si>
  <si>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</si>
  <si>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</si>
  <si>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</si>
  <si>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</si>
  <si>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</si>
  <si>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</si>
  <si>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</si>
  <si>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</si>
  <si>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</si>
  <si>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</si>
  <si>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</si>
  <si>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</si>
  <si>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</si>
  <si>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</si>
  <si>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</si>
  <si>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</si>
  <si>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</si>
  <si>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</si>
  <si>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</si>
  <si>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</si>
  <si>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</si>
  <si>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</si>
  <si>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</si>
  <si>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</si>
  <si>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</si>
  <si>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</si>
  <si>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</si>
  <si>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</si>
  <si>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</si>
  <si>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</si>
  <si>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</si>
  <si>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</si>
  <si>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</si>
  <si>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</si>
  <si>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</si>
  <si>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</si>
  <si>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</si>
  <si>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</si>
  <si>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</si>
  <si>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</si>
  <si>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</si>
  <si>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</si>
  <si>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</si>
  <si>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</si>
  <si>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</si>
  <si>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</si>
  <si>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</si>
  <si>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</si>
  <si>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</si>
  <si>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</si>
  <si>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</si>
  <si>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</si>
  <si>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</si>
  <si>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</si>
  <si>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</si>
  <si>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</si>
  <si>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</si>
  <si>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</si>
  <si>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</si>
  <si>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</si>
  <si>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</si>
  <si>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</si>
  <si>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</si>
  <si>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</si>
  <si>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</si>
  <si>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</si>
  <si>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</si>
  <si>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</si>
  <si>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</si>
  <si>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</si>
  <si>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</si>
  <si>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</si>
  <si>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</si>
  <si>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</si>
  <si>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</si>
  <si>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</si>
  <si>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</si>
  <si>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</si>
  <si>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</si>
  <si>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</si>
  <si>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</si>
  <si>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</si>
  <si>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</si>
  <si>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</si>
  <si>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</si>
  <si>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</si>
  <si>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</si>
  <si>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</si>
  <si>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</si>
  <si>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</si>
  <si>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</si>
  <si>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</si>
  <si>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</si>
  <si>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</si>
  <si>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</si>
  <si>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</si>
  <si>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</si>
  <si>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</si>
  <si>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</si>
  <si>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</si>
  <si>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</si>
  <si>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</si>
  <si>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</si>
  <si>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</si>
  <si>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</si>
  <si>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</si>
  <si>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</si>
  <si>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</si>
  <si>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</si>
  <si>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</si>
  <si>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</si>
  <si>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</si>
  <si>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</si>
  <si>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</si>
  <si>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</si>
  <si>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</si>
  <si>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</si>
  <si>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</si>
  <si>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</si>
  <si>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</si>
  <si>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</si>
  <si>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</si>
  <si>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</si>
  <si>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</si>
  <si>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</si>
  <si>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</si>
  <si>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</si>
  <si>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</si>
  <si>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</si>
  <si>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</si>
  <si>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</si>
  <si>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</si>
  <si>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</si>
  <si>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</si>
  <si>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</si>
  <si>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</si>
  <si>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</si>
  <si>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</si>
  <si>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</si>
  <si>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</si>
  <si>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</si>
  <si>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</si>
  <si>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</si>
  <si>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</si>
  <si>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</si>
  <si>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</si>
  <si>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</si>
  <si>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</si>
  <si>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</si>
  <si>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</si>
  <si>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</si>
  <si>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</si>
  <si>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</si>
  <si>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</si>
  <si>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</si>
  <si>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</si>
  <si>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</si>
  <si>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</si>
  <si>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</si>
  <si>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</si>
  <si>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</si>
  <si>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</si>
  <si>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</si>
  <si>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</si>
  <si>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</si>
  <si>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</si>
  <si>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</si>
  <si>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</si>
  <si>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</si>
  <si>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</si>
  <si>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</si>
  <si>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</si>
  <si>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</si>
  <si>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</si>
  <si>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</si>
  <si>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</si>
  <si>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</si>
  <si>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</si>
  <si>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</si>
  <si>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</si>
  <si>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</si>
  <si>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</si>
  <si>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</si>
  <si>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</si>
  <si>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</si>
  <si>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</si>
  <si>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</si>
  <si>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</si>
  <si>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</si>
  <si>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</si>
  <si>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</si>
  <si>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</si>
  <si>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</si>
  <si>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</si>
  <si>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</si>
  <si>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</si>
  <si>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</si>
  <si>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</si>
  <si>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</si>
  <si>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</si>
  <si>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</si>
  <si>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</si>
  <si>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</si>
  <si>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315.00</t>
  </si>
  <si>
    <t xml:space="preserve">21268.00</t>
  </si>
  <si>
    <t xml:space="preserve">Yes</t>
  </si>
  <si>
    <t xml:space="preserve">58535.00</t>
  </si>
  <si>
    <t xml:space="preserve">RFL included?</t>
  </si>
  <si>
    <t>NO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</si>
</sst>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H150-H146-H148-H149-H151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796.172109244173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20049.996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16708.33</v>
      </c>
      <c r="C9" s="9" t="n">
        <f aca="false">B9*0.2</f>
        <v>3341.666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20049.996</v>
      </c>
      <c r="B37" s="31"/>
      <c r="C37" s="40" t="s">
        <v>45</v>
      </c>
      <c r="D37" s="40"/>
      <c r="E37" s="31"/>
      <c r="F37" s="42" t="n">
        <f aca="false">A37-C37</f>
        <v>19049.996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3341.666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195.138833333333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304.861166666667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307.527833333333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307.527833333333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307.527833333333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13493.4791408569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307.527833333333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307.527833333333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307.527833333333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19049.996</v>
      </c>
      <c r="C90" s="31"/>
      <c r="D90" s="31"/>
      <c r="E90" s="22"/>
      <c r="F90" s="24" t="s">
        <v>106</v>
      </c>
      <c r="G90" s="26" t="n">
        <f aca="false">F37</f>
        <v>19049.996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12695.0542001204</v>
      </c>
      <c r="C97" s="31"/>
      <c r="D97" s="31"/>
      <c r="E97" s="22"/>
      <c r="F97" s="30" t="s">
        <v>113</v>
      </c>
      <c r="G97" s="32" t="n">
        <f aca="false">G90-G95</f>
        <v>12301.926698559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1227.77083098699</v>
      </c>
      <c r="C98" s="31"/>
      <c r="D98" s="31"/>
      <c r="E98" s="22"/>
      <c r="F98" s="30" t="s">
        <v>114</v>
      </c>
      <c r="G98" s="32" t="n">
        <f aca="false">(G97/G96)</f>
        <v>1155.03079834528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13505.4791408569</v>
      </c>
      <c r="C99" s="31"/>
      <c r="D99" s="31"/>
      <c r="E99" s="22"/>
      <c r="F99" s="30" t="s">
        <v>115</v>
      </c>
      <c r="G99" s="32" t="n">
        <f aca="false">((G98*(G94))+G86)</f>
        <v>12705.338781798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13505.4791408569</v>
      </c>
      <c r="C101" s="31"/>
      <c r="D101" s="31"/>
      <c r="E101" s="22"/>
      <c r="F101" s="55" t="s">
        <v>117</v>
      </c>
      <c r="G101" s="64" t="n">
        <f aca="false">(G99+G100)</f>
        <v>12705.338781798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1227.77083098699</v>
      </c>
      <c r="C104" s="31"/>
      <c r="D104" s="31"/>
      <c r="E104" s="22"/>
      <c r="F104" s="94" t="s">
        <v>119</v>
      </c>
      <c r="G104" s="95" t="n">
        <f aca="false">G101/(G94)</f>
        <v>1155.03079834528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1227.77083098699</v>
      </c>
      <c r="C105" s="31"/>
      <c r="D105" s="31"/>
      <c r="E105" s="22" t="s">
        <v>18</v>
      </c>
      <c r="F105" s="96" t="s">
        <v>120</v>
      </c>
      <c r="G105" s="97" t="n">
        <f aca="false">G103+G104</f>
        <v>1155.03079834528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20049.996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20049.996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20049.996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20049.996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20049.996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16708.33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3341.666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20049.996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20049.996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2041.67</v>
      </c>
      <c r="I157" s="1" t="n">
        <f aca="false">(H157-G90)/1.2</f>
        <v>-14173.605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1227.77083098699</v>
      </c>
      <c r="B176" s="176" t="n">
        <f aca="false">B103</f>
        <v>0</v>
      </c>
      <c r="C176" s="173"/>
      <c r="D176" s="173"/>
      <c r="E176" s="176" t="n">
        <f aca="false">B105</f>
        <v>1227.77083098699</v>
      </c>
      <c r="F176" s="22"/>
      <c r="G176" s="22" t="n">
        <f aca="false">ROUND(G104,2)</f>
        <v>1155.03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7.35" hidden="false" customHeight="false" outlineLevel="0" collapsed="false">
      <c r="A182" s="184" t="n">
        <f aca="false">H150-H146-H148-H149-H151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-1794.52085914311</v>
      </c>
      <c r="B191" s="102" t="str">
        <f aca="false">B123</f>
        <v>199.99</v>
      </c>
      <c r="C191" s="102"/>
      <c r="D191" s="22"/>
      <c r="E191" s="102" t="n">
        <f aca="false">E188+A191+(B191*1.2)+A194</f>
        <v>20955.4671408569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2041.67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1227.77083098699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-2594.67</v>
      </c>
      <c r="B210" s="185" t="n">
        <f aca="false">E188+A210+(B191*1.2)+A194</f>
        <v>20155.318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1227.77083098699</v>
      </c>
      <c r="B221" s="176" t="n">
        <f aca="false">B176</f>
        <v>0</v>
      </c>
      <c r="C221" s="173"/>
      <c r="D221" s="173"/>
      <c r="E221" s="176" t="n">
        <f aca="false">E176</f>
        <v>1227.77083098699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-1794.52085914311</v>
      </c>
      <c r="B233" s="102" t="str">
        <f aca="false">B191</f>
        <v>199.99</v>
      </c>
      <c r="C233" s="102"/>
      <c r="D233" s="112"/>
      <c r="E233" s="102" t="n">
        <f aca="false">E191</f>
        <v>20955.4671408569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1227.77083098699</v>
      </c>
      <c r="B239" s="102" t="n">
        <f aca="false">B176</f>
        <v>0</v>
      </c>
      <c r="C239" s="185"/>
      <c r="D239" s="185"/>
      <c r="E239" s="102" t="n">
        <f aca="false">E176</f>
        <v>1227.77083098699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2041.67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2235.41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810.149140856891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797.639140856891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13505.4791408569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797.639140856891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1006.90347118285</v>
      </c>
      <c r="B182" s="102" t="str">
        <f aca="false">B114</f>
        <v>239.99</v>
      </c>
      <c r="C182" s="102"/>
      <c r="D182" s="22"/>
      <c r="E182" s="102" t="n">
        <f aca="false">E179+A182+B182+A185</f>
        <v>24756.8894711828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1006.90347118285</v>
      </c>
      <c r="B224" s="102" t="str">
        <f aca="false">B182</f>
        <v>239.99</v>
      </c>
      <c r="C224" s="102"/>
      <c r="D224" s="112"/>
      <c r="E224" s="102" t="n">
        <f aca="false">E182</f>
        <v>24756.8894711828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1948.25947118285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-1373.57209293291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-1373.57209293291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842.693136637779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825.184823304446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825.184823304446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842.693136637779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825.183156637779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825.183156637779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4" activeCellId="0" sqref="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45395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45395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B147" activeCellId="0" sqref="B14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3759.52280528496</v>
      </c>
      <c r="B182" s="102" t="str">
        <f aca="false">B114</f>
        <v>239.99</v>
      </c>
      <c r="C182" s="102"/>
      <c r="D182" s="22"/>
      <c r="E182" s="102" t="n">
        <f aca="false">E179+A182+B182+A185</f>
        <v>25609.512805285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3759.52280528496</v>
      </c>
      <c r="B224" s="102" t="str">
        <f aca="false">B182</f>
        <v>239.99</v>
      </c>
      <c r="C224" s="102"/>
      <c r="D224" s="112"/>
      <c r="E224" s="102" t="n">
        <f aca="false">E182</f>
        <v>25609.512805285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2422.12280528496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2633.41447195163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2633.41447195163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0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5965.5652068036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5965.5652068036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2513.6112068036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7.35" hidden="false" customHeight="false" outlineLevel="0" collapsed="false">
      <c r="A182" s="184" t="n">
        <f aca="false">H150-H146-H148-H149-H151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-1468.80067122676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-1468.80067122676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823.443328773243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984.68497543991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823.443328773243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984.68497543991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7.35" hidden="false" customHeight="false" outlineLevel="0" collapsed="false">
      <c r="A182" s="184" t="n">
        <f aca="false">H150-H146-H148-H149-H151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-1468.80067122676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-1468.80067122676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823.443328773243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823.443328773243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-1468.80067122676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804.683308773243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804.683308773243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-1468.80067122676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804.684975439909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804.684975439909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-1468.80067122676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804.683308773243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804.683308773243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45395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45395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0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6892.51233982863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6892.51233982863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2894.66633982863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4986.9491356865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4986.9491356865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1879.1891356865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5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85" zoomScaleNormal="85" zoomScalePageLayoutView="100" workbookViewId="0">
      <selection pane="topLeft" activeCell="B184" activeCellId="0" sqref="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9" activeCellId="0" sqref="A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10780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299.444444444444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440.256818807575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15849.2454770727</v>
      </c>
      <c r="C85" s="469"/>
      <c r="D85" s="469"/>
      <c r="E85" s="462" t="n">
        <f aca="false">B85/(B58+B57)</f>
        <v>440.256818807575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134.261458256767</v>
      </c>
      <c r="C86" s="469" t="s">
        <v>231</v>
      </c>
      <c r="D86" s="214"/>
      <c r="E86" s="462" t="n">
        <f aca="false">B86/(B58+B57)</f>
        <v>3.72948495157687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15983.5069353295</v>
      </c>
      <c r="C87" s="469"/>
      <c r="D87" s="471"/>
      <c r="E87" s="462" t="n">
        <f aca="false">E86+E85</f>
        <v>443.986303759152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443.986303759152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508.986303759152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443.986303759152</v>
      </c>
      <c r="B128" s="320" t="n">
        <f aca="false">IF(A105="YES",B89,0)</f>
        <v>65</v>
      </c>
      <c r="C128" s="324"/>
      <c r="D128" s="320" t="n">
        <f aca="false">B91</f>
        <v>508.986303759152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443.986303759152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508.986303759152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443.986303759152</v>
      </c>
      <c r="B137" s="37" t="n">
        <f aca="false">IF(A105="YES",B89,0)</f>
        <v>65</v>
      </c>
      <c r="C137" s="316"/>
      <c r="D137" s="37" t="n">
        <f aca="false">B91</f>
        <v>508.986303759152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508.986303759152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443.986303759152</v>
      </c>
      <c r="B177" s="354" t="n">
        <f aca="false">IF(A105="YES",B89,0)</f>
        <v>65</v>
      </c>
      <c r="C177" s="356"/>
      <c r="D177" s="354" t="n">
        <f aca="false">B91</f>
        <v>508.986303759152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443.986303759152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508.986303759152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443.986303759152</v>
      </c>
      <c r="B186" s="102" t="n">
        <f aca="false">IF(A105="YES",B89,0)</f>
        <v>65</v>
      </c>
      <c r="C186" s="352"/>
      <c r="D186" s="102" t="n">
        <f aca="false">B91</f>
        <v>508.986303759152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639.99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10207.99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10207.99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134.261458256767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16745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45395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45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345.333333333333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0</v>
      </c>
      <c r="C83" s="316"/>
      <c r="D83" s="31" t="n">
        <f aca="false">B83</f>
        <v>0</v>
      </c>
      <c r="E83" s="317" t="n">
        <f aca="false">D83/12</f>
        <v>0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0</v>
      </c>
      <c r="C84" s="316"/>
      <c r="D84" s="31" t="n">
        <f aca="false">B84</f>
        <v>0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2124.96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177.08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6802.752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48.0226542960871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6850.77465429609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60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570.897887858007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570.897887858007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570.897887858007</v>
      </c>
      <c r="B134" s="320" t="n">
        <f aca="false">IF(A111="YES",B95,0)</f>
        <v>0</v>
      </c>
      <c r="C134" s="324"/>
      <c r="D134" s="320" t="n">
        <f aca="false">B97</f>
        <v>570.897887858007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570.897887858007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570.897887858007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570.897887858007</v>
      </c>
      <c r="B143" s="37" t="n">
        <f aca="false">IF(A111="YES",B95,0)</f>
        <v>0</v>
      </c>
      <c r="C143" s="316"/>
      <c r="D143" s="37" t="n">
        <f aca="false">B97</f>
        <v>570.897887858007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309.271666666667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570.897887858007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570.897887858007</v>
      </c>
      <c r="B177" s="354" t="n">
        <f aca="false">IF(A111="YES",B95,0)</f>
        <v>0</v>
      </c>
      <c r="C177" s="356"/>
      <c r="D177" s="354" t="n">
        <f aca="false">A177+B177</f>
        <v>570.897887858007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570.897887858007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570.897887858007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570.897887858007</v>
      </c>
      <c r="B186" s="102" t="n">
        <f aca="false">IF(A111="YES",B95,0)</f>
        <v>0</v>
      </c>
      <c r="C186" s="352"/>
      <c r="D186" s="102" t="n">
        <f aca="false">B97</f>
        <v>570.897887858007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309.271666666667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1464.96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99.9916666666667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48.0226542960871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7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16745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45395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45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0</v>
      </c>
      <c r="C83" s="316"/>
      <c r="D83" s="31" t="n">
        <f aca="false">B83</f>
        <v>0</v>
      </c>
      <c r="E83" s="317" t="n">
        <f aca="false">D83/12</f>
        <v>0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0</v>
      </c>
      <c r="C84" s="316"/>
      <c r="D84" s="31" t="n">
        <f aca="false">B84</f>
        <v>0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2124.96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177.08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5668.96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48.0226542960871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5716.98265429609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50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476.415221191341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476.415221191341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476.415221191341</v>
      </c>
      <c r="B134" s="320" t="n">
        <f aca="false">IF(A111="YES",B95,0)</f>
        <v>0</v>
      </c>
      <c r="C134" s="325"/>
      <c r="D134" s="320" t="n">
        <f aca="false">B97</f>
        <v>476.415221191341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476.415221191341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476.415221191341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476.415221191341</v>
      </c>
      <c r="B143" s="37" t="n">
        <f aca="false">IF(A111="YES",B95,0)</f>
        <v>0</v>
      </c>
      <c r="C143" s="316"/>
      <c r="D143" s="37" t="n">
        <f aca="false">B97</f>
        <v>476.415221191341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309.27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476.415221191341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476.415221191341</v>
      </c>
      <c r="B177" s="354" t="n">
        <f aca="false">IF(A111="YES",B95,0)</f>
        <v>0</v>
      </c>
      <c r="C177" s="357"/>
      <c r="D177" s="354" t="n">
        <f aca="false">B91</f>
        <v>5668.96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476.415221191341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476.415221191341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476.415221191341</v>
      </c>
      <c r="B186" s="102" t="n">
        <f aca="false">IF(A111="YES",B95,0)</f>
        <v>0</v>
      </c>
      <c r="C186" s="352"/>
      <c r="D186" s="102" t="n">
        <f aca="false">B97</f>
        <v>476.415221191341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309.27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1464.96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48.0226542960871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45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424.606060606061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425.575757575758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425.575757575758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425.575757575758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425.575757575758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425.575757575758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546.961609847631</v>
      </c>
      <c r="C105" s="31"/>
      <c r="D105" s="31"/>
      <c r="E105" s="22" t="s">
        <v>18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0</v>
      </c>
      <c r="C176" s="173"/>
      <c r="D176" s="173"/>
      <c r="E176" s="176" t="n">
        <f aca="false">B105</f>
        <v>546.961609847631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7.35" hidden="false" customHeight="false" outlineLevel="0" collapsed="false">
      <c r="A182" s="184" t="n">
        <f aca="false">H150-H146-H148-H149-H151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199.99</v>
      </c>
      <c r="C191" s="102"/>
      <c r="D191" s="22"/>
      <c r="E191" s="102" t="n">
        <f aca="false">E188+A191+(B191*1.2)+A194</f>
        <v>24952.7595151242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4.1856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266.14625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546.961609847631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1484.32</v>
      </c>
      <c r="B210" s="185" t="n">
        <f aca="false">ROUND((E188+A210+(B191*1.2)+A194),2)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0</v>
      </c>
      <c r="C221" s="173"/>
      <c r="D221" s="173"/>
      <c r="E221" s="176" t="n">
        <f aca="false">E176</f>
        <v>546.961609847631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199.99</v>
      </c>
      <c r="C233" s="102"/>
      <c r="D233" s="112"/>
      <c r="E233" s="102" t="n">
        <f aca="false">E191</f>
        <v>24952.7595151242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0</v>
      </c>
      <c r="C239" s="185"/>
      <c r="D239" s="185"/>
      <c r="E239" s="102" t="n">
        <f aca="false">E176</f>
        <v>546.961609847631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12.5568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4.1856</v>
      </c>
      <c r="B245" s="102" t="n">
        <f aca="false">E242+A245</f>
        <v>16.7424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266.14625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1960.44951512419</v>
      </c>
      <c r="C263" s="196"/>
      <c r="D263" s="197" t="s">
        <v>217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1861.05201512419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1960.44951512419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1861.05201512419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45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474.606060606061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475.575757575758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475.575757575758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475.575757575758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475.575757575758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475.575757575758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80.4375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627.399109847631</v>
      </c>
      <c r="C105" s="31"/>
      <c r="D105" s="31"/>
      <c r="E105" s="22" t="s">
        <v>19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80.4375</v>
      </c>
      <c r="C176" s="173"/>
      <c r="D176" s="173"/>
      <c r="E176" s="176" t="n">
        <f aca="false">B105</f>
        <v>627.399109847631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7.35" hidden="false" customHeight="false" outlineLevel="0" collapsed="false">
      <c r="A182" s="184" t="n">
        <f aca="false">H150-H146-H148-H149-H151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239.99</v>
      </c>
      <c r="C191" s="102"/>
      <c r="D191" s="22"/>
      <c r="E191" s="102" t="n">
        <f aca="false">E188+A191+B191+A194</f>
        <v>24952.7615151242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5.02272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315.647916666667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627.399109847631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1484.32</v>
      </c>
      <c r="B210" s="185" t="n">
        <f aca="false">E188+A210+B191+A194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80.4375</v>
      </c>
      <c r="C221" s="173"/>
      <c r="D221" s="173"/>
      <c r="E221" s="176" t="n">
        <f aca="false">E176</f>
        <v>627.399109847631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239.99</v>
      </c>
      <c r="C233" s="102"/>
      <c r="D233" s="112"/>
      <c r="E233" s="102" t="n">
        <f aca="false">E191</f>
        <v>24952.7615151242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80.4375</v>
      </c>
      <c r="C239" s="185"/>
      <c r="D239" s="185"/>
      <c r="E239" s="102" t="n">
        <f aca="false">E176</f>
        <v>627.399109847631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15.06816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5.02272</v>
      </c>
      <c r="B245" s="102" t="n">
        <f aca="false">E242+A245</f>
        <v>20.09088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315.647916666667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1960.45151512419</v>
      </c>
      <c r="C263" s="196"/>
      <c r="D263" s="197" t="s">
        <v>217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594.991666666667</v>
      </c>
      <c r="C264" s="196"/>
      <c r="D264" s="197" t="s">
        <v>219</v>
      </c>
      <c r="E264" s="197"/>
      <c r="F264" s="199" t="n">
        <f aca="false">(B263-F263)+B264</f>
        <v>2356.05568179086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1960.45151512419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2356.05568179086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466.734442264365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17024.6621437394</v>
      </c>
      <c r="C85" s="469"/>
      <c r="D85" s="469"/>
      <c r="E85" s="462" t="n">
        <f aca="false">B85/(B58+B57)</f>
        <v>472.907281770538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144.218598232564</v>
      </c>
      <c r="C86" s="469" t="s">
        <v>231</v>
      </c>
      <c r="D86" s="214"/>
      <c r="E86" s="462" t="n">
        <f aca="false">B86/(B58+B57)</f>
        <v>4.00607217312678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17168.8807419719</v>
      </c>
      <c r="C87" s="469"/>
      <c r="D87" s="471"/>
      <c r="E87" s="462" t="n">
        <f aca="false">E86+E85</f>
        <v>476.913353943664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476.913353943665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541.913353943664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476.913353943665</v>
      </c>
      <c r="B128" s="320" t="n">
        <f aca="false">IF(A105="YES",B89,0)</f>
        <v>65</v>
      </c>
      <c r="C128" s="324"/>
      <c r="D128" s="320" t="n">
        <f aca="false">B91</f>
        <v>541.913353943664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476.913353943665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541.913353943664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476.913353943665</v>
      </c>
      <c r="B137" s="37" t="n">
        <f aca="false">IF(A105="YES",B89,0)</f>
        <v>65</v>
      </c>
      <c r="C137" s="316"/>
      <c r="D137" s="37" t="n">
        <f aca="false">B91</f>
        <v>541.913353943664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541.913353943664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476.913353943665</v>
      </c>
      <c r="B177" s="354" t="n">
        <f aca="false">IF(A105="YES",B89,0)</f>
        <v>65</v>
      </c>
      <c r="C177" s="356"/>
      <c r="D177" s="354" t="n">
        <f aca="false">B91</f>
        <v>541.913353943664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476.913353943665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541.913353943664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476.913353943665</v>
      </c>
      <c r="B186" s="102" t="n">
        <f aca="false">IF(A105="YES",B89,0)</f>
        <v>65</v>
      </c>
      <c r="C186" s="352"/>
      <c r="D186" s="102" t="n">
        <f aca="false">B91</f>
        <v>541.913353943664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10447.99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10447.99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144.218598232564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382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17862.0274483356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15317.6147049928</v>
      </c>
      <c r="C88" s="92" t="n">
        <f aca="false">B81-B86</f>
        <v>15317.6147049928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574.123016851398</v>
      </c>
      <c r="C89" s="92" t="n">
        <f aca="false">(B88/B87)</f>
        <v>574.123016851398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18371.9365392447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18371.9365392447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14.175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574.123016851398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588.298016851398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574.123016851398</v>
      </c>
      <c r="B167" s="176" t="n">
        <f aca="false">B94</f>
        <v>14.175</v>
      </c>
      <c r="C167" s="173"/>
      <c r="D167" s="173"/>
      <c r="E167" s="176" t="n">
        <f aca="false">B96</f>
        <v>588.298016851398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4303.93653924474</v>
      </c>
      <c r="B182" s="102" t="str">
        <f aca="false">B114</f>
        <v>239.99</v>
      </c>
      <c r="C182" s="102"/>
      <c r="D182" s="22"/>
      <c r="E182" s="102" t="n">
        <f aca="false">E179+A182+B182+A185</f>
        <v>25821.9265392447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6.3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272.447916666667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588.298016851398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574.123016851398</v>
      </c>
      <c r="B212" s="176" t="n">
        <f aca="false">B167</f>
        <v>14.175</v>
      </c>
      <c r="C212" s="173"/>
      <c r="D212" s="173"/>
      <c r="E212" s="176" t="n">
        <f aca="false">E167</f>
        <v>588.298016851398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4303.93653924474</v>
      </c>
      <c r="B224" s="102" t="str">
        <f aca="false">B182</f>
        <v>239.99</v>
      </c>
      <c r="C224" s="102"/>
      <c r="D224" s="112"/>
      <c r="E224" s="102" t="n">
        <f aca="false">E182</f>
        <v>25821.9265392447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574.123016851398</v>
      </c>
      <c r="B230" s="102" t="n">
        <f aca="false">B167</f>
        <v>14.175</v>
      </c>
      <c r="C230" s="185"/>
      <c r="D230" s="185"/>
      <c r="E230" s="102" t="n">
        <f aca="false">E167</f>
        <v>588.298016851398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6.3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272.447916666667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2829.61653924474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162.991666666667</v>
      </c>
      <c r="C255" s="196"/>
      <c r="D255" s="197" t="s">
        <v>219</v>
      </c>
      <c r="E255" s="197"/>
      <c r="F255" s="199" t="n">
        <f aca="false">(B254-F254)+B255</f>
        <v>2793.2207059114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2829.61653924474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2793.2207059114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17002.4078787606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546.961609847631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546.961609847631</v>
      </c>
      <c r="B167" s="176" t="str">
        <f aca="false">B94</f>
        <v>0</v>
      </c>
      <c r="C167" s="173"/>
      <c r="D167" s="173"/>
      <c r="E167" s="176" t="n">
        <f aca="false">B96</f>
        <v>546.961609847631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199.99</v>
      </c>
      <c r="C182" s="102"/>
      <c r="D182" s="22"/>
      <c r="E182" s="102" t="n">
        <f aca="false">E179+A182+(B182*1.2)+A185</f>
        <v>24952.7595151242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4.1856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266.14625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546.961609847631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E179+A201+(B182*1.2)+A185</f>
        <v>23002.308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str">
        <f aca="false">B167</f>
        <v>0</v>
      </c>
      <c r="C212" s="173"/>
      <c r="D212" s="173"/>
      <c r="E212" s="176" t="n">
        <f aca="false">E167</f>
        <v>546.961609847631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199.99</v>
      </c>
      <c r="C224" s="102"/>
      <c r="D224" s="112"/>
      <c r="E224" s="102" t="n">
        <f aca="false">E182</f>
        <v>24952.7595151242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str">
        <f aca="false">B167</f>
        <v>0</v>
      </c>
      <c r="C230" s="185"/>
      <c r="D230" s="185"/>
      <c r="E230" s="102" t="n">
        <f aca="false">E167</f>
        <v>546.961609847631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266.14625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1960.45151512419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1861.05401512419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1861.05401512419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382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16992.8624242151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15.35625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562.317859847631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546.961609847631</v>
      </c>
      <c r="B167" s="176" t="n">
        <f aca="false">B94</f>
        <v>15.35625</v>
      </c>
      <c r="C167" s="173"/>
      <c r="D167" s="173"/>
      <c r="E167" s="176" t="n">
        <f aca="false">B96</f>
        <v>562.317859847631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239.99</v>
      </c>
      <c r="C182" s="102"/>
      <c r="D182" s="22"/>
      <c r="E182" s="102" t="n">
        <f aca="false">E179+A182+B182+A185</f>
        <v>24952.7615151242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9.45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275.597916666667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562.317859847631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n">
        <f aca="false">B167</f>
        <v>15.35625</v>
      </c>
      <c r="C212" s="173"/>
      <c r="D212" s="173"/>
      <c r="E212" s="176" t="n">
        <f aca="false">E167</f>
        <v>562.317859847631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239.99</v>
      </c>
      <c r="C224" s="102"/>
      <c r="D224" s="112"/>
      <c r="E224" s="102" t="n">
        <f aca="false">E182</f>
        <v>24952.7615151242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n">
        <f aca="false">B167</f>
        <v>15.35625</v>
      </c>
      <c r="C230" s="185"/>
      <c r="D230" s="185"/>
      <c r="E230" s="102" t="n">
        <f aca="false">E167</f>
        <v>562.317859847631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E188</f>
        <v>9.45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275.597916666667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1960.45151512419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194.491666666667</v>
      </c>
      <c r="C255" s="196"/>
      <c r="D255" s="197" t="s">
        <v>219</v>
      </c>
      <c r="E255" s="197"/>
      <c r="F255" s="199" t="n">
        <f aca="false">(B254-F254)+B255</f>
        <v>1955.55568179086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94.5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1955.55568179086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3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10564.352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10638.9289100444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886.577409170364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886.577409170364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IF(A111="YES",B95,0)</f>
        <v>0</v>
      </c>
      <c r="C134" s="325"/>
      <c r="D134" s="320" t="n">
        <f aca="false">B97</f>
        <v>886.577409170364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886.577409170364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886.577409170364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886.577409170364</v>
      </c>
      <c r="B143" s="37" t="n">
        <f aca="false">IF(A111="YES",B95,0)</f>
        <v>0</v>
      </c>
      <c r="C143" s="316"/>
      <c r="D143" s="37" t="n">
        <f aca="false">B97</f>
        <v>886.577409170364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886.577409170364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IF(A111="YES",B95,0)</f>
        <v>0</v>
      </c>
      <c r="C177" s="357"/>
      <c r="D177" s="354" t="n">
        <f aca="false">B91</f>
        <v>10564.352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886.577409170364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886.577409170364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886.577409170364</v>
      </c>
      <c r="B186" s="102" t="n">
        <f aca="false">IF(A111="YES",B95,0)</f>
        <v>0</v>
      </c>
      <c r="C186" s="352"/>
      <c r="D186" s="102" t="n">
        <f aca="false">B97</f>
        <v>886.577409170364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58535</v>
      </c>
      <c r="F15" s="62"/>
      <c r="G15" s="273" t="n">
        <f aca="false">E15</f>
        <v>58535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n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384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8.19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C70</f>
        <v>10000</v>
      </c>
      <c r="C70" s="214" t="n">
        <v>10000</v>
      </c>
      <c r="D70" s="290" t="n">
        <f aca="false">B70-A149</f>
        <v>10000</v>
      </c>
      <c r="E70" s="215" t="n">
        <f aca="false">D70/12</f>
        <v>833.333333333333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11370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947.5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17382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147.245663574022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17529.245663574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10.7214545454545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1553.56778759764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1564.28924214309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263</v>
      </c>
      <c r="C105" s="311"/>
      <c r="D105" s="418" t="n">
        <v>6300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384</v>
      </c>
      <c r="B111" s="311" t="n">
        <v>20</v>
      </c>
      <c r="C111" s="311"/>
      <c r="D111" s="106" t="n">
        <v>440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6300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2539.988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1553.56778759764</v>
      </c>
      <c r="B134" s="320" t="n">
        <f aca="false">IF(A111="YES",B95,0)</f>
        <v>10.7214545454545</v>
      </c>
      <c r="C134" s="325"/>
      <c r="D134" s="320" t="n">
        <f aca="false">B97</f>
        <v>1564.28924214309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Spread rentals initial payment</v>
      </c>
      <c r="B137" s="37" t="n">
        <f aca="false">B96*B63</f>
        <v>1553.56778759764</v>
      </c>
      <c r="C137" s="316"/>
      <c r="D137" s="37" t="n">
        <f aca="false">IF(A111="YES",B95*B63,0)</f>
        <v>10.7214545454545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1564.28924214309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0.35121</v>
      </c>
      <c r="H142" s="102" t="n">
        <f aca="false">IF(G111="YES",E15*0.000002,0)</f>
        <v>0.11707</v>
      </c>
      <c r="I142" s="102"/>
      <c r="J142" s="102" t="n">
        <f aca="false">G142+H142</f>
        <v>0.46828</v>
      </c>
      <c r="K142" s="104"/>
      <c r="L142" s="62"/>
      <c r="M142" s="110" t="n">
        <f aca="false">E15*0.000006</f>
        <v>0.35121</v>
      </c>
      <c r="N142" s="102" t="n">
        <f aca="false">IF(M111="YES",E15*0.000002,0)</f>
        <v>0.11707</v>
      </c>
      <c r="O142" s="102"/>
      <c r="P142" s="102" t="n">
        <f aca="false">M142+N142</f>
        <v>0.46828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1553.56778759764</v>
      </c>
      <c r="B143" s="37" t="n">
        <f aca="false">IF(A111="YES",B95,0)</f>
        <v>10.7214545454545</v>
      </c>
      <c r="C143" s="316"/>
      <c r="D143" s="37" t="n">
        <f aca="false">B97</f>
        <v>1564.28924214309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34.731</v>
      </c>
      <c r="B146" s="342" t="n">
        <f aca="false">G18*0.000002*100</f>
        <v>11.577</v>
      </c>
      <c r="C146" s="316"/>
      <c r="D146" s="342" t="n">
        <f aca="false">A146+B146</f>
        <v>46.308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1463.1411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1423.1431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578.85</v>
      </c>
      <c r="B154" s="37" t="n">
        <f aca="false">B108</f>
        <v>400</v>
      </c>
      <c r="C154" s="37"/>
      <c r="D154" s="37" t="n">
        <f aca="false">IF(A111="YES",(A41/100*B111)*B131,0)*0.1</f>
        <v>1.9656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1080.8056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1564.28924214309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1553.56778759764</v>
      </c>
      <c r="B177" s="354" t="n">
        <f aca="false">IF(A111="YES",B95,0)</f>
        <v>10.7214545454545</v>
      </c>
      <c r="C177" s="357"/>
      <c r="D177" s="354" t="n">
        <f aca="false">B91</f>
        <v>17382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Spread rentals initial payment</v>
      </c>
      <c r="B180" s="102" t="n">
        <f aca="false">B96*B63</f>
        <v>1553.56778759764</v>
      </c>
      <c r="C180" s="352"/>
      <c r="D180" s="102" t="n">
        <f aca="false">IF(A111="YES",B95*B63,0)</f>
        <v>10.7214545454545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1564.28924214309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1553.56778759764</v>
      </c>
      <c r="B186" s="102" t="n">
        <f aca="false">IF(A111="YES",B95,0)</f>
        <v>10.7214545454545</v>
      </c>
      <c r="C186" s="352"/>
      <c r="D186" s="102" t="n">
        <f aca="false">B97</f>
        <v>1564.28924214309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G18*0.000002*100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578.85</v>
      </c>
      <c r="B197" s="102" t="n">
        <f aca="false">B108</f>
        <v>400</v>
      </c>
      <c r="C197" s="102"/>
      <c r="D197" s="102" t="n">
        <f aca="false">IF(A111="YES",(A41/100*B111)*B131,0)*0.1</f>
        <v>1.9656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1080.8056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578.85</v>
      </c>
      <c r="C211" s="319" t="s">
        <v>218</v>
      </c>
      <c r="D211" s="369" t="n">
        <f aca="false">B225+E221+B221+B223</f>
        <v>359.646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9780.796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10000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578.85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9780.796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19.656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147.245663574022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0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2124.96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177.08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9764.352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68.9294715611134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9833.28147156111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819.440122630093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819.440122630093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819.440122630093</v>
      </c>
      <c r="B134" s="320" t="n">
        <f aca="false">IF(A111="YES",B95,0)</f>
        <v>0</v>
      </c>
      <c r="C134" s="325"/>
      <c r="D134" s="320" t="n">
        <f aca="false">B97</f>
        <v>819.440122630093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819.440122630093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819.440122630093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819.440122630093</v>
      </c>
      <c r="B143" s="37" t="n">
        <f aca="false">IF(A111="YES",B95,0)</f>
        <v>0</v>
      </c>
      <c r="C143" s="316"/>
      <c r="D143" s="37" t="n">
        <f aca="false">B97</f>
        <v>819.440122630093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819.440122630093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819.440122630093</v>
      </c>
      <c r="B177" s="354" t="n">
        <f aca="false">IF(A111="YES",B95,0)</f>
        <v>0</v>
      </c>
      <c r="C177" s="357"/>
      <c r="D177" s="354" t="n">
        <f aca="false">B97</f>
        <v>819.440122630093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819.440122630093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819.440122630093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819.440122630093</v>
      </c>
      <c r="B186" s="102" t="n">
        <f aca="false">IF(A111="YES",B95,0)</f>
        <v>0</v>
      </c>
      <c r="C186" s="352"/>
      <c r="D186" s="102" t="n">
        <f aca="false">B97</f>
        <v>819.440122630093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68.9294715611134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0" sqref="B19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2124.96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177.08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8136.96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68.9294715611134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8205.88947156111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50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683.824122630093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683.824122630093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IF(A111="YES",B95,0)</f>
        <v>0</v>
      </c>
      <c r="C134" s="325"/>
      <c r="D134" s="320" t="n">
        <f aca="false">B97</f>
        <v>683.824122630093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683.824122630093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683.824122630093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683.824122630093</v>
      </c>
      <c r="B143" s="37" t="n">
        <f aca="false">IF(A111="YES",B95,0)</f>
        <v>0</v>
      </c>
      <c r="C143" s="316"/>
      <c r="D143" s="37" t="n">
        <f aca="false">B97</f>
        <v>683.824122630093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309.27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683.824122630093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IF(A111="YES",B95,0)</f>
        <v>0</v>
      </c>
      <c r="C177" s="357"/>
      <c r="D177" s="354" t="n">
        <f aca="false">B91</f>
        <v>8136.96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683.824122630093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683.824122630093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683.824122630093</v>
      </c>
      <c r="B186" s="102" t="n">
        <f aca="false">IF(A111="YES",B95,0)</f>
        <v>0</v>
      </c>
      <c r="C186" s="352"/>
      <c r="D186" s="102" t="n">
        <f aca="false">B97</f>
        <v>683.824122630093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B154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309.27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68.9294715611134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550</v>
      </c>
      <c r="I10" s="2"/>
      <c r="J10" s="2"/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58535</v>
      </c>
      <c r="I15" s="2"/>
      <c r="J15" s="16" t="n">
        <f aca="false">H15</f>
        <v>58535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58535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18.31</v>
      </c>
      <c r="E32" s="225"/>
      <c r="F32" s="62"/>
      <c r="G32" s="226" t="s">
        <v>243</v>
      </c>
      <c r="H32" s="224" t="n">
        <f aca="false">A41</f>
        <v>18.31</v>
      </c>
      <c r="J32" s="43" t="s">
        <v>37</v>
      </c>
      <c r="K32" s="262" t="s">
        <v>385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518.31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0.07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604.23</v>
      </c>
      <c r="J36" s="43" t="s">
        <v>51</v>
      </c>
      <c r="K36" s="51" t="n">
        <f aca="false">K32-K34</f>
        <v>57535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384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18.31</v>
      </c>
      <c r="B41" s="240" t="n">
        <f aca="false">IF(B38="YES",D38+A41,D38)</f>
        <v>518.31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18.31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518.673636363636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518.673636363636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0.07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61926.7185608448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464.390625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57535</v>
      </c>
      <c r="C81" s="92"/>
      <c r="D81" s="92"/>
      <c r="E81" s="112"/>
      <c r="F81" s="24" t="s">
        <v>106</v>
      </c>
      <c r="G81" s="26" t="n">
        <f aca="false">B81</f>
        <v>57535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4320.61844715549</v>
      </c>
      <c r="C86" s="92" t="n">
        <f aca="false">(B82/((1+B84)^(B85+1)))</f>
        <v>4320.61844715549</v>
      </c>
      <c r="D86" s="92"/>
      <c r="E86" s="112"/>
      <c r="F86" s="30" t="s">
        <v>111</v>
      </c>
      <c r="G86" s="32" t="n">
        <f aca="false">(G82/((1+G84)^(G85+1)))</f>
        <v>5942.56174386013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27.2695894728826</v>
      </c>
      <c r="C87" s="92" t="n">
        <f aca="false">((1-(1/((1+B84)^B85)))/B84)</f>
        <v>27.2695894728826</v>
      </c>
      <c r="D87" s="92"/>
      <c r="E87" s="112"/>
      <c r="F87" s="30" t="s">
        <v>112</v>
      </c>
      <c r="G87" s="32" t="n">
        <f aca="false">((1-(1/((1+G84)^G85)))/G84)</f>
        <v>29.11365030081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53214.3815528445</v>
      </c>
      <c r="C88" s="92" t="n">
        <f aca="false">B81-B86</f>
        <v>53214.3815528445</v>
      </c>
      <c r="D88" s="92"/>
      <c r="E88" s="112"/>
      <c r="F88" s="30" t="s">
        <v>113</v>
      </c>
      <c r="G88" s="32" t="n">
        <f aca="false">G81-G86</f>
        <v>51592.4382561399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1951.41850616276</v>
      </c>
      <c r="C89" s="92" t="n">
        <f aca="false">(B88/B87)</f>
        <v>1951.41850616276</v>
      </c>
      <c r="D89" s="92"/>
      <c r="E89" s="112"/>
      <c r="F89" s="30" t="s">
        <v>114</v>
      </c>
      <c r="G89" s="32" t="n">
        <f aca="false">(G88/G87)</f>
        <v>1772.10475921339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62445.3921972085</v>
      </c>
      <c r="C90" s="92"/>
      <c r="D90" s="92"/>
      <c r="E90" s="112"/>
      <c r="F90" s="30" t="s">
        <v>115</v>
      </c>
      <c r="G90" s="32" t="n">
        <f aca="false">((G89*(G85))+G77)</f>
        <v>56707.3522948286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62445.3921972085</v>
      </c>
      <c r="C92" s="92"/>
      <c r="D92" s="92"/>
      <c r="E92" s="112"/>
      <c r="F92" s="55" t="s">
        <v>117</v>
      </c>
      <c r="G92" s="64" t="n">
        <f aca="false">(G90+G91)</f>
        <v>56707.3522948286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22.658625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1951.41850616276</v>
      </c>
      <c r="C95" s="92"/>
      <c r="D95" s="92"/>
      <c r="E95" s="112"/>
      <c r="F95" s="94" t="s">
        <v>119</v>
      </c>
      <c r="G95" s="95" t="n">
        <f aca="false">G92/(G85)</f>
        <v>1772.10475921339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1974.07713116276</v>
      </c>
      <c r="C96" s="92"/>
      <c r="D96" s="92"/>
      <c r="E96" s="112"/>
      <c r="F96" s="96" t="s">
        <v>120</v>
      </c>
      <c r="G96" s="97" t="n">
        <f aca="false">G94+G95</f>
        <v>1772.10475921339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384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0.12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5000</v>
      </c>
      <c r="C111" s="106"/>
      <c r="D111" s="106"/>
      <c r="E111" s="106" t="n">
        <v>4000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9000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46854.17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47687.5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9647.5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58535</v>
      </c>
      <c r="H141" s="156" t="n">
        <f aca="false">(H135+H136+H139+H140+H137)-H138</f>
        <v>58535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58535</v>
      </c>
      <c r="H147" s="163" t="n">
        <f aca="false">H141-((H144*1.2)+(H145*1.2)+(H146*1.2)+(H142*1.2))</f>
        <v>58535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-47945.8333333333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9000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49535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1951.41850616276</v>
      </c>
      <c r="B167" s="176" t="n">
        <f aca="false">B94</f>
        <v>22.658625</v>
      </c>
      <c r="C167" s="173"/>
      <c r="D167" s="173"/>
      <c r="E167" s="176" t="n">
        <f aca="false">B96</f>
        <v>1974.07713116276</v>
      </c>
      <c r="F167" s="22"/>
      <c r="G167" s="22" t="n">
        <f aca="false">ROUND(G95,2)</f>
        <v>1772.1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7.35" hidden="false" customHeight="false" outlineLevel="0" collapsed="false">
      <c r="A173" s="184" t="n">
        <f aca="false">H141-H137-H139-H140-H142</f>
        <v>48237.5</v>
      </c>
      <c r="B173" s="102" t="n">
        <f aca="false">H137</f>
        <v>9647.5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58535</v>
      </c>
      <c r="B176" s="102" t="n">
        <f aca="false">B111</f>
        <v>5000</v>
      </c>
      <c r="C176" s="102"/>
      <c r="D176" s="22"/>
      <c r="E176" s="102" t="n">
        <f aca="false">E111</f>
        <v>4000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9000</v>
      </c>
      <c r="B179" s="102" t="n">
        <f aca="false">G154</f>
        <v>0</v>
      </c>
      <c r="C179" s="102"/>
      <c r="D179" s="22"/>
      <c r="E179" s="102" t="n">
        <f aca="false">A176-A179-B179</f>
        <v>49535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18910.3921972083</v>
      </c>
      <c r="B182" s="102" t="str">
        <f aca="false">B114</f>
        <v>199.99</v>
      </c>
      <c r="C182" s="102"/>
      <c r="D182" s="22"/>
      <c r="E182" s="102" t="n">
        <f aca="false">E179+A182+(B182*1.2)+A185</f>
        <v>68695.3801972083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9239.988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11.577</v>
      </c>
      <c r="B188" s="102" t="n">
        <f aca="false">(G158*B67)/1.2</f>
        <v>386.9921875</v>
      </c>
      <c r="C188" s="92"/>
      <c r="D188" s="92"/>
      <c r="E188" s="102" t="n">
        <f aca="false">IF(E105="YES",(H36*A108)*0.1,0)</f>
        <v>12.0846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499.0667875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1974.07713116276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13172.2</v>
      </c>
      <c r="B201" s="185" t="n">
        <f aca="false">E179+A201+(B182*1.2)+A185</f>
        <v>62957.188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1951.41850616276</v>
      </c>
      <c r="B212" s="176" t="n">
        <f aca="false">B167</f>
        <v>22.658625</v>
      </c>
      <c r="C212" s="173"/>
      <c r="D212" s="173"/>
      <c r="E212" s="176" t="n">
        <f aca="false">E167</f>
        <v>1974.07713116276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48237.5</v>
      </c>
      <c r="B215" s="102" t="n">
        <f aca="false">B173</f>
        <v>9647.5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58535</v>
      </c>
      <c r="B218" s="102" t="n">
        <f aca="false">B176</f>
        <v>5000</v>
      </c>
      <c r="C218" s="102"/>
      <c r="D218" s="112"/>
      <c r="E218" s="102" t="n">
        <f aca="false">E176</f>
        <v>4000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9000</v>
      </c>
      <c r="B221" s="102" t="n">
        <f aca="false">B179</f>
        <v>0</v>
      </c>
      <c r="C221" s="102"/>
      <c r="D221" s="112"/>
      <c r="E221" s="102" t="n">
        <f aca="false">E179</f>
        <v>49535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18910.3921972083</v>
      </c>
      <c r="B224" s="102" t="str">
        <f aca="false">B182</f>
        <v>199.99</v>
      </c>
      <c r="C224" s="102"/>
      <c r="D224" s="112"/>
      <c r="E224" s="102" t="n">
        <f aca="false">E182</f>
        <v>68695.3801972083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9239.988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1951.41850616276</v>
      </c>
      <c r="B230" s="102" t="n">
        <f aca="false">B167</f>
        <v>22.658625</v>
      </c>
      <c r="C230" s="185"/>
      <c r="D230" s="185"/>
      <c r="E230" s="102" t="n">
        <f aca="false">E167</f>
        <v>1974.07713116276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11.577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386.9921875</v>
      </c>
      <c r="C240" s="92"/>
      <c r="D240" s="92"/>
      <c r="E240" s="102" t="n">
        <f aca="false">IF(E105="YES",(H36*A108)*0.1,0)</f>
        <v>12.0846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499.0667875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5748.19219720831</v>
      </c>
      <c r="C254" s="196"/>
      <c r="D254" s="197" t="s">
        <v>217</v>
      </c>
      <c r="E254" s="197"/>
      <c r="F254" s="199" t="n">
        <f aca="false">F261+F267+F269+B270+B271</f>
        <v>464.390625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220.836</v>
      </c>
      <c r="C255" s="196"/>
      <c r="D255" s="197" t="s">
        <v>219</v>
      </c>
      <c r="E255" s="197"/>
      <c r="F255" s="199" t="n">
        <f aca="false">(B254-F254)+B255</f>
        <v>5504.63757220831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5748.19219720831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464.390625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120.846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5504.63757220831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27383.33</v>
      </c>
      <c r="C3" s="437" t="n">
        <v>0</v>
      </c>
      <c r="D3" s="437" t="n">
        <v>0</v>
      </c>
      <c r="E3" s="437"/>
      <c r="F3" s="437" t="n">
        <v>958.33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11</v>
      </c>
      <c r="C4" s="123" t="n">
        <v>0</v>
      </c>
      <c r="D4" s="123" t="n">
        <v>0</v>
      </c>
      <c r="E4" s="123"/>
      <c r="F4" s="123" t="n">
        <v>11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32</v>
      </c>
      <c r="C5" s="437" t="n">
        <v>0</v>
      </c>
      <c r="D5" s="437" t="n">
        <v>0</v>
      </c>
      <c r="E5" s="437"/>
      <c r="F5" s="437" t="n">
        <v>120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3044.1663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225.4163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24339.1637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732.9137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245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24339.1637</v>
      </c>
      <c r="F9" s="151"/>
      <c r="G9" s="135"/>
      <c r="H9" s="439" t="n">
        <f aca="false">B7+D7+F7+H3</f>
        <v>25072.0774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110</v>
      </c>
      <c r="I10" s="2"/>
      <c r="J10" s="2"/>
      <c r="K10" s="1" t="s">
        <v>19</v>
      </c>
      <c r="L10" s="15" t="s">
        <v>1</v>
      </c>
      <c r="M10" s="9" t="n">
        <f aca="false">H15-H11-M8</f>
        <v>25182.0774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5036.41548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180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30463.49288</v>
      </c>
      <c r="I15" s="2"/>
      <c r="J15" s="16" t="n">
        <f aca="false">H15</f>
        <v>30463.49288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24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34141.992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30434.69288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18075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409.339291631581</v>
      </c>
      <c r="F33" s="231"/>
      <c r="G33" s="231"/>
      <c r="H33" s="46"/>
      <c r="I33" s="2"/>
      <c r="J33" s="33" t="s">
        <v>356</v>
      </c>
      <c r="K33" s="47" t="n">
        <f aca="false">H21-H11+(H16*20%)</f>
        <v>25403.0774</v>
      </c>
      <c r="L33" s="1" t="n">
        <f aca="false">H21-H11+(H16*20%)</f>
        <v>25403.0774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409.339291631581</v>
      </c>
      <c r="B36" s="231" t="str">
        <f aca="false">IF(B26="YES",K42,"0.00")</f>
        <v>0.00</v>
      </c>
      <c r="C36" s="231"/>
      <c r="D36" s="231"/>
      <c r="E36" s="231" t="n">
        <f aca="false">K31</f>
        <v>18075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25403.0774</v>
      </c>
      <c r="L39" s="2" t="n">
        <f aca="false">(L47*K46)+K44</f>
        <v>38055.1965442236</v>
      </c>
      <c r="N39" s="1" t="n">
        <f aca="false">K39-L39</f>
        <v>-12652.1191442236</v>
      </c>
      <c r="P39" s="211"/>
    </row>
    <row r="40" customFormat="false" ht="19.5" hidden="false" customHeight="false" outlineLevel="0" collapsed="false">
      <c r="A40" s="106" t="n">
        <f aca="false">E36*A45/100</f>
        <v>18075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15062.5</v>
      </c>
      <c r="L40" s="2" t="n">
        <f aca="false">K39-L39</f>
        <v>-12652.1191442236</v>
      </c>
      <c r="N40" s="1" t="n">
        <f aca="false">N38-N39</f>
        <v>15563.7991442236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12146.0249829171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13257.0524170829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409.339291631581</v>
      </c>
      <c r="L47" s="2" t="n">
        <f aca="false">L49-K42</f>
        <v>800</v>
      </c>
      <c r="M47" s="1" t="n">
        <f aca="false">K47-L47</f>
        <v>-390.660708368419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409.339291631581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409.339291631581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34141.992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34141.992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34141.992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34141.992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10725.8170685944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18287.0010741799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-12183.636581559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-12183.636581559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283.561807333333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2560.6494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341.41992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143.39237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409.339291631581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409.339291631581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409.339291631581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409.339291631581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34027.41688</v>
      </c>
      <c r="C81" s="92"/>
      <c r="D81" s="92"/>
      <c r="E81" s="112"/>
      <c r="F81" s="24" t="s">
        <v>106</v>
      </c>
      <c r="G81" s="26" t="n">
        <f aca="false">G158</f>
        <v>34027.41688</v>
      </c>
      <c r="H81" s="32"/>
      <c r="J81" s="24" t="s">
        <v>106</v>
      </c>
      <c r="K81" s="26" t="n">
        <f aca="false">P158</f>
        <v>24049.244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14339.237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14339.237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18075</v>
      </c>
      <c r="C82" s="92"/>
      <c r="D82" s="92"/>
      <c r="E82" s="112"/>
      <c r="F82" s="30" t="s">
        <v>107</v>
      </c>
      <c r="G82" s="32" t="n">
        <f aca="false">IF(A111="YES",A40,0)</f>
        <v>18075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18075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18075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12633.0684645127</v>
      </c>
      <c r="C86" s="92"/>
      <c r="D86" s="92"/>
      <c r="E86" s="112"/>
      <c r="F86" s="30" t="s">
        <v>111</v>
      </c>
      <c r="G86" s="32" t="n">
        <f aca="false">(G82/((1+G84)^(G85+1)))</f>
        <v>14660.2521543809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12227.156345871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12227.156345871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21394.3484154873</v>
      </c>
      <c r="C88" s="92"/>
      <c r="D88" s="92"/>
      <c r="E88" s="112"/>
      <c r="F88" s="30" t="s">
        <v>113</v>
      </c>
      <c r="G88" s="32" t="n">
        <f aca="false">G81-G86</f>
        <v>19367.1647256191</v>
      </c>
      <c r="H88" s="32"/>
      <c r="J88" s="30" t="s">
        <v>113</v>
      </c>
      <c r="K88" s="32" t="n">
        <f aca="false">K81-K86</f>
        <v>24049.244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2112.08065412896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2112.08065412896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727.486616209466</v>
      </c>
      <c r="C89" s="92"/>
      <c r="D89" s="92"/>
      <c r="E89" s="112"/>
      <c r="F89" s="30" t="s">
        <v>114</v>
      </c>
      <c r="G89" s="32" t="n">
        <f aca="false">(G88/G87)</f>
        <v>613.362732471946</v>
      </c>
      <c r="H89" s="32"/>
      <c r="J89" s="30" t="s">
        <v>114</v>
      </c>
      <c r="K89" s="32" t="n">
        <f aca="false">(K88/K87)</f>
        <v>943.520444940481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72.9307976336558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72.9307976336558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25462.0315673313</v>
      </c>
      <c r="C90" s="92"/>
      <c r="D90" s="92"/>
      <c r="E90" s="112"/>
      <c r="F90" s="30" t="s">
        <v>115</v>
      </c>
      <c r="G90" s="32" t="n">
        <f aca="false">((G89*(G85))+G77)</f>
        <v>21467.6956365181</v>
      </c>
      <c r="H90" s="32"/>
      <c r="J90" s="30" t="s">
        <v>115</v>
      </c>
      <c r="K90" s="32" t="n">
        <f aca="false">((K89*(K85))+K77)</f>
        <v>33966.7360178573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2552.57791717795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2552.57791717795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25462.0315673313</v>
      </c>
      <c r="C92" s="92"/>
      <c r="D92" s="92"/>
      <c r="E92" s="112"/>
      <c r="F92" s="55" t="s">
        <v>117</v>
      </c>
      <c r="G92" s="64" t="n">
        <f aca="false">(G90+G91)</f>
        <v>21467.6956365181</v>
      </c>
      <c r="H92" s="32"/>
      <c r="J92" s="55" t="s">
        <v>117</v>
      </c>
      <c r="K92" s="64" t="n">
        <f aca="false">(K90+K91)</f>
        <v>33966.7360178573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2552.57791717795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2552.57791717795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727.486616209466</v>
      </c>
      <c r="C95" s="92"/>
      <c r="D95" s="92"/>
      <c r="E95" s="112"/>
      <c r="F95" s="94" t="s">
        <v>119</v>
      </c>
      <c r="G95" s="95" t="n">
        <f aca="false">G92/(G85)</f>
        <v>613.362732471946</v>
      </c>
      <c r="H95" s="32"/>
      <c r="J95" s="94" t="s">
        <v>119</v>
      </c>
      <c r="K95" s="95" t="n">
        <f aca="false">K92/(K85)</f>
        <v>943.520444940481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72.9307976336558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72.9307976336558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727.486616209466</v>
      </c>
      <c r="C96" s="92"/>
      <c r="D96" s="92"/>
      <c r="E96" s="112"/>
      <c r="F96" s="96" t="s">
        <v>120</v>
      </c>
      <c r="G96" s="97" t="n">
        <f aca="false">G94+G95</f>
        <v>613.362732471946</v>
      </c>
      <c r="H96" s="32"/>
      <c r="J96" s="96" t="s">
        <v>120</v>
      </c>
      <c r="K96" s="97" t="n">
        <f aca="false">(K94+K95)</f>
        <v>943.520444940481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72.9307976336558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72.9307976336558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27383.33</v>
      </c>
      <c r="C121" s="120" t="n">
        <f aca="false">B121</f>
        <v>27383.33</v>
      </c>
      <c r="D121" s="119" t="n">
        <f aca="false">D3</f>
        <v>0</v>
      </c>
      <c r="E121" s="120" t="n">
        <f aca="false">D121</f>
        <v>0</v>
      </c>
      <c r="F121" s="119" t="n">
        <f aca="false">F3</f>
        <v>958.33</v>
      </c>
      <c r="G121" s="120" t="n">
        <f aca="false">F121</f>
        <v>958.33</v>
      </c>
      <c r="H121" s="121" t="n">
        <f aca="false">H3</f>
        <v>0</v>
      </c>
      <c r="J121" s="24" t="s">
        <v>150</v>
      </c>
      <c r="K121" s="119" t="n">
        <f aca="false">B3</f>
        <v>27383.33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958.33</v>
      </c>
      <c r="P121" s="120" t="n">
        <f aca="false">O121</f>
        <v>958.33</v>
      </c>
      <c r="Q121" s="121" t="n">
        <f aca="false">H3</f>
        <v>0</v>
      </c>
      <c r="S121" s="24" t="s">
        <v>150</v>
      </c>
      <c r="T121" s="119" t="n">
        <f aca="false">B3</f>
        <v>27383.33</v>
      </c>
      <c r="U121" s="120" t="n">
        <f aca="false">T121</f>
        <v>27383.33</v>
      </c>
      <c r="V121" s="119" t="n">
        <f aca="false">D3</f>
        <v>0</v>
      </c>
      <c r="W121" s="120" t="n">
        <f aca="false">V121</f>
        <v>0</v>
      </c>
      <c r="X121" s="119" t="n">
        <f aca="false">F3</f>
        <v>958.33</v>
      </c>
      <c r="Y121" s="120" t="n">
        <f aca="false">X121</f>
        <v>958.33</v>
      </c>
      <c r="Z121" s="121" t="n">
        <f aca="false">H3</f>
        <v>0</v>
      </c>
      <c r="AB121" s="24" t="s">
        <v>150</v>
      </c>
      <c r="AC121" s="119" t="n">
        <f aca="false">B3</f>
        <v>27383.33</v>
      </c>
      <c r="AD121" s="120" t="n">
        <f aca="false">AC121</f>
        <v>27383.33</v>
      </c>
      <c r="AE121" s="119" t="n">
        <f aca="false">D3</f>
        <v>0</v>
      </c>
      <c r="AF121" s="120" t="n">
        <f aca="false">AE121</f>
        <v>0</v>
      </c>
      <c r="AG121" s="119" t="n">
        <f aca="false">F3</f>
        <v>958.33</v>
      </c>
      <c r="AH121" s="120" t="n">
        <f aca="false">AG121</f>
        <v>958.33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11</v>
      </c>
      <c r="C122" s="123" t="n">
        <v>11</v>
      </c>
      <c r="D122" s="122" t="n">
        <f aca="false">D4</f>
        <v>0</v>
      </c>
      <c r="E122" s="123" t="n">
        <v>0</v>
      </c>
      <c r="F122" s="122" t="n">
        <f aca="false">F4</f>
        <v>11</v>
      </c>
      <c r="G122" s="448" t="n">
        <v>11</v>
      </c>
      <c r="H122" s="125"/>
      <c r="J122" s="30" t="s">
        <v>151</v>
      </c>
      <c r="K122" s="122" t="n">
        <f aca="false">B4</f>
        <v>11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11</v>
      </c>
      <c r="P122" s="448" t="n">
        <f aca="false">O122</f>
        <v>11</v>
      </c>
      <c r="Q122" s="125"/>
      <c r="S122" s="30" t="s">
        <v>151</v>
      </c>
      <c r="T122" s="122" t="n">
        <f aca="false">B4</f>
        <v>11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11</v>
      </c>
      <c r="Y122" s="448" t="n">
        <f aca="false">X122</f>
        <v>11</v>
      </c>
      <c r="Z122" s="125"/>
      <c r="AB122" s="30" t="s">
        <v>151</v>
      </c>
      <c r="AC122" s="122" t="n">
        <f aca="false">B4</f>
        <v>11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11</v>
      </c>
      <c r="AH122" s="448" t="n">
        <f aca="false">AG122</f>
        <v>11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32</v>
      </c>
      <c r="C123" s="120" t="n">
        <v>-5045.27</v>
      </c>
      <c r="D123" s="129" t="n">
        <f aca="false">D5</f>
        <v>0</v>
      </c>
      <c r="E123" s="120" t="n">
        <v>0</v>
      </c>
      <c r="F123" s="129" t="n">
        <f aca="false">F5</f>
        <v>120</v>
      </c>
      <c r="G123" s="120" t="n">
        <v>120</v>
      </c>
      <c r="H123" s="32"/>
      <c r="J123" s="30" t="s">
        <v>152</v>
      </c>
      <c r="K123" s="129" t="n">
        <f aca="false">B5</f>
        <v>32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120</v>
      </c>
      <c r="P123" s="120" t="n">
        <f aca="false">O123</f>
        <v>120</v>
      </c>
      <c r="Q123" s="32"/>
      <c r="S123" s="30" t="s">
        <v>152</v>
      </c>
      <c r="T123" s="129" t="n">
        <f aca="false">B5</f>
        <v>32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120</v>
      </c>
      <c r="Y123" s="120" t="n">
        <f aca="false">X123</f>
        <v>120</v>
      </c>
      <c r="Z123" s="32"/>
      <c r="AB123" s="30" t="s">
        <v>152</v>
      </c>
      <c r="AC123" s="129" t="n">
        <f aca="false">B5</f>
        <v>32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120</v>
      </c>
      <c r="AH123" s="120" t="n">
        <f aca="false">AG123</f>
        <v>120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301248.63</v>
      </c>
      <c r="C124" s="130" t="n">
        <f aca="false">(C121*C122/100)+C123</f>
        <v>-2033.1037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10661.63</v>
      </c>
      <c r="G124" s="130" t="n">
        <f aca="false">(G121*G122/100)+G123</f>
        <v>225.4163</v>
      </c>
      <c r="H124" s="32"/>
      <c r="J124" s="30" t="s">
        <v>153</v>
      </c>
      <c r="K124" s="129" t="n">
        <f aca="false">(K121*K122)+K123</f>
        <v>301248.63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10661.63</v>
      </c>
      <c r="P124" s="130" t="n">
        <f aca="false">(P121*P122)+P123</f>
        <v>10661.63</v>
      </c>
      <c r="Q124" s="32"/>
      <c r="S124" s="30" t="s">
        <v>153</v>
      </c>
      <c r="T124" s="129" t="n">
        <f aca="false">(T121*T122)+T123</f>
        <v>301248.63</v>
      </c>
      <c r="U124" s="130" t="n">
        <f aca="false">(U121*U122)+U123</f>
        <v>6845.8325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10661.63</v>
      </c>
      <c r="Y124" s="130" t="n">
        <f aca="false">(Y121*Y122)+Y123</f>
        <v>10661.63</v>
      </c>
      <c r="Z124" s="32"/>
      <c r="AB124" s="30" t="s">
        <v>153</v>
      </c>
      <c r="AC124" s="129" t="n">
        <f aca="false">(AC121*AC122)+AC123</f>
        <v>301248.63</v>
      </c>
      <c r="AD124" s="130" t="n">
        <f aca="false">(AD121*AD122)+AD123</f>
        <v>6845.8325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10661.63</v>
      </c>
      <c r="AH124" s="130" t="n">
        <f aca="false">(AH121*AH122)+AH123</f>
        <v>10661.63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-273865.3</v>
      </c>
      <c r="C125" s="132" t="n">
        <f aca="false">C121-C124</f>
        <v>29416.4337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-9703.3</v>
      </c>
      <c r="G125" s="132" t="n">
        <f aca="false">G121-G124</f>
        <v>732.9137</v>
      </c>
      <c r="H125" s="64"/>
      <c r="J125" s="55" t="s">
        <v>154</v>
      </c>
      <c r="K125" s="131" t="n">
        <f aca="false">K121-K124</f>
        <v>-273865.3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-9703.3</v>
      </c>
      <c r="P125" s="132" t="n">
        <f aca="false">P121-P124</f>
        <v>-9703.3</v>
      </c>
      <c r="Q125" s="64"/>
      <c r="S125" s="55" t="s">
        <v>154</v>
      </c>
      <c r="T125" s="131" t="n">
        <f aca="false">T121-T124</f>
        <v>-273865.3</v>
      </c>
      <c r="U125" s="132" t="n">
        <f aca="false">U121-U124</f>
        <v>20537.4975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-9703.3</v>
      </c>
      <c r="Y125" s="132" t="n">
        <f aca="false">Y121-Y124</f>
        <v>-9703.3</v>
      </c>
      <c r="Z125" s="64"/>
      <c r="AB125" s="55" t="s">
        <v>154</v>
      </c>
      <c r="AC125" s="131" t="n">
        <f aca="false">AC121-AC124</f>
        <v>-273865.3</v>
      </c>
      <c r="AD125" s="132" t="n">
        <f aca="false">AD121-AD124</f>
        <v>20537.4975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-9703.3</v>
      </c>
      <c r="AH125" s="132" t="n">
        <f aca="false">AH121-AH124</f>
        <v>-9703.3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25072.0774</v>
      </c>
      <c r="H135" s="152" t="n">
        <f aca="false">C125+E125+G125+H128</f>
        <v>30149.3474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25072.0774</v>
      </c>
      <c r="Q135" s="152" t="n">
        <f aca="false">L125+N125+P125+Q128</f>
        <v>18925.87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25072.0774</v>
      </c>
      <c r="Z135" s="152" t="n">
        <f aca="false">U125+W125+Y125+Z128</f>
        <v>10834.1975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25072.0774</v>
      </c>
      <c r="AI135" s="152" t="n">
        <f aca="false">AD125+AF125+AH125+AI128</f>
        <v>10834.1975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110</v>
      </c>
      <c r="H136" s="32" t="n">
        <f aca="false">G136</f>
        <v>110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110</v>
      </c>
      <c r="Q136" s="32" t="n">
        <f aca="false">P136</f>
        <v>110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110</v>
      </c>
      <c r="Z136" s="32" t="n">
        <f aca="false">Y136</f>
        <v>110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110</v>
      </c>
      <c r="AI136" s="32" t="n">
        <f aca="false">AH136</f>
        <v>110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5036.41548</v>
      </c>
      <c r="H137" s="32" t="n">
        <f aca="false">(H135+H136)*20%</f>
        <v>6051.86948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5036.41548</v>
      </c>
      <c r="Q137" s="32" t="n">
        <f aca="false">(Q135+Q136)*20%</f>
        <v>3807.174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5036.41548</v>
      </c>
      <c r="Z137" s="32" t="n">
        <f aca="false">(Z135+Z136)*20%</f>
        <v>2188.8395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5036.41548</v>
      </c>
      <c r="AI137" s="32" t="n">
        <f aca="false">(AI135+AI136)*20%</f>
        <v>2188.8395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180</v>
      </c>
      <c r="H139" s="32" t="n">
        <f aca="false">G139</f>
        <v>180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180</v>
      </c>
      <c r="Q139" s="32" t="n">
        <f aca="false">P139</f>
        <v>180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180</v>
      </c>
      <c r="Z139" s="32" t="n">
        <f aca="false">Y139</f>
        <v>180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180</v>
      </c>
      <c r="AI139" s="32" t="n">
        <f aca="false">AH139</f>
        <v>180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30463.49288</v>
      </c>
      <c r="H141" s="156" t="n">
        <f aca="false">(H135+H136+H139+H140+H137)-H138</f>
        <v>36556.21688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30463.49288</v>
      </c>
      <c r="Q141" s="156" t="n">
        <f aca="false">(Q135+Q136+Q139+Q140+Q137)-Q138</f>
        <v>23078.044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30463.49288</v>
      </c>
      <c r="Z141" s="156" t="n">
        <f aca="false">(Z135+Z136+Z139+Z140+Z137)-Z138</f>
        <v>13368.037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30463.49288</v>
      </c>
      <c r="AI141" s="156" t="n">
        <f aca="false">(AI135+AI136+AI139+AI140+AI137)-AI138</f>
        <v>13368.037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24</v>
      </c>
      <c r="H142" s="39" t="n">
        <f aca="false">G142</f>
        <v>24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24</v>
      </c>
      <c r="Q142" s="39" t="n">
        <f aca="false">P142</f>
        <v>24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24</v>
      </c>
      <c r="Z142" s="39" t="n">
        <f aca="false">Y142</f>
        <v>24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24</v>
      </c>
      <c r="AI142" s="39" t="n">
        <f aca="false">AH142</f>
        <v>24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24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24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30434.69288</v>
      </c>
      <c r="H147" s="163" t="n">
        <f aca="false">H141-((H144*1.2)+(H145*1.2)+(H146*1.2)+(H142*1.2))</f>
        <v>36527.41688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30434.69288</v>
      </c>
      <c r="Q147" s="163" t="n">
        <f aca="false">Q141-((Q144*1.2)+(Q145*1.2)+(Q146*1.2)+(Q142*1.2))</f>
        <v>23049.244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30434.69288</v>
      </c>
      <c r="Z147" s="163" t="n">
        <f aca="false">Z141-((Z144*1.2)+(Z145*1.2)+(Z146*1.2)+(Z142*1.2))</f>
        <v>13339.237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30434.69288</v>
      </c>
      <c r="AI147" s="163" t="n">
        <f aca="false">AI141-((AI144*1.2)+(AI145*1.2)+(AI146*1.2)+(AI142*1.2))</f>
        <v>13339.237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5077.27</v>
      </c>
      <c r="I148" s="1" t="n">
        <f aca="false">(H148-G81)/1.2</f>
        <v>-24125.1224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-7385.44888000001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-17095.45588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-17095.45588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34027.41688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24049.244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14339.237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14339.237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727.486616209466</v>
      </c>
      <c r="B167" s="176" t="str">
        <f aca="false">B94</f>
        <v>0</v>
      </c>
      <c r="C167" s="173"/>
      <c r="D167" s="173"/>
      <c r="E167" s="176" t="n">
        <f aca="false">B96</f>
        <v>727.486616209466</v>
      </c>
      <c r="F167" s="22"/>
      <c r="G167" s="22" t="n">
        <f aca="false">ROUND(G95,2)</f>
        <v>613.36</v>
      </c>
      <c r="H167" s="32"/>
      <c r="J167" s="175" t="n">
        <f aca="false">K95</f>
        <v>943.520444940481</v>
      </c>
      <c r="K167" s="176" t="n">
        <f aca="false">K94</f>
        <v>0</v>
      </c>
      <c r="L167" s="173"/>
      <c r="M167" s="173"/>
      <c r="N167" s="176" t="n">
        <f aca="false">K96</f>
        <v>943.520444940481</v>
      </c>
      <c r="O167" s="22"/>
      <c r="P167" s="22"/>
      <c r="Q167" s="32"/>
      <c r="S167" s="175" t="n">
        <f aca="false">T95</f>
        <v>72.9307976336558</v>
      </c>
      <c r="T167" s="176" t="n">
        <f aca="false">T94</f>
        <v>0</v>
      </c>
      <c r="U167" s="173"/>
      <c r="V167" s="173"/>
      <c r="W167" s="176" t="n">
        <f aca="false">T96</f>
        <v>72.9307976336558</v>
      </c>
      <c r="X167" s="22"/>
      <c r="Y167" s="22"/>
      <c r="Z167" s="32"/>
      <c r="AB167" s="175" t="n">
        <f aca="false">AC95</f>
        <v>72.9307976336558</v>
      </c>
      <c r="AC167" s="176" t="n">
        <f aca="false">AC94</f>
        <v>0</v>
      </c>
      <c r="AD167" s="173"/>
      <c r="AE167" s="173"/>
      <c r="AF167" s="176" t="n">
        <f aca="false">AC96</f>
        <v>72.9307976336558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18075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18075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18075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18075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H141-H137-H139-H140-H142</f>
        <v>30235.3474</v>
      </c>
      <c r="B173" s="102" t="n">
        <f aca="false">H137</f>
        <v>6051.86948</v>
      </c>
      <c r="C173" s="185"/>
      <c r="D173" s="22"/>
      <c r="E173" s="181" t="n">
        <f aca="false">H139+H140</f>
        <v>245</v>
      </c>
      <c r="F173" s="22"/>
      <c r="G173" s="22"/>
      <c r="H173" s="32"/>
      <c r="J173" s="184" t="n">
        <f aca="false">Q141-Q137-Q139-Q140</f>
        <v>19035.87</v>
      </c>
      <c r="K173" s="102" t="n">
        <f aca="false">Q137</f>
        <v>3807.174</v>
      </c>
      <c r="L173" s="185"/>
      <c r="M173" s="22"/>
      <c r="N173" s="181" t="n">
        <f aca="false">Q139+Q140</f>
        <v>235</v>
      </c>
      <c r="O173" s="22"/>
      <c r="P173" s="22"/>
      <c r="Q173" s="32"/>
      <c r="S173" s="184" t="n">
        <f aca="false">Z141-Z137-Z139-Z140</f>
        <v>10944.1975</v>
      </c>
      <c r="T173" s="102" t="n">
        <f aca="false">Z137</f>
        <v>2188.8395</v>
      </c>
      <c r="U173" s="185"/>
      <c r="V173" s="22"/>
      <c r="W173" s="181" t="n">
        <f aca="false">Z139+Z140</f>
        <v>235</v>
      </c>
      <c r="X173" s="22"/>
      <c r="Y173" s="22"/>
      <c r="Z173" s="32"/>
      <c r="AB173" s="184" t="n">
        <f aca="false">AI141-AI137-AI139-AI140</f>
        <v>10944.1975</v>
      </c>
      <c r="AC173" s="102" t="n">
        <f aca="false">AI137</f>
        <v>2188.8395</v>
      </c>
      <c r="AD173" s="185"/>
      <c r="AE173" s="22"/>
      <c r="AF173" s="181" t="n">
        <f aca="false">AI139+AI140</f>
        <v>235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36527.41688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23078.044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13368.037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13368.037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34027.41688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24078.044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14368.037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14368.037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9509.61468733131</v>
      </c>
      <c r="B182" s="102" t="str">
        <f aca="false">B114</f>
        <v>199.99</v>
      </c>
      <c r="C182" s="102"/>
      <c r="D182" s="22"/>
      <c r="E182" s="102" t="n">
        <f aca="false">E179+A182+(B182*1.2)+A185</f>
        <v>43787.0195673313</v>
      </c>
      <c r="F182" s="22"/>
      <c r="G182" s="22"/>
      <c r="H182" s="104"/>
      <c r="J182" s="110" t="n">
        <f aca="false">(J167*K59)+N185-N179-J185</f>
        <v>27020.1715729168</v>
      </c>
      <c r="K182" s="102" t="n">
        <f aca="false">K114</f>
        <v>239.99</v>
      </c>
      <c r="L182" s="102"/>
      <c r="M182" s="22"/>
      <c r="N182" s="102" t="n">
        <f aca="false">N179+J182+K182+J185</f>
        <v>51358.2055729168</v>
      </c>
      <c r="O182" s="22"/>
      <c r="P182" s="22"/>
      <c r="Q182" s="104"/>
      <c r="S182" s="110" t="n">
        <f aca="false">(S167*T59)+W185-W179-S185</f>
        <v>6259.54091717795</v>
      </c>
      <c r="T182" s="102" t="n">
        <f aca="false">T114</f>
        <v>199.99</v>
      </c>
      <c r="U182" s="102"/>
      <c r="V182" s="22"/>
      <c r="W182" s="102" t="n">
        <f aca="false">W179+S182+T182+S185</f>
        <v>20837.567917178</v>
      </c>
      <c r="X182" s="22"/>
      <c r="Y182" s="22"/>
      <c r="Z182" s="104"/>
      <c r="AB182" s="110" t="n">
        <f aca="false">(AB167*AC59)+AF185-AF179-AB185</f>
        <v>6259.54091717795</v>
      </c>
      <c r="AC182" s="102" t="n">
        <f aca="false">AC114</f>
        <v>239.99</v>
      </c>
      <c r="AD182" s="102"/>
      <c r="AE182" s="22"/>
      <c r="AF182" s="102" t="n">
        <f aca="false">AF179+AB182+AC182+AB185</f>
        <v>20877.567917178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18085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18095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18085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18085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283.561807333333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0.06092698576</v>
      </c>
      <c r="K188" s="102" t="n">
        <f aca="false">(P158*K67)/1.2</f>
        <v>1503.07775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119.493641666667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119.493641666667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383.551807333333</v>
      </c>
      <c r="C191" s="92"/>
      <c r="D191" s="92"/>
      <c r="E191" s="102" t="n">
        <f aca="false">H148</f>
        <v>5077.27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2643.06775</v>
      </c>
      <c r="L191" s="92"/>
      <c r="M191" s="92"/>
      <c r="N191" s="102" t="n">
        <f aca="false">Q148</f>
        <v>-7385.44888000001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1219.48364166667</v>
      </c>
      <c r="U191" s="92"/>
      <c r="V191" s="92"/>
      <c r="W191" s="102" t="n">
        <f aca="false">Z148</f>
        <v>-17095.45588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1259.48364166667</v>
      </c>
      <c r="AD191" s="92"/>
      <c r="AE191" s="92"/>
      <c r="AF191" s="102" t="n">
        <f aca="false">AI148</f>
        <v>-17095.45588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727.486616209466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n">
        <f aca="false">K96</f>
        <v>943.520444940481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n">
        <f aca="false">T96</f>
        <v>72.9307976336558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n">
        <f aca="false">AC96</f>
        <v>72.9307976336558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5515.18312</v>
      </c>
      <c r="B201" s="185" t="n">
        <f aca="false">E179+A201+(B182*1.2)+A185</f>
        <v>39792.588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727.486616209466</v>
      </c>
      <c r="B212" s="176" t="str">
        <f aca="false">B167</f>
        <v>0</v>
      </c>
      <c r="C212" s="173"/>
      <c r="D212" s="173"/>
      <c r="E212" s="176" t="n">
        <f aca="false">E167</f>
        <v>727.486616209466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30235.3474</v>
      </c>
      <c r="B215" s="102" t="n">
        <f aca="false">B173</f>
        <v>6051.86948</v>
      </c>
      <c r="C215" s="185"/>
      <c r="D215" s="112"/>
      <c r="E215" s="181" t="n">
        <f aca="false">E173</f>
        <v>245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36527.41688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34027.41688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9509.61468733131</v>
      </c>
      <c r="B224" s="102" t="str">
        <f aca="false">B182</f>
        <v>199.99</v>
      </c>
      <c r="C224" s="102"/>
      <c r="D224" s="112"/>
      <c r="E224" s="102" t="n">
        <f aca="false">E182</f>
        <v>43787.0195673313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727.486616209466</v>
      </c>
      <c r="B230" s="102" t="str">
        <f aca="false">B167</f>
        <v>0</v>
      </c>
      <c r="C230" s="185"/>
      <c r="D230" s="185"/>
      <c r="E230" s="102" t="n">
        <f aca="false">E167</f>
        <v>727.486616209466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18075</v>
      </c>
      <c r="B233" s="102" t="n">
        <f aca="false">E185</f>
        <v>18085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5077.27</v>
      </c>
      <c r="B240" s="102" t="n">
        <f aca="false">B68</f>
        <v>283.561807333333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5460.82180733333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4004.43156733131</v>
      </c>
      <c r="C254" s="196"/>
      <c r="D254" s="197" t="s">
        <v>217</v>
      </c>
      <c r="E254" s="197"/>
      <c r="F254" s="199" t="n">
        <f aca="false">F261+F267+F269+B270+B271</f>
        <v>340.2741688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3764.14739853131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4004.43156733131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340.2741688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3764.14739853131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6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2505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1833.65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561.865099818497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509.475099818497</v>
      </c>
      <c r="B36" s="231" t="n">
        <f aca="false">IF(B26="YES",K42,"0.00")</f>
        <v>52.39</v>
      </c>
      <c r="C36" s="231"/>
      <c r="D36" s="231"/>
      <c r="E36" s="231" t="n">
        <f aca="false">K31</f>
        <v>2505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25299.2012728699</v>
      </c>
      <c r="N39" s="1" t="n">
        <f aca="false">K39-L39</f>
        <v>-7519.20127286992</v>
      </c>
      <c r="P39" s="211"/>
    </row>
    <row r="40" customFormat="false" ht="19.5" hidden="false" customHeight="false" outlineLevel="0" collapsed="false">
      <c r="A40" s="106" t="n">
        <f aca="false">E36*A45/100</f>
        <v>2505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2087.5</v>
      </c>
      <c r="L40" s="2" t="n">
        <f aca="false">K39-L39</f>
        <v>-7519.20127286992</v>
      </c>
      <c r="N40" s="1" t="n">
        <f aca="false">N38-N39</f>
        <v>10430.8812728699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1693.12732350043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16086.8726764996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509.475099818497</v>
      </c>
      <c r="L47" s="2" t="n">
        <f aca="false">L49-K42</f>
        <v>747.61</v>
      </c>
      <c r="M47" s="1" t="n">
        <f aca="false">K47-L47</f>
        <v>-238.134900181503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561.865099818497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561.865099818497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7344.14529918286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31836.9599795112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6811.71015821829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831.736370477425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509.475099818497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509.475099818497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561.865099818497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561.865099818497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2505</v>
      </c>
      <c r="C82" s="92"/>
      <c r="D82" s="92"/>
      <c r="E82" s="112"/>
      <c r="F82" s="30" t="s">
        <v>107</v>
      </c>
      <c r="G82" s="32" t="n">
        <f aca="false">IF(A111="YES",A40,0)</f>
        <v>2505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2505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2505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1768.31506880445</v>
      </c>
      <c r="C86" s="92"/>
      <c r="D86" s="92"/>
      <c r="E86" s="112"/>
      <c r="F86" s="30" t="s">
        <v>111</v>
      </c>
      <c r="G86" s="32" t="n">
        <f aca="false">(G82/((1+G84)^(G85+1)))</f>
        <v>2043.60467946501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1713.05081718563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1713.05081718563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21253.2889311956</v>
      </c>
      <c r="C88" s="92"/>
      <c r="D88" s="92"/>
      <c r="E88" s="112"/>
      <c r="F88" s="30" t="s">
        <v>113</v>
      </c>
      <c r="G88" s="32" t="n">
        <f aca="false">G81-G86</f>
        <v>20977.999320535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20494.7141828144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15521.4491828144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740.463935083243</v>
      </c>
      <c r="C89" s="92"/>
      <c r="D89" s="92"/>
      <c r="E89" s="112"/>
      <c r="F89" s="30" t="s">
        <v>114</v>
      </c>
      <c r="G89" s="32" t="n">
        <f aca="false">(G88/G87)</f>
        <v>681.998992340432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724.80407799605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548.922496003671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25175.7737928303</v>
      </c>
      <c r="C90" s="92"/>
      <c r="D90" s="92"/>
      <c r="E90" s="112"/>
      <c r="F90" s="30" t="s">
        <v>115</v>
      </c>
      <c r="G90" s="32" t="n">
        <f aca="false">((G89*(G85))+G77)</f>
        <v>23187.9657395747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24643.3386518657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18663.3648641248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25175.7737928303</v>
      </c>
      <c r="C92" s="92"/>
      <c r="D92" s="92"/>
      <c r="E92" s="112"/>
      <c r="F92" s="55" t="s">
        <v>117</v>
      </c>
      <c r="G92" s="64" t="n">
        <f aca="false">(G90+G91)</f>
        <v>23187.9657395747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24643.3386518657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18663.3648641248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84.1321764705883</v>
      </c>
      <c r="C94" s="92"/>
      <c r="D94" s="92"/>
      <c r="E94" s="112"/>
      <c r="F94" s="87" t="s">
        <v>118</v>
      </c>
      <c r="G94" s="93" t="n">
        <f aca="false">IF(B26="YES",((E40/B85)*(1+A108)*(C45/100)),"0")</f>
        <v>70.1101470588235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740.463935083243</v>
      </c>
      <c r="C95" s="92"/>
      <c r="D95" s="92"/>
      <c r="E95" s="112"/>
      <c r="F95" s="94" t="s">
        <v>119</v>
      </c>
      <c r="G95" s="95" t="n">
        <f aca="false">G92/(G85)</f>
        <v>681.998992340432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724.80407799605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548.922496003671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824.596111553831</v>
      </c>
      <c r="C96" s="92"/>
      <c r="D96" s="92"/>
      <c r="E96" s="112"/>
      <c r="F96" s="96" t="s">
        <v>120</v>
      </c>
      <c r="G96" s="97" t="n">
        <f aca="false">G94+G95</f>
        <v>752.109139399256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789.521136819579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626.582966591907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273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740.463935083243</v>
      </c>
      <c r="B167" s="176" t="n">
        <f aca="false">B94</f>
        <v>84.1321764705883</v>
      </c>
      <c r="C167" s="173"/>
      <c r="D167" s="173"/>
      <c r="E167" s="176" t="n">
        <f aca="false">B96</f>
        <v>824.596111553831</v>
      </c>
      <c r="F167" s="22"/>
      <c r="G167" s="22" t="n">
        <f aca="false">ROUND(G95,2)</f>
        <v>682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724.80407799605</v>
      </c>
      <c r="T167" s="176" t="n">
        <f aca="false">T94</f>
        <v>64.7170588235294</v>
      </c>
      <c r="U167" s="173"/>
      <c r="V167" s="173"/>
      <c r="W167" s="176" t="n">
        <f aca="false">T96</f>
        <v>789.521136819579</v>
      </c>
      <c r="X167" s="22"/>
      <c r="Y167" s="22"/>
      <c r="Z167" s="32"/>
      <c r="AB167" s="175" t="n">
        <f aca="false">AC95</f>
        <v>548.922496003671</v>
      </c>
      <c r="AC167" s="176" t="n">
        <f aca="false">AC94</f>
        <v>77.6604705882353</v>
      </c>
      <c r="AD167" s="173"/>
      <c r="AE167" s="173"/>
      <c r="AF167" s="176" t="n">
        <f aca="false">AC96</f>
        <v>626.582966591907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2505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2505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2505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2505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H141-H137-H139-H140-H142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4659.16979283027</v>
      </c>
      <c r="B182" s="102" t="str">
        <f aca="false">B114</f>
        <v>239.99</v>
      </c>
      <c r="C182" s="102"/>
      <c r="D182" s="22"/>
      <c r="E182" s="102" t="n">
        <f aca="false">E179+A182+B182+A185</f>
        <v>27930.7637928303</v>
      </c>
      <c r="F182" s="22"/>
      <c r="G182" s="22"/>
      <c r="H182" s="104"/>
      <c r="J182" s="110" t="n">
        <f aca="false">(J167*K59)+N185-N179-J185</f>
        <v>15654.5844731586</v>
      </c>
      <c r="K182" s="102" t="n">
        <f aca="false">K114</f>
        <v>239.99</v>
      </c>
      <c r="L182" s="102"/>
      <c r="M182" s="22"/>
      <c r="N182" s="102" t="n">
        <f aca="false">N179+J182+K182+J185</f>
        <v>52433.5784731586</v>
      </c>
      <c r="O182" s="22"/>
      <c r="P182" s="22"/>
      <c r="Q182" s="104"/>
      <c r="S182" s="110" t="n">
        <f aca="false">(S167*T59)+W185-W179-S185</f>
        <v>4940.57365186569</v>
      </c>
      <c r="T182" s="102" t="n">
        <f aca="false">T114</f>
        <v>199.99</v>
      </c>
      <c r="U182" s="102"/>
      <c r="V182" s="22"/>
      <c r="W182" s="102" t="n">
        <f aca="false">W179+S182+T182+S185</f>
        <v>27358.3286518657</v>
      </c>
      <c r="X182" s="22"/>
      <c r="Y182" s="22"/>
      <c r="Z182" s="104"/>
      <c r="AB182" s="110" t="n">
        <f aca="false">(AB167*AC59)+AF185-AF179-AB185</f>
        <v>3933.86486412483</v>
      </c>
      <c r="AC182" s="102" t="n">
        <f aca="false">AC114</f>
        <v>239.99</v>
      </c>
      <c r="AD182" s="102"/>
      <c r="AE182" s="22"/>
      <c r="AF182" s="102" t="n">
        <f aca="false">AF179+AB182+AC182+AB185</f>
        <v>21418.3548641248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2515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2525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2515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2515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5.02272</v>
      </c>
      <c r="B188" s="102" t="n">
        <f aca="false">B68</f>
        <v>187.84989375</v>
      </c>
      <c r="C188" s="92"/>
      <c r="D188" s="92"/>
      <c r="E188" s="102" t="n">
        <f aca="false">(E40*A108)*0.1*(C45/100)</f>
        <v>55.0095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342.851060416667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824.596111553831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789.521136819579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626.582966591907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2671.396</v>
      </c>
      <c r="B201" s="185" t="n">
        <f aca="false">E179+A201+B182+A185</f>
        <v>25942.99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740.463935083243</v>
      </c>
      <c r="B212" s="176" t="n">
        <f aca="false">B167</f>
        <v>84.1321764705883</v>
      </c>
      <c r="C212" s="173"/>
      <c r="D212" s="173"/>
      <c r="E212" s="176" t="n">
        <f aca="false">E167</f>
        <v>824.596111553831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4659.16979283027</v>
      </c>
      <c r="B224" s="102" t="str">
        <f aca="false">B182</f>
        <v>239.99</v>
      </c>
      <c r="C224" s="102"/>
      <c r="D224" s="112"/>
      <c r="E224" s="102" t="n">
        <f aca="false">E182</f>
        <v>27930.7637928303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740.463935083243</v>
      </c>
      <c r="B230" s="102" t="n">
        <f aca="false">B167</f>
        <v>84.1321764705883</v>
      </c>
      <c r="C230" s="185"/>
      <c r="D230" s="185"/>
      <c r="E230" s="102" t="n">
        <f aca="false">E167</f>
        <v>824.596111553831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2505</v>
      </c>
      <c r="B233" s="102" t="n">
        <f aca="false">E185</f>
        <v>2515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55.0095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3887.52106041667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1997.77379283027</v>
      </c>
      <c r="C254" s="196"/>
      <c r="D254" s="197" t="s">
        <v>217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650.086666666667</v>
      </c>
      <c r="C255" s="196"/>
      <c r="D255" s="197" t="s">
        <v>219</v>
      </c>
      <c r="E255" s="197"/>
      <c r="F255" s="199" t="n">
        <f aca="false">(B254-F254)+B255</f>
        <v>2422.44058699693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1997.77379283027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550.095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2422.44058699693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2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2004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2200.1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583.05944916212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520.19944916212</v>
      </c>
      <c r="B36" s="231" t="n">
        <f aca="false">IF(B26="YES",K42,"0.00")</f>
        <v>62.86</v>
      </c>
      <c r="C36" s="231"/>
      <c r="D36" s="231"/>
      <c r="E36" s="231" t="n">
        <f aca="false">K31</f>
        <v>2004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24629.9815220448</v>
      </c>
      <c r="N39" s="1" t="n">
        <f aca="false">K39-L39</f>
        <v>-6849.98152204484</v>
      </c>
      <c r="P39" s="211"/>
    </row>
    <row r="40" customFormat="false" ht="19.5" hidden="false" customHeight="false" outlineLevel="0" collapsed="false">
      <c r="A40" s="312" t="n">
        <f aca="false">E36*A45/100</f>
        <v>2004</v>
      </c>
      <c r="B40" s="106" t="n">
        <f aca="false">IF(B26="YES",K42,"0.00")</f>
        <v>62.86</v>
      </c>
      <c r="C40" s="106"/>
      <c r="D40" s="106"/>
      <c r="E40" s="181" t="n">
        <f aca="false">K32</f>
        <v>2200.1</v>
      </c>
      <c r="F40" s="185"/>
      <c r="G40" s="185"/>
      <c r="H40" s="46"/>
      <c r="J40" s="2" t="s">
        <v>107</v>
      </c>
      <c r="K40" s="2" t="n">
        <f aca="false">(A40)/1.2</f>
        <v>1670</v>
      </c>
      <c r="L40" s="2" t="n">
        <f aca="false">K39-L39</f>
        <v>-6849.98152204484</v>
      </c>
      <c r="N40" s="1" t="n">
        <f aca="false">N38-N39</f>
        <v>9761.66152204484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62.86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1354.50185880034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16425.4981411997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520.19944916212</v>
      </c>
      <c r="L47" s="2" t="n">
        <f aca="false">L49-K42</f>
        <v>737.14</v>
      </c>
      <c r="M47" s="1" t="n">
        <f aca="false">K47-L47</f>
        <v>-216.94055083788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583.05944916212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583.05944916212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9283.02209624229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31461.6077524844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6848.32065523045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868.346867489585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200.905449305556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520.19944916212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520.19944916212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583.05944916212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583.05944916212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24621.604</v>
      </c>
      <c r="C81" s="92"/>
      <c r="D81" s="92"/>
      <c r="E81" s="112"/>
      <c r="F81" s="24" t="s">
        <v>106</v>
      </c>
      <c r="G81" s="26" t="n">
        <f aca="false">G158</f>
        <v>24621.604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2004</v>
      </c>
      <c r="C82" s="92"/>
      <c r="D82" s="92"/>
      <c r="E82" s="112"/>
      <c r="F82" s="30" t="s">
        <v>107</v>
      </c>
      <c r="G82" s="32" t="n">
        <f aca="false">IF(A111="YES",A40,0)</f>
        <v>2004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2004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2004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1414.65205504356</v>
      </c>
      <c r="C86" s="92"/>
      <c r="D86" s="92"/>
      <c r="E86" s="112"/>
      <c r="F86" s="30" t="s">
        <v>111</v>
      </c>
      <c r="G86" s="32" t="n">
        <f aca="false">(G82/((1+G84)^(G85+1)))</f>
        <v>1634.88374357201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1370.4406537485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1370.4406537485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23206.9519449564</v>
      </c>
      <c r="C88" s="92"/>
      <c r="D88" s="92"/>
      <c r="E88" s="112"/>
      <c r="F88" s="30" t="s">
        <v>113</v>
      </c>
      <c r="G88" s="32" t="n">
        <f aca="false">G81-G86</f>
        <v>22986.720256428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20837.3243462515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15864.0593462515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808.529494615191</v>
      </c>
      <c r="C89" s="92"/>
      <c r="D89" s="92"/>
      <c r="E89" s="112"/>
      <c r="F89" s="30" t="s">
        <v>114</v>
      </c>
      <c r="G89" s="32" t="n">
        <f aca="false">(G88/G87)</f>
        <v>747.302915428615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736.920628703078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561.0390467107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27490.0028169165</v>
      </c>
      <c r="C90" s="92"/>
      <c r="D90" s="92"/>
      <c r="E90" s="112"/>
      <c r="F90" s="30" t="s">
        <v>115</v>
      </c>
      <c r="G90" s="32" t="n">
        <f aca="false">((G89*(G85))+G77)</f>
        <v>25408.2991245729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25055.3013759046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19075.3275881638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27490.0028169165</v>
      </c>
      <c r="C92" s="92"/>
      <c r="D92" s="92"/>
      <c r="E92" s="112"/>
      <c r="F92" s="55" t="s">
        <v>117</v>
      </c>
      <c r="G92" s="64" t="n">
        <f aca="false">(G90+G91)</f>
        <v>25408.2991245729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25055.3013759046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19075.3275881638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100.945764705882</v>
      </c>
      <c r="C94" s="92"/>
      <c r="D94" s="92"/>
      <c r="E94" s="112"/>
      <c r="F94" s="87" t="s">
        <v>118</v>
      </c>
      <c r="G94" s="93" t="n">
        <f aca="false">IF(B26="YES",((E40/B85)*(1+A108)*(C45/100)),"0")</f>
        <v>84.1214705882353</v>
      </c>
      <c r="H94" s="32"/>
      <c r="J94" s="87" t="s">
        <v>118</v>
      </c>
      <c r="K94" s="88" t="n">
        <f aca="false">((E40/K85)*(1+J108))*1.2</f>
        <v>98.0616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77.6505882352941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93.1807058823529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808.529494615191</v>
      </c>
      <c r="C95" s="92"/>
      <c r="D95" s="92"/>
      <c r="E95" s="112"/>
      <c r="F95" s="94" t="s">
        <v>119</v>
      </c>
      <c r="G95" s="95" t="n">
        <f aca="false">G92/(G85)</f>
        <v>747.302915428615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736.920628703078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561.0390467107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909.475259321073</v>
      </c>
      <c r="C96" s="92"/>
      <c r="D96" s="92"/>
      <c r="E96" s="112"/>
      <c r="F96" s="96" t="s">
        <v>120</v>
      </c>
      <c r="G96" s="97" t="n">
        <f aca="false">G94+G95</f>
        <v>831.42438601685</v>
      </c>
      <c r="H96" s="32"/>
      <c r="J96" s="96" t="s">
        <v>120</v>
      </c>
      <c r="K96" s="97" t="n">
        <f aca="false">(K94+K95)</f>
        <v>1558.90243744584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814.571216938372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654.219752593053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273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-17564.1116666667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24621.604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808.529494615191</v>
      </c>
      <c r="B167" s="176" t="n">
        <f aca="false">B94</f>
        <v>100.945764705882</v>
      </c>
      <c r="C167" s="173"/>
      <c r="D167" s="173"/>
      <c r="E167" s="176" t="n">
        <f aca="false">B96</f>
        <v>909.475259321073</v>
      </c>
      <c r="F167" s="22"/>
      <c r="G167" s="22" t="n">
        <f aca="false">ROUND(G95,2)</f>
        <v>747.3</v>
      </c>
      <c r="H167" s="32"/>
      <c r="J167" s="175" t="n">
        <f aca="false">K95</f>
        <v>1460.84083744584</v>
      </c>
      <c r="K167" s="176" t="n">
        <f aca="false">K94</f>
        <v>98.0616</v>
      </c>
      <c r="L167" s="173"/>
      <c r="M167" s="173"/>
      <c r="N167" s="176" t="n">
        <f aca="false">K96</f>
        <v>1558.90243744584</v>
      </c>
      <c r="O167" s="22"/>
      <c r="P167" s="22"/>
      <c r="Q167" s="32"/>
      <c r="S167" s="175" t="n">
        <f aca="false">T95</f>
        <v>736.920628703078</v>
      </c>
      <c r="T167" s="176" t="n">
        <f aca="false">T94</f>
        <v>77.6505882352941</v>
      </c>
      <c r="U167" s="173"/>
      <c r="V167" s="173"/>
      <c r="W167" s="176" t="n">
        <f aca="false">T96</f>
        <v>814.571216938372</v>
      </c>
      <c r="X167" s="22"/>
      <c r="Y167" s="22"/>
      <c r="Z167" s="32"/>
      <c r="AB167" s="175" t="n">
        <f aca="false">AC95</f>
        <v>561.0390467107</v>
      </c>
      <c r="AC167" s="176" t="n">
        <f aca="false">AC94</f>
        <v>93.1807058823529</v>
      </c>
      <c r="AD167" s="173"/>
      <c r="AE167" s="173"/>
      <c r="AF167" s="176" t="n">
        <f aca="false">AC96</f>
        <v>654.219752593053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2004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2004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2004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2004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24621.604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4872.39881691649</v>
      </c>
      <c r="B182" s="102" t="str">
        <f aca="false">B114</f>
        <v>239.99</v>
      </c>
      <c r="C182" s="102"/>
      <c r="D182" s="22"/>
      <c r="E182" s="102" t="n">
        <f aca="false">E179+A182+B182+A185</f>
        <v>29743.9928169165</v>
      </c>
      <c r="F182" s="22"/>
      <c r="G182" s="22"/>
      <c r="H182" s="104"/>
      <c r="J182" s="110" t="n">
        <f aca="false">(J167*K59)+N185-N179-J185</f>
        <v>15153.5844731586</v>
      </c>
      <c r="K182" s="102" t="n">
        <f aca="false">K114</f>
        <v>239.99</v>
      </c>
      <c r="L182" s="102"/>
      <c r="M182" s="22"/>
      <c r="N182" s="102" t="n">
        <f aca="false">N179+J182+K182+J185</f>
        <v>51932.5784731586</v>
      </c>
      <c r="O182" s="22"/>
      <c r="P182" s="22"/>
      <c r="Q182" s="104"/>
      <c r="S182" s="110" t="n">
        <f aca="false">(S167*T59)+W185-W179-S185</f>
        <v>4851.53637590465</v>
      </c>
      <c r="T182" s="102" t="n">
        <f aca="false">T114</f>
        <v>199.99</v>
      </c>
      <c r="U182" s="102"/>
      <c r="V182" s="22"/>
      <c r="W182" s="102" t="n">
        <f aca="false">W179+S182+T182+S185</f>
        <v>27269.2913759046</v>
      </c>
      <c r="X182" s="22"/>
      <c r="Y182" s="22"/>
      <c r="Z182" s="104"/>
      <c r="AB182" s="110" t="n">
        <f aca="false">(AB167*AC59)+AF185-AF179-AB185</f>
        <v>3844.82758816379</v>
      </c>
      <c r="AC182" s="102" t="n">
        <f aca="false">AC114</f>
        <v>239.99</v>
      </c>
      <c r="AD182" s="102"/>
      <c r="AE182" s="22"/>
      <c r="AF182" s="102" t="n">
        <f aca="false">AF179+AB182+AC182+AB185</f>
        <v>21329.3175881638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2014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2024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2014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2014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0.041856</v>
      </c>
      <c r="B188" s="102" t="n">
        <f aca="false">(G158*B67)/1.2</f>
        <v>200.905449305556</v>
      </c>
      <c r="C188" s="92"/>
      <c r="D188" s="92"/>
      <c r="E188" s="102" t="n">
        <f aca="false">(E40*A108)*0.1*C45/100</f>
        <v>66.003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66.003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44.002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44.002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366.900115972222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3456.73022569444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1325.20119357639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1324.62073263889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909.475259321073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1558.90243744584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814.571216938372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654.219752593053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2790.596</v>
      </c>
      <c r="B201" s="185" t="n">
        <f aca="false">E179+A201+B182+A185</f>
        <v>27662.19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808.529494615191</v>
      </c>
      <c r="B212" s="176" t="n">
        <f aca="false">B167</f>
        <v>100.945764705882</v>
      </c>
      <c r="C212" s="173"/>
      <c r="D212" s="173"/>
      <c r="E212" s="176" t="n">
        <f aca="false">E167</f>
        <v>909.475259321073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24621.604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4872.39881691649</v>
      </c>
      <c r="B224" s="102" t="str">
        <f aca="false">B182</f>
        <v>239.99</v>
      </c>
      <c r="C224" s="102"/>
      <c r="D224" s="112"/>
      <c r="E224" s="102" t="n">
        <f aca="false">E182</f>
        <v>29743.9928169165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808.529494615191</v>
      </c>
      <c r="B230" s="102" t="n">
        <f aca="false">B167</f>
        <v>100.945764705882</v>
      </c>
      <c r="C230" s="185"/>
      <c r="D230" s="185"/>
      <c r="E230" s="102" t="n">
        <f aca="false">E167</f>
        <v>909.475259321073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2004</v>
      </c>
      <c r="B233" s="102" t="n">
        <f aca="false">E185</f>
        <v>2014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200.905449305556</v>
      </c>
      <c r="C240" s="92"/>
      <c r="D240" s="92"/>
      <c r="E240" s="102" t="n">
        <f aca="false">E188</f>
        <v>66.003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3911.57011597222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2091.80281691649</v>
      </c>
      <c r="C254" s="196"/>
      <c r="D254" s="197" t="s">
        <v>217</v>
      </c>
      <c r="E254" s="197"/>
      <c r="F254" s="199" t="n">
        <f aca="false">F261+F267+F269+B270+B271</f>
        <v>241.086539166667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760.021666666667</v>
      </c>
      <c r="C255" s="196"/>
      <c r="D255" s="197" t="s">
        <v>219</v>
      </c>
      <c r="E255" s="197"/>
      <c r="F255" s="199" t="n">
        <f aca="false">(B254-F254)+B255</f>
        <v>2610.73794441649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2091.80281691649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241.086539166667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660.03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2610.73794441649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0" colorId="64" zoomScale="85" zoomScaleNormal="85" zoomScalePageLayoutView="100" workbookViewId="0">
      <selection pane="topLeft" activeCell="A173" activeCellId="0" sqref="A17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5010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1833.65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503.363379398935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450.973379398935</v>
      </c>
      <c r="B36" s="231" t="n">
        <f aca="false">IF(B26="YES",K42,"0.00")</f>
        <v>52.39</v>
      </c>
      <c r="C36" s="231"/>
      <c r="D36" s="231"/>
      <c r="E36" s="231" t="n">
        <f aca="false">K31</f>
        <v>5010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27214.2966661248</v>
      </c>
      <c r="N39" s="1" t="n">
        <f aca="false">K39-L39</f>
        <v>-9434.29666612479</v>
      </c>
      <c r="P39" s="211"/>
    </row>
    <row r="40" customFormat="false" ht="19.5" hidden="false" customHeight="false" outlineLevel="0" collapsed="false">
      <c r="A40" s="312" t="n">
        <f aca="false">E36*A45/100</f>
        <v>5010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4175</v>
      </c>
      <c r="L40" s="2" t="n">
        <f aca="false">K39-L39</f>
        <v>-9434.29666612479</v>
      </c>
      <c r="N40" s="1" t="n">
        <f aca="false">N38-N39</f>
        <v>12345.9766661248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3437.14293416163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14342.8570658384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450.973379398935</v>
      </c>
      <c r="L47" s="2" t="n">
        <f aca="false">L49-K42</f>
        <v>747.61</v>
      </c>
      <c r="M47" s="1" t="n">
        <f aca="false">K47-L47</f>
        <v>-296.636620601065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503.363379398935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503.363379398935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5956.12063983687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33884.5201941958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6799.45675270815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819.482964967296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450.973379398935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450.973379398935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503.363379398935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503.363379398935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5010</v>
      </c>
      <c r="C82" s="92"/>
      <c r="D82" s="92"/>
      <c r="E82" s="112"/>
      <c r="F82" s="30" t="s">
        <v>107</v>
      </c>
      <c r="G82" s="32" t="n">
        <f aca="false">IF(A111="YES",A40,0)</f>
        <v>5010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5010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5010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3868.28195804386</v>
      </c>
      <c r="C86" s="92"/>
      <c r="D86" s="92"/>
      <c r="E86" s="112"/>
      <c r="F86" s="30" t="s">
        <v>111</v>
      </c>
      <c r="G86" s="32" t="n">
        <f aca="false">(G82/((1+G84)^(G85+1)))</f>
        <v>4146.91295006601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3426.10163437126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3426.10163437126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19153.3220419561</v>
      </c>
      <c r="C88" s="92"/>
      <c r="D88" s="92"/>
      <c r="E88" s="112"/>
      <c r="F88" s="30" t="s">
        <v>113</v>
      </c>
      <c r="G88" s="32" t="n">
        <f aca="false">G81-G86</f>
        <v>18874.691049934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18781.6633656287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13808.3983656287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639.417321141164</v>
      </c>
      <c r="C89" s="92"/>
      <c r="D89" s="92"/>
      <c r="E89" s="112"/>
      <c r="F89" s="30" t="s">
        <v>114</v>
      </c>
      <c r="G89" s="32" t="n">
        <f aca="false">(G88/G87)</f>
        <v>609.323026533208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664.221324460908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488.33974246853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21740.1889187996</v>
      </c>
      <c r="C90" s="92"/>
      <c r="D90" s="92"/>
      <c r="E90" s="112"/>
      <c r="F90" s="30" t="s">
        <v>115</v>
      </c>
      <c r="G90" s="32" t="n">
        <f aca="false">((G89*(G85))+G77)</f>
        <v>20716.9829021291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22583.5250316709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16603.55124393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21740.1889187996</v>
      </c>
      <c r="C92" s="92"/>
      <c r="D92" s="92"/>
      <c r="E92" s="112"/>
      <c r="F92" s="55" t="s">
        <v>117</v>
      </c>
      <c r="G92" s="64" t="n">
        <f aca="false">(G90+G91)</f>
        <v>20716.9829021291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22583.5250316709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16603.55124393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64.7170588235294</v>
      </c>
      <c r="C94" s="92"/>
      <c r="D94" s="92"/>
      <c r="E94" s="112"/>
      <c r="F94" s="87" t="s">
        <v>118</v>
      </c>
      <c r="G94" s="93" t="n">
        <f aca="false">IF(B26="YES",((E40/B85)*(1+A108)*(C45/100)),"0")</f>
        <v>64.7170588235294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639.417321141164</v>
      </c>
      <c r="C95" s="92"/>
      <c r="D95" s="92"/>
      <c r="E95" s="112"/>
      <c r="F95" s="94" t="s">
        <v>119</v>
      </c>
      <c r="G95" s="95" t="n">
        <f aca="false">G92/(G85)</f>
        <v>609.323026533208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664.221324460908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488.33974246853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704.134379964694</v>
      </c>
      <c r="C96" s="92"/>
      <c r="D96" s="92"/>
      <c r="E96" s="112"/>
      <c r="F96" s="96" t="s">
        <v>120</v>
      </c>
      <c r="G96" s="97" t="n">
        <f aca="false">G94+G95</f>
        <v>674.040085356738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728.938383284438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566.000213056765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639.417321141164</v>
      </c>
      <c r="B167" s="176" t="n">
        <f aca="false">B94</f>
        <v>64.7170588235294</v>
      </c>
      <c r="C167" s="173"/>
      <c r="D167" s="173"/>
      <c r="E167" s="176" t="n">
        <f aca="false">B96</f>
        <v>704.134379964694</v>
      </c>
      <c r="F167" s="22"/>
      <c r="G167" s="22" t="n">
        <f aca="false">ROUND(G95,2)</f>
        <v>609.32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664.221324460908</v>
      </c>
      <c r="T167" s="176" t="n">
        <f aca="false">T94</f>
        <v>64.7170588235294</v>
      </c>
      <c r="U167" s="173"/>
      <c r="V167" s="173"/>
      <c r="W167" s="176" t="n">
        <f aca="false">T96</f>
        <v>728.938383284438</v>
      </c>
      <c r="X167" s="22"/>
      <c r="Y167" s="22"/>
      <c r="Z167" s="32"/>
      <c r="AB167" s="175" t="n">
        <f aca="false">AC95</f>
        <v>488.33974246853</v>
      </c>
      <c r="AC167" s="176" t="n">
        <f aca="false">AC94</f>
        <v>77.6604705882353</v>
      </c>
      <c r="AD167" s="173"/>
      <c r="AE167" s="173"/>
      <c r="AF167" s="176" t="n">
        <f aca="false">AC96</f>
        <v>566.000213056765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5010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5010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5010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5010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7.35" hidden="false" customHeight="false" outlineLevel="0" collapsed="false">
      <c r="A173" s="184" t="n">
        <f aca="false">H141-H137-H139-H140-H142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3728.58491879959</v>
      </c>
      <c r="B182" s="102" t="str">
        <f aca="false">B114</f>
        <v>199.99</v>
      </c>
      <c r="C182" s="102"/>
      <c r="D182" s="22"/>
      <c r="E182" s="102" t="n">
        <f aca="false">E179+A182+(B182*1.2)+A185</f>
        <v>27000.1769187996</v>
      </c>
      <c r="F182" s="22"/>
      <c r="G182" s="22"/>
      <c r="H182" s="104"/>
      <c r="J182" s="110" t="n">
        <f aca="false">(J167*K59)+N185-N179-J185</f>
        <v>18159.5844731586</v>
      </c>
      <c r="K182" s="102" t="n">
        <f aca="false">K114</f>
        <v>239.99</v>
      </c>
      <c r="L182" s="102"/>
      <c r="M182" s="22"/>
      <c r="N182" s="102" t="n">
        <f aca="false">N179+J182+K182+J185</f>
        <v>54938.5784731586</v>
      </c>
      <c r="O182" s="22"/>
      <c r="P182" s="22"/>
      <c r="Q182" s="104"/>
      <c r="S182" s="110" t="n">
        <f aca="false">(S167*T59)+W185-W179-S185</f>
        <v>5385.76003167088</v>
      </c>
      <c r="T182" s="102" t="n">
        <f aca="false">T114</f>
        <v>199.99</v>
      </c>
      <c r="U182" s="102"/>
      <c r="V182" s="22"/>
      <c r="W182" s="102" t="n">
        <f aca="false">W179+S182+T182+S185</f>
        <v>27803.5150316709</v>
      </c>
      <c r="X182" s="22"/>
      <c r="Y182" s="22"/>
      <c r="Z182" s="104"/>
      <c r="AB182" s="110" t="n">
        <f aca="false">(AB167*AC59)+AF185-AF179-AB185</f>
        <v>4379.05124393002</v>
      </c>
      <c r="AC182" s="102" t="n">
        <f aca="false">AC114</f>
        <v>239.99</v>
      </c>
      <c r="AD182" s="102"/>
      <c r="AE182" s="22"/>
      <c r="AF182" s="102" t="n">
        <f aca="false">AF179+AB182+AC182+AB185</f>
        <v>21863.54124393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5020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5030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5020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5020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4.1856</v>
      </c>
      <c r="B188" s="102" t="n">
        <f aca="false">(G158*B67)/1.2</f>
        <v>187.84989375</v>
      </c>
      <c r="C188" s="92"/>
      <c r="D188" s="92"/>
      <c r="E188" s="102" t="n">
        <f aca="false">(E40*A108)*0.1*(C45/100)</f>
        <v>36.673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324.51289375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704.134379964694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728.938383284438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566.000213056765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2705.276</v>
      </c>
      <c r="B201" s="185" t="n">
        <f aca="false">E179+A201+(B182*1.2)+A185</f>
        <v>25976.868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639.417321141164</v>
      </c>
      <c r="B212" s="176" t="n">
        <f aca="false">B167</f>
        <v>64.7170588235294</v>
      </c>
      <c r="C212" s="173"/>
      <c r="D212" s="173"/>
      <c r="E212" s="176" t="n">
        <f aca="false">E167</f>
        <v>704.134379964694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3728.58491879959</v>
      </c>
      <c r="B224" s="102" t="str">
        <f aca="false">B182</f>
        <v>199.99</v>
      </c>
      <c r="C224" s="102"/>
      <c r="D224" s="112"/>
      <c r="E224" s="102" t="n">
        <f aca="false">E182</f>
        <v>27000.1769187996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639.417321141164</v>
      </c>
      <c r="B230" s="102" t="n">
        <f aca="false">B167</f>
        <v>64.7170588235294</v>
      </c>
      <c r="C230" s="185"/>
      <c r="D230" s="185"/>
      <c r="E230" s="102" t="n">
        <f aca="false">E167</f>
        <v>704.134379964694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5010</v>
      </c>
      <c r="B233" s="102" t="n">
        <f aca="false">E185</f>
        <v>5020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36.673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3869.18289375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1033.30891879959</v>
      </c>
      <c r="C254" s="196"/>
      <c r="D254" s="197" t="s">
        <v>217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466.72</v>
      </c>
      <c r="C255" s="196"/>
      <c r="D255" s="197" t="s">
        <v>219</v>
      </c>
      <c r="E255" s="197"/>
      <c r="F255" s="199" t="n">
        <f aca="false">(B254-F254)+B255</f>
        <v>1274.60904629959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1033.30891879959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366.73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1274.60904629959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25" colorId="64" zoomScale="85" zoomScaleNormal="85" zoomScalePageLayoutView="100" workbookViewId="0">
      <selection pane="topLeft" activeCell="B140" activeCellId="0" sqref="B14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16745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22000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8340</v>
      </c>
      <c r="I31" s="237" t="n">
        <f aca="false">IF(C107="YES",H31,0)</f>
        <v>8340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1131.9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356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I31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A40/1.2</f>
        <v>6950</v>
      </c>
      <c r="I40" s="237" t="n">
        <f aca="false">H39-I39</f>
        <v>-16255.4440684217</v>
      </c>
      <c r="J40" s="62" t="n">
        <v>8812.5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</v>
      </c>
      <c r="D64" s="290" t="n">
        <f aca="false">B64-A143</f>
        <v>1770.16</v>
      </c>
      <c r="E64" s="215"/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2480.16</v>
      </c>
      <c r="C81" s="214"/>
      <c r="D81" s="214"/>
      <c r="E81" s="215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112.734545454545</v>
      </c>
      <c r="C82" s="214"/>
      <c r="D82" s="214"/>
      <c r="E82" s="215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215"/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14861.0967424978</v>
      </c>
      <c r="C85" s="214"/>
      <c r="D85" s="214"/>
      <c r="E85" s="215"/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125.890694470534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14986.9874369684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61.74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681.226701680381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742.966701680381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18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681.226701680381</v>
      </c>
      <c r="B128" s="320" t="n">
        <f aca="false">IF(A105="YES",B89,0)</f>
        <v>61.74</v>
      </c>
      <c r="C128" s="324"/>
      <c r="D128" s="320" t="n">
        <f aca="false">B91</f>
        <v>742.966701680381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681.226701680381</v>
      </c>
      <c r="C131" s="316"/>
      <c r="D131" s="37" t="n">
        <f aca="false">IF(A105="YES",B89*B57,0)</f>
        <v>61.74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742.966701680381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681.226701680381</v>
      </c>
      <c r="B137" s="37" t="n">
        <f aca="false">IF(A105="YES",B89,0)</f>
        <v>61.74</v>
      </c>
      <c r="C137" s="316"/>
      <c r="D137" s="37" t="n">
        <f aca="false">B91</f>
        <v>742.966701680381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12.5568</v>
      </c>
      <c r="B140" s="342" t="n">
        <f aca="false">IF(A105="YES",G18*0.000002,0)*100</f>
        <v>4.1856</v>
      </c>
      <c r="C140" s="316"/>
      <c r="D140" s="342" t="n">
        <f aca="false">A140+B140</f>
        <v>16.7424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0</v>
      </c>
      <c r="C148" s="37"/>
      <c r="D148" s="37" t="n">
        <f aca="false">IF(A105="YES",(B40*B105)*B125,0)*0.1</f>
        <v>22.638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419.108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742.966701680381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681.226701680381</v>
      </c>
      <c r="B177" s="354" t="n">
        <f aca="false">IF(A105="YES",B89,0)</f>
        <v>61.74</v>
      </c>
      <c r="C177" s="356"/>
      <c r="D177" s="354" t="n">
        <f aca="false">B91</f>
        <v>742.966701680381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681.226701680381</v>
      </c>
      <c r="C180" s="352"/>
      <c r="D180" s="102" t="n">
        <f aca="false">IF(A105="YES",B89*B57,0)</f>
        <v>61.74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742.966701680381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681.226701680381</v>
      </c>
      <c r="B186" s="102" t="n">
        <f aca="false">IF(A105="YES",B89,0)</f>
        <v>61.74</v>
      </c>
      <c r="C186" s="352"/>
      <c r="D186" s="102" t="n">
        <f aca="false">B91</f>
        <v>742.966701680381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IF(A105="YES",G18*0.000002,0)*100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0</v>
      </c>
      <c r="C197" s="102"/>
      <c r="D197" s="102" t="n">
        <f aca="false">IF(A105="YES",(B40*B105)*B125,0)*0.1</f>
        <v>22.638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419.108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296.48</v>
      </c>
      <c r="C211" s="319" t="s">
        <v>218</v>
      </c>
      <c r="D211" s="369" t="n">
        <f aca="false">B225+E221+B221+B223</f>
        <v>326.37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1800.05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1770.16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296.48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1800.05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226.38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125.890694470534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16745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22000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8340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1131.9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356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H31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(A40)/1.2</f>
        <v>6950</v>
      </c>
      <c r="I40" s="237" t="n">
        <f aca="false">H39-I39</f>
        <v>-16255.4440684217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507" t="n">
        <v>100</v>
      </c>
      <c r="D45" s="507"/>
      <c r="E45" s="215"/>
      <c r="F45" s="62"/>
      <c r="G45" s="62" t="s">
        <v>374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</v>
      </c>
      <c r="D64" s="290" t="n">
        <f aca="false">B64-A143</f>
        <v>1770.16</v>
      </c>
      <c r="E64" s="462" t="n">
        <f aca="false">D64/(B58+B57)</f>
        <v>80.4618181818182</v>
      </c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462" t="n">
        <f aca="false">(D73+D76+D79+D80)/(B58+B57)</f>
        <v>32.2727272727273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3146.82666666667</v>
      </c>
      <c r="C81" s="214"/>
      <c r="D81" s="214"/>
      <c r="E81" s="462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143.037575757576</v>
      </c>
      <c r="C82" s="214"/>
      <c r="D82" s="214"/>
      <c r="E82" s="462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462" t="n">
        <f aca="false">B83+E80+E77+E64</f>
        <v>695.706417588286</v>
      </c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18633.3160909974</v>
      </c>
      <c r="C85" s="214"/>
      <c r="D85" s="214"/>
      <c r="E85" s="462" t="n">
        <f aca="false">B85/(B58+B57)</f>
        <v>846.968913227155</v>
      </c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131.538132953794</v>
      </c>
      <c r="C86" s="214"/>
      <c r="D86" s="214"/>
      <c r="E86" s="462" t="n">
        <f aca="false">B86/(B58+B57)</f>
        <v>5.97900604335426</v>
      </c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18764.8542239512</v>
      </c>
      <c r="C87" s="214"/>
      <c r="D87" s="214"/>
      <c r="E87" s="462" t="n">
        <f aca="false">E86+E85</f>
        <v>852.947919270509</v>
      </c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80.262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852.947919270509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933.209919270509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852.947919270509</v>
      </c>
      <c r="B128" s="320" t="n">
        <f aca="false">IF(A105="YES",B89,0)</f>
        <v>80.262</v>
      </c>
      <c r="C128" s="324"/>
      <c r="D128" s="320" t="n">
        <f aca="false">B91</f>
        <v>933.209919270509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852.947919270509</v>
      </c>
      <c r="C131" s="316"/>
      <c r="D131" s="37" t="n">
        <f aca="false">IF(A105="YES",B89*B57,0)</f>
        <v>80.262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933.209919270509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852.947919270509</v>
      </c>
      <c r="B137" s="37" t="n">
        <f aca="false">IF(A105="YES",B89,0)</f>
        <v>80.262</v>
      </c>
      <c r="C137" s="316"/>
      <c r="D137" s="37" t="n">
        <f aca="false">B91</f>
        <v>933.209919270509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IF(A105="YES",G18*0.000002,0)*1.2*100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400</v>
      </c>
      <c r="C148" s="37"/>
      <c r="D148" s="37" t="n">
        <f aca="false">IF(A105="YES",(B40*B105)*B125,0)*0.1</f>
        <v>33.957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830.428666666667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933.209919270509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852.947919270509</v>
      </c>
      <c r="B177" s="354" t="n">
        <f aca="false">IF(A105="YES",B89,0)</f>
        <v>80.262</v>
      </c>
      <c r="C177" s="356"/>
      <c r="D177" s="354" t="n">
        <f aca="false">B91</f>
        <v>933.209919270509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852.947919270509</v>
      </c>
      <c r="C180" s="352"/>
      <c r="D180" s="102" t="n">
        <f aca="false">IF(A105="YES",B89*B57,0)</f>
        <v>80.262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933.209919270509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852.947919270509</v>
      </c>
      <c r="B186" s="102" t="n">
        <f aca="false">IF(A105="YES",B89,0)</f>
        <v>80.262</v>
      </c>
      <c r="C186" s="352"/>
      <c r="D186" s="102" t="n">
        <f aca="false">B91</f>
        <v>933.209919270509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IF(A105="YES",G18*0.000002,0)*1.2*100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400</v>
      </c>
      <c r="C197" s="102"/>
      <c r="D197" s="102" t="n">
        <f aca="false">IF(A105="YES",(B40*B105)*B125,0)*0.1</f>
        <v>33.957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830.428666666667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296.48</v>
      </c>
      <c r="C211" s="319" t="s">
        <v>218</v>
      </c>
      <c r="D211" s="369" t="n">
        <f aca="false">B225+E221+B221+B223</f>
        <v>679.561666666667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2153.24166666667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1770.16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296.48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2153.24166666667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339.57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131.538132953794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27383.33</v>
      </c>
      <c r="C3" s="495" t="n">
        <v>0.0</v>
      </c>
      <c r="D3" s="262" t="n">
        <v>958.33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11.0</v>
      </c>
      <c r="C4" s="0" t="n">
        <v>0.0</v>
      </c>
      <c r="D4" s="0" t="n">
        <v>11.0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32.0</v>
      </c>
      <c r="C5" s="495" t="n">
        <v>0.0</v>
      </c>
      <c r="D5" s="495" t="n">
        <v>120.0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-222.667836537637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47687.5</v>
      </c>
      <c r="F9" s="62"/>
      <c r="G9" s="450" t="n">
        <f aca="false">E9-G11</f>
        <v>-104329.166666667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110.0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9647.5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180.0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58535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24.0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100.0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58415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387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18075.0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0.0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1439.67436438916</v>
      </c>
      <c r="E33" s="215"/>
      <c r="F33" s="62"/>
      <c r="G33" s="218" t="s">
        <v>356</v>
      </c>
      <c r="H33" s="456" t="n">
        <f aca="false">E21-E11+((E16*20%)+(E19*20%)+(E20*20%))</f>
        <v>48787.5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1263.62436438916</v>
      </c>
      <c r="B36" s="102" t="n">
        <f aca="false">IF(B26="YES",H42,"")</f>
        <v>176.05</v>
      </c>
      <c r="C36" s="220"/>
      <c r="D36" s="183" t="n">
        <f aca="false">H31</f>
        <v>13150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48787.5</v>
      </c>
      <c r="I39" s="237" t="n">
        <f aca="false">(I48*H46)+H44</f>
        <v>47534.7666501723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13150</v>
      </c>
      <c r="B40" s="106" t="n">
        <f aca="false">IF(B26="YES",H42,"0")</f>
        <v>176.05</v>
      </c>
      <c r="C40" s="106"/>
      <c r="D40" s="183" t="n">
        <f aca="false">I32</f>
        <v>6161.75</v>
      </c>
      <c r="E40" s="215"/>
      <c r="F40" s="62"/>
      <c r="G40" s="62" t="s">
        <v>107</v>
      </c>
      <c r="H40" s="237" t="n">
        <f aca="false">A40/1.2</f>
        <v>10958.3333333333</v>
      </c>
      <c r="I40" s="237" t="n">
        <f aca="false">H39-I39</f>
        <v>1252.73334982772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176.05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8888.07357446331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39899.4264255367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31.5753854942677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1263.62436438916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1439.67436438916</v>
      </c>
      <c r="I48" s="237" t="n">
        <f aca="false">I49-H42</f>
        <v>1223.95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1439.67436438916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5993.509375</v>
      </c>
      <c r="I64" s="214"/>
      <c r="J64" s="290" t="n">
        <f aca="false">H64-G145</f>
        <v>5993.509375</v>
      </c>
      <c r="K64" s="215"/>
      <c r="L64" s="62"/>
      <c r="M64" s="284" t="s">
        <v>91</v>
      </c>
      <c r="N64" s="132" t="n">
        <f aca="false">N61*N63</f>
        <v>5993.509375</v>
      </c>
      <c r="O64" s="214"/>
      <c r="P64" s="290" t="n">
        <f aca="false">N64-M145</f>
        <v>5993.509375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1133.58125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944.651041666667</v>
      </c>
      <c r="I67" s="214"/>
      <c r="J67" s="290"/>
      <c r="K67" s="215"/>
      <c r="L67" s="62"/>
      <c r="M67" s="284" t="s">
        <v>94</v>
      </c>
      <c r="N67" s="132" t="n">
        <f aca="false">(N61*N66)/1.2</f>
        <v>944.651041666667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1040</v>
      </c>
      <c r="C76" s="214"/>
      <c r="D76" s="290" t="n">
        <f aca="false">B76</f>
        <v>1040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51.8571428571429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12481.6666666667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7041.009375</v>
      </c>
      <c r="I81" s="214"/>
      <c r="J81" s="214"/>
      <c r="K81" s="215"/>
      <c r="L81" s="62"/>
      <c r="M81" s="302" t="s">
        <v>103</v>
      </c>
      <c r="N81" s="303" t="n">
        <f aca="false">SUM(P64:P80)</f>
        <v>6711.009375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356.619047619048</v>
      </c>
      <c r="C82" s="469"/>
      <c r="D82" s="214"/>
      <c r="E82" s="462"/>
      <c r="F82" s="62"/>
      <c r="G82" s="213" t="s">
        <v>104</v>
      </c>
      <c r="H82" s="299" t="n">
        <f aca="false">H81/H29</f>
        <v>201.171696428571</v>
      </c>
      <c r="I82" s="214"/>
      <c r="J82" s="214"/>
      <c r="K82" s="215"/>
      <c r="L82" s="62"/>
      <c r="M82" s="213" t="s">
        <v>104</v>
      </c>
      <c r="N82" s="299" t="n">
        <f aca="false">N81/H29</f>
        <v>191.743125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1263.62436438916</v>
      </c>
      <c r="C83" s="469"/>
      <c r="D83" s="214"/>
      <c r="E83" s="462" t="n">
        <f aca="false">B83+E80+E77+E64</f>
        <v>1613.894205659</v>
      </c>
      <c r="F83" s="62"/>
      <c r="G83" s="304" t="s">
        <v>105</v>
      </c>
      <c r="H83" s="305" t="n">
        <f aca="false">H47</f>
        <v>1263.62436438916</v>
      </c>
      <c r="I83" s="214"/>
      <c r="J83" s="214"/>
      <c r="K83" s="215"/>
      <c r="L83" s="62"/>
      <c r="M83" s="304" t="s">
        <v>105</v>
      </c>
      <c r="N83" s="305" t="n">
        <f aca="false">H47</f>
        <v>1263.62436438916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56708.5194202872</v>
      </c>
      <c r="C85" s="469"/>
      <c r="D85" s="469"/>
      <c r="E85" s="462" t="n">
        <f aca="false">B85/(B58+B57)</f>
        <v>1620.24341200821</v>
      </c>
      <c r="F85" s="62"/>
      <c r="G85" s="287" t="s">
        <v>115</v>
      </c>
      <c r="H85" s="130" t="n">
        <f aca="false">((H83*H29)+H81)*1.2</f>
        <v>61521.4345543446</v>
      </c>
      <c r="I85" s="214"/>
      <c r="J85" s="214"/>
      <c r="K85" s="215"/>
      <c r="L85" s="62"/>
      <c r="M85" s="287" t="s">
        <v>115</v>
      </c>
      <c r="N85" s="130" t="n">
        <f aca="false">((N83*H29)+N81)</f>
        <v>50937.8621286205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480.386812354188</v>
      </c>
      <c r="C86" s="469" t="s">
        <v>231</v>
      </c>
      <c r="D86" s="214"/>
      <c r="E86" s="462" t="n">
        <f aca="false">B86/(B58+B57)</f>
        <v>13.7253374958339</v>
      </c>
      <c r="F86" s="62"/>
      <c r="G86" s="213" t="s">
        <v>116</v>
      </c>
      <c r="H86" s="299" t="n">
        <f aca="false">((((H83*H29)+H81))/(1-H70))*H70</f>
        <v>434.298146309412</v>
      </c>
      <c r="I86" s="214"/>
      <c r="J86" s="214"/>
      <c r="K86" s="215"/>
      <c r="L86" s="62"/>
      <c r="M86" s="213" t="s">
        <v>116</v>
      </c>
      <c r="N86" s="299" t="n">
        <f aca="false">(N85/(1-N70))*N70</f>
        <v>431.502664260198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57188.9062326414</v>
      </c>
      <c r="C87" s="469"/>
      <c r="D87" s="471"/>
      <c r="E87" s="462" t="n">
        <f aca="false">E86+E85</f>
        <v>1633.96874950404</v>
      </c>
      <c r="F87" s="62"/>
      <c r="G87" s="284" t="s">
        <v>117</v>
      </c>
      <c r="H87" s="132" t="n">
        <f aca="false">IF(H110="YES",((H85+H86)-K114),(H85+H86))</f>
        <v>61955.7327006541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51369.3647928807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217.473529411765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221.823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184.8525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1667.32077154828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1548.89331751635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1284.23411982202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1884.79430096004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1770.71631751635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1469.08661982202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387</v>
      </c>
      <c r="B105" s="313" t="n">
        <v>0.0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387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6000.0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1548.89331751635</v>
      </c>
      <c r="H127" s="176" t="n">
        <f aca="false">IF(G105="YES",H89*H57,0)</f>
        <v>1330.938</v>
      </c>
      <c r="I127" s="176"/>
      <c r="J127" s="333" t="n">
        <f aca="false">H91</f>
        <v>1770.71631751635</v>
      </c>
      <c r="K127" s="215"/>
      <c r="L127" s="62"/>
      <c r="M127" s="332" t="n">
        <f aca="false">N90</f>
        <v>1284.23411982202</v>
      </c>
      <c r="N127" s="176" t="n">
        <f aca="false">IF(M105="YES",N89*N57,0)</f>
        <v>1109.115</v>
      </c>
      <c r="O127" s="176"/>
      <c r="P127" s="176" t="n">
        <f aca="false">N91</f>
        <v>1469.08661982202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1667.32077154828</v>
      </c>
      <c r="B128" s="320" t="n">
        <f aca="false">IF(A105="YES",B89,0)</f>
        <v>217.473529411765</v>
      </c>
      <c r="C128" s="324"/>
      <c r="D128" s="320" t="n">
        <f aca="false">B91</f>
        <v>1884.79430096004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Spread rentals initial payment</v>
      </c>
      <c r="B131" s="37" t="n">
        <f aca="false">B90*B57</f>
        <v>1667.32077154828</v>
      </c>
      <c r="C131" s="316"/>
      <c r="D131" s="37" t="n">
        <f aca="false">IF(A105="YES",B89*B57,0)</f>
        <v>217.473529411765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9293.35990509811</v>
      </c>
      <c r="H133" s="102" t="n">
        <f aca="false">IF(G105="YES",H89*H57,0)</f>
        <v>1330.938</v>
      </c>
      <c r="I133" s="220"/>
      <c r="J133" s="183" t="n">
        <f aca="false">H91*H57</f>
        <v>10624.2979050981</v>
      </c>
      <c r="K133" s="215"/>
      <c r="L133" s="62"/>
      <c r="M133" s="184" t="n">
        <f aca="false">N90*N57</f>
        <v>7705.40471893211</v>
      </c>
      <c r="N133" s="102" t="n">
        <f aca="false">IF(M105="YES",N89*N57,0)</f>
        <v>1109.115</v>
      </c>
      <c r="O133" s="220"/>
      <c r="P133" s="183" t="n">
        <f aca="false">N91*N57</f>
        <v>8814.51971893211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1884.79430096004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110" t="n">
        <f aca="false">E15*0.000006</f>
        <v>0.35121</v>
      </c>
      <c r="N136" s="102" t="n">
        <f aca="false">IF(M105="YES",E15*0.000002,0)</f>
        <v>0.11707</v>
      </c>
      <c r="O136" s="102"/>
      <c r="P136" s="102" t="n">
        <f aca="false">M136+N136</f>
        <v>0.46828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1667.32077154828</v>
      </c>
      <c r="B137" s="37" t="n">
        <f aca="false">IF(A105="YES",B89,0)</f>
        <v>217.473529411765</v>
      </c>
      <c r="C137" s="316"/>
      <c r="D137" s="37" t="n">
        <f aca="false">B91</f>
        <v>1884.79430096004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944.651041666667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944.651041666667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IF(A105="YES",G18*0.000002,0)*100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123.235</v>
      </c>
      <c r="H142" s="102" t="n">
        <f aca="false">G102-100</f>
        <v>99.99</v>
      </c>
      <c r="I142" s="102"/>
      <c r="J142" s="102" t="n">
        <f aca="false">(H139+J139+G142+H142)-H145</f>
        <v>1167.87604166667</v>
      </c>
      <c r="K142" s="104"/>
      <c r="L142" s="62"/>
      <c r="M142" s="110" t="n">
        <f aca="false">IF(M105="YES",((B36*N105)*0.1)*(M130),0)</f>
        <v>123.235</v>
      </c>
      <c r="N142" s="102" t="n">
        <f aca="false">M102-100</f>
        <v>99.99</v>
      </c>
      <c r="O142" s="102"/>
      <c r="P142" s="102" t="n">
        <f aca="false">(N139+P139+M142+N142)-N145</f>
        <v>1167.87604166667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1133.58125</v>
      </c>
      <c r="B148" s="102" t="n">
        <f aca="false">B102</f>
        <v>400</v>
      </c>
      <c r="C148" s="37"/>
      <c r="D148" s="37" t="n">
        <f aca="false">IF(A105="YES",(B40*B105)*B125,0)*0.1</f>
        <v>123.235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1756.80625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1770.71631751635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1469.08661982202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1884.79430096004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1667.32077154828</v>
      </c>
      <c r="B177" s="354" t="n">
        <f aca="false">IF(A105="YES",B89,0)</f>
        <v>217.473529411765</v>
      </c>
      <c r="C177" s="356"/>
      <c r="D177" s="354" t="n">
        <f aca="false">B91</f>
        <v>1884.79430096004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Spread rentals initial payment</v>
      </c>
      <c r="B180" s="102" t="n">
        <f aca="false">B90*B57</f>
        <v>1667.32077154828</v>
      </c>
      <c r="C180" s="352"/>
      <c r="D180" s="102" t="n">
        <f aca="false">IF(A105="YES",B89*B57,0)</f>
        <v>217.473529411765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1884.79430096004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1667.32077154828</v>
      </c>
      <c r="B186" s="102" t="n">
        <f aca="false">IF(A105="YES",B89,0)</f>
        <v>217.473529411765</v>
      </c>
      <c r="C186" s="352"/>
      <c r="D186" s="102" t="n">
        <f aca="false">B91</f>
        <v>1884.79430096004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IF(A105="YES",G18*0.000002,0)*100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1133.58125</v>
      </c>
      <c r="B197" s="102" t="n">
        <f aca="false">B102</f>
        <v>400</v>
      </c>
      <c r="C197" s="102"/>
      <c r="D197" s="102" t="n">
        <f aca="false">IF(A105="YES",(B40*B105)*B125,0)*0.1</f>
        <v>123.235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1756.80625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1133.58125</v>
      </c>
      <c r="C211" s="319" t="s">
        <v>218</v>
      </c>
      <c r="D211" s="369" t="n">
        <f aca="false">B225+E221+B221+B223</f>
        <v>1572.34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10438.75875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1133.58125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10438.75875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1232.35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480.386812354188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386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1464.96</v>
      </c>
      <c r="C64" s="214" t="n">
        <v>10000</v>
      </c>
      <c r="D64" s="290" t="n">
        <f aca="false">B64</f>
        <v>1464.96</v>
      </c>
      <c r="E64" s="215"/>
      <c r="F64" s="62"/>
      <c r="G64" s="284" t="s">
        <v>91</v>
      </c>
      <c r="H64" s="132" t="n">
        <f aca="false">H61*H63</f>
        <v>1464.96</v>
      </c>
      <c r="I64" s="214"/>
      <c r="J64" s="290" t="n">
        <f aca="false">H64</f>
        <v>1464.96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209.28</v>
      </c>
      <c r="C67" s="214"/>
      <c r="D67" s="290"/>
      <c r="E67" s="215"/>
      <c r="F67" s="62"/>
      <c r="G67" s="284" t="s">
        <v>94</v>
      </c>
      <c r="H67" s="132" t="n">
        <f aca="false">H61*H66</f>
        <v>104.64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2791.62666666667</v>
      </c>
      <c r="C81" s="214"/>
      <c r="D81" s="214"/>
      <c r="E81" s="215"/>
      <c r="F81" s="62"/>
      <c r="G81" s="302" t="s">
        <v>103</v>
      </c>
      <c r="H81" s="303" t="n">
        <f aca="false">SUM(J64:J80)</f>
        <v>3091.46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232.635555555556</v>
      </c>
      <c r="C82" s="214"/>
      <c r="D82" s="214"/>
      <c r="E82" s="215"/>
      <c r="F82" s="62"/>
      <c r="G82" s="213" t="s">
        <v>104</v>
      </c>
      <c r="H82" s="299" t="n">
        <f aca="false">H81/H29</f>
        <v>257.621666666667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10564.352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10924.152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74.5769100443727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77.1168455022186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10638.9289100444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10901.2788455022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886.577409170364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908.439903791851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886.577409170364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908.439903791851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IF(A105="YES",B89,0)</f>
        <v>0</v>
      </c>
      <c r="C128" s="325"/>
      <c r="D128" s="320" t="n">
        <f aca="false">B91</f>
        <v>886.577409170364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908.439903791851</v>
      </c>
      <c r="H130" s="176" t="n">
        <f aca="false">IF(G105="YES",H89*H57,0)</f>
        <v>0</v>
      </c>
      <c r="I130" s="176"/>
      <c r="J130" s="333" t="n">
        <f aca="false">H91</f>
        <v>908.439903791851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886.577409170364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908.439903791851</v>
      </c>
      <c r="H133" s="102" t="n">
        <f aca="false">IF(G105="YES",H89*H57,0)</f>
        <v>0</v>
      </c>
      <c r="I133" s="220"/>
      <c r="J133" s="183" t="n">
        <f aca="false">H91*H57</f>
        <v>908.439903791851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886.577409170364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886.577409170364</v>
      </c>
      <c r="B137" s="37" t="n">
        <f aca="false">IF(A105="YES",B89,0)</f>
        <v>0</v>
      </c>
      <c r="C137" s="316"/>
      <c r="D137" s="37" t="n">
        <f aca="false">B91</f>
        <v>886.577409170364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104.64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1324.628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209.28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709.27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908.439903791851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886.577409170364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IF(A105="YES",B89,0)</f>
        <v>0</v>
      </c>
      <c r="C171" s="357"/>
      <c r="D171" s="354" t="n">
        <f aca="false">B91</f>
        <v>886.577409170364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886.577409170364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886.577409170364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886.577409170364</v>
      </c>
      <c r="B180" s="102" t="n">
        <f aca="false">IF(A105="YES",B89,0)</f>
        <v>0</v>
      </c>
      <c r="C180" s="352"/>
      <c r="D180" s="102" t="n">
        <f aca="false">B91</f>
        <v>886.577409170364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G18*0.000002*1.2*100</f>
        <v>5.02272</v>
      </c>
      <c r="C183" s="352"/>
      <c r="D183" s="364" t="n">
        <f aca="false">A183+B183</f>
        <v>20.09088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209.28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709.27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1464.96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209.28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1595.67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1464.96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209.28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1595.67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74.5769100443727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4" activeCellId="0" sqref="B18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58535</v>
      </c>
      <c r="F15" s="62"/>
      <c r="G15" s="273" t="n">
        <f aca="false">E15</f>
        <v>58535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45395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4051.95</v>
      </c>
      <c r="C64" s="214" t="n">
        <v>10000</v>
      </c>
      <c r="D64" s="290" t="n">
        <f aca="false">B64</f>
        <v>4051.95</v>
      </c>
      <c r="E64" s="215"/>
      <c r="F64" s="62"/>
      <c r="G64" s="284" t="s">
        <v>91</v>
      </c>
      <c r="H64" s="132" t="n">
        <f aca="false">H61*H63</f>
        <v>4051.95</v>
      </c>
      <c r="I64" s="214"/>
      <c r="J64" s="290" t="n">
        <f aca="false">H64</f>
        <v>4051.95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578.85</v>
      </c>
      <c r="C67" s="214"/>
      <c r="D67" s="290"/>
      <c r="E67" s="215"/>
      <c r="F67" s="62"/>
      <c r="G67" s="284" t="s">
        <v>94</v>
      </c>
      <c r="H67" s="132" t="n">
        <f aca="false">H61*H66</f>
        <v>289.425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5378.61666666667</v>
      </c>
      <c r="C81" s="214"/>
      <c r="D81" s="214"/>
      <c r="E81" s="215"/>
      <c r="F81" s="62"/>
      <c r="G81" s="302" t="s">
        <v>103</v>
      </c>
      <c r="H81" s="303" t="n">
        <f aca="false">SUM(J64:J80)</f>
        <v>5705.53333333333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448.218055555556</v>
      </c>
      <c r="C82" s="214"/>
      <c r="D82" s="214"/>
      <c r="E82" s="215"/>
      <c r="F82" s="62"/>
      <c r="G82" s="213" t="s">
        <v>104</v>
      </c>
      <c r="H82" s="299" t="n">
        <f aca="false">H81/H29</f>
        <v>475.461111111111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11390.6166666667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14061.04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96.4917103670835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99.2610730133118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11487.1083770338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14060.3110730133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957.259031419479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1171.69258941778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957.259031419479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1171.69258941778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IF(A105="YES",B89,0)</f>
        <v>0</v>
      </c>
      <c r="C128" s="325"/>
      <c r="D128" s="320" t="n">
        <f aca="false">B91</f>
        <v>957.259031419479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1171.69258941778</v>
      </c>
      <c r="H130" s="176" t="n">
        <f aca="false">IF(G105="YES",H89*H57,0)</f>
        <v>0</v>
      </c>
      <c r="I130" s="176"/>
      <c r="J130" s="333" t="n">
        <f aca="false">H91</f>
        <v>1171.69258941778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8615.33128277531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1171.69258941778</v>
      </c>
      <c r="H133" s="102" t="n">
        <f aca="false">IF(G105="YES",H89*H57,0)</f>
        <v>0</v>
      </c>
      <c r="I133" s="220"/>
      <c r="J133" s="183" t="n">
        <f aca="false">H91*H57</f>
        <v>1171.69258941778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8615.33128277531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957.259031419479</v>
      </c>
      <c r="B137" s="37" t="n">
        <f aca="false">IF(A105="YES",B89,0)</f>
        <v>0</v>
      </c>
      <c r="C137" s="316"/>
      <c r="D137" s="37" t="n">
        <f aca="false">B91</f>
        <v>957.259031419479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289.425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G18*0.000002*100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1509.413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578.85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1078.84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1171.69258941778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957.259031419479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IF(A105="YES",B89,0)</f>
        <v>0</v>
      </c>
      <c r="C171" s="357"/>
      <c r="D171" s="354" t="n">
        <f aca="false">B91</f>
        <v>957.259031419479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8615.33128277531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8615.33128277531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957.259031419479</v>
      </c>
      <c r="B180" s="102" t="n">
        <f aca="false">IF(A105="YES",B89,0)</f>
        <v>0</v>
      </c>
      <c r="C180" s="352"/>
      <c r="D180" s="102" t="n">
        <f aca="false">B91</f>
        <v>957.259031419479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34.731</v>
      </c>
      <c r="B183" s="364" t="n">
        <f aca="false">G18*0.000002*100</f>
        <v>11.577</v>
      </c>
      <c r="C183" s="352"/>
      <c r="D183" s="364" t="n">
        <f aca="false">A183+B183</f>
        <v>46.308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578.85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1078.84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4051.95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578.85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3813.09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4051.95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578.85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3813.09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96.4917103670835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2024-04-12T19:42:16Z</dcterms:modified>
  <cp:revision>935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