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<sst xmlns="http://schemas.openxmlformats.org/spreadsheetml/2006/main" count="31943" uniqueCount="401">
  <si>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</si>
  <si>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</si>
  <si>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</si>
  <si>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</si>
  <si>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</si>
  <si>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</si>
  <si>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</si>
  <si>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</si>
  <si>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</si>
  <si>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</si>
  <si>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</si>
  <si>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</si>
  <si>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</si>
  <si>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</si>
  <si>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</si>
  <si>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</si>
  <si>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</si>
  <si>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</si>
  <si>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</si>
  <si>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</si>
  <si>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</si>
  <si>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</si>
  <si>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</si>
  <si>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</si>
  <si>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</si>
  <si>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</si>
  <si>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</si>
  <si>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</si>
  <si>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</si>
  <si>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</si>
  <si>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</si>
  <si>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</si>
  <si>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</si>
  <si>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</si>
  <si>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</si>
  <si>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</si>
  <si>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</si>
  <si>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</si>
  <si>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</si>
  <si>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</si>
  <si>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</si>
  <si>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</si>
  <si>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</si>
  <si>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</si>
  <si>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</si>
  <si>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</si>
  <si>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</si>
  <si>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</si>
  <si>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</si>
  <si>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</si>
  <si>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</si>
  <si>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</si>
  <si>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</si>
  <si>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</si>
  <si>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</si>
  <si>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</si>
  <si>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</si>
  <si>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</si>
  <si>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</si>
  <si>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</si>
  <si>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</si>
  <si>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</si>
  <si>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</si>
  <si>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</si>
  <si>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</si>
  <si>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</si>
  <si>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</si>
  <si>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</si>
  <si>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</si>
  <si>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</si>
  <si>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</si>
  <si>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</si>
  <si>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</si>
  <si>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</si>
  <si>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</si>
  <si>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</si>
  <si>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</si>
  <si>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</si>
  <si>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</si>
  <si>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</si>
  <si>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</si>
  <si>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</si>
  <si>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</si>
  <si>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</si>
  <si>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</si>
  <si>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</si>
  <si>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</si>
  <si>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</si>
  <si>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</si>
  <si>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</si>
  <si>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</si>
  <si>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</si>
  <si>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</si>
  <si>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</si>
  <si>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</si>
  <si>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</si>
  <si>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</si>
  <si>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</si>
  <si>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</si>
  <si>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</si>
  <si>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</si>
  <si>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</si>
  <si>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</si>
  <si>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</si>
  <si>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</si>
  <si>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</si>
  <si>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</si>
  <si>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</si>
  <si>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</si>
  <si>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</si>
  <si>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</si>
  <si>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</si>
  <si>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</si>
  <si>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</si>
  <si>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</si>
  <si>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</si>
  <si>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</si>
  <si>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</si>
  <si>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</si>
  <si>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</si>
  <si>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</si>
  <si>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</si>
  <si>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</si>
  <si>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</si>
  <si>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</si>
  <si>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</si>
  <si>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</si>
  <si>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</si>
  <si>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</si>
  <si>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</si>
  <si>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</si>
  <si>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</si>
  <si>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</si>
  <si>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</si>
  <si>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</si>
  <si>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</si>
  <si>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</si>
  <si>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</si>
  <si>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</si>
  <si>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</si>
  <si>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</si>
  <si>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</si>
  <si>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</si>
  <si>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</si>
  <si>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</si>
  <si>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</si>
  <si>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</si>
  <si>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</si>
  <si>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</si>
  <si>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</si>
  <si>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</si>
  <si>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</si>
  <si>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</si>
  <si>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</si>
  <si>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</si>
  <si>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</si>
  <si>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</si>
  <si>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</si>
  <si>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</si>
  <si>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</si>
  <si>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</si>
  <si>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</si>
  <si>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</si>
  <si>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</si>
  <si>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</si>
  <si>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</si>
  <si>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</si>
  <si>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</si>
  <si>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</si>
  <si>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</si>
  <si>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</si>
  <si>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</si>
  <si>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</si>
  <si>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</si>
  <si>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</si>
  <si>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</si>
  <si>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</si>
  <si>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</si>
  <si>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</si>
  <si>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</si>
  <si>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</si>
  <si>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</si>
  <si>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</si>
  <si>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</si>
  <si>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</si>
  <si>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</si>
  <si>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</si>
  <si>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</si>
  <si>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</si>
  <si>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</si>
  <si>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</si>
  <si>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</si>
  <si>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</si>
  <si>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</si>
  <si>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</si>
  <si>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</si>
  <si>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</si>
  <si>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</si>
  <si>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</si>
  <si>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</si>
  <si>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</si>
  <si>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</si>
  <si>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</si>
  <si>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</si>
  <si>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</si>
  <si>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</si>
  <si>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</si>
  <si>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</si>
  <si>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</si>
  <si>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</si>
  <si>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</si>
  <si>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</si>
  <si>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</si>
  <si>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</si>
  <si>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</si>
  <si>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</si>
  <si>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</si>
  <si>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</si>
  <si>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</si>
  <si>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</si>
  <si>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</si>
  <si>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</si>
  <si>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</si>
  <si>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</si>
  <si>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</si>
  <si>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</si>
  <si>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</si>
  <si>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</si>
  <si>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</si>
  <si>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</si>
  <si>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</si>
  <si>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</si>
  <si>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</si>
  <si>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</si>
  <si>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</si>
  <si>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</si>
  <si>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</si>
  <si>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</si>
  <si>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</si>
  <si>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</si>
  <si>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</si>
  <si>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</si>
  <si>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</si>
  <si>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</si>
  <si>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</si>
  <si>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</si>
  <si>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</si>
  <si>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</si>
  <si>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</si>
  <si>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</si>
  <si>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</si>
  <si>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</si>
  <si>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</si>
  <si>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</si>
  <si>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</si>
  <si>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</si>
  <si>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</si>
  <si>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</si>
  <si>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</si>
  <si>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</si>
  <si>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</si>
  <si>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</si>
  <si>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</si>
  <si>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</si>
  <si>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</si>
  <si>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</si>
  <si>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</si>
  <si>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</si>
  <si>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</si>
  <si>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</si>
  <si>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</si>
  <si>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</si>
  <si>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</si>
  <si>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</si>
  <si>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</si>
  <si>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</si>
  <si>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</si>
  <si>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</si>
  <si>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</si>
  <si>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</si>
  <si>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</si>
  <si>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</si>
  <si>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</si>
  <si>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</si>
  <si>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</si>
  <si>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</si>
  <si>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</si>
  <si>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</si>
  <si>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</si>
  <si>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</si>
  <si>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</si>
  <si>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</si>
  <si>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</si>
  <si>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</si>
  <si>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</si>
  <si>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</si>
  <si>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</si>
  <si>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</si>
  <si>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</si>
  <si>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</si>
  <si>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</si>
  <si>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</si>
  <si>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</si>
  <si>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</si>
  <si>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</si>
  <si>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</si>
  <si>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</si>
  <si>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</si>
  <si>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</si>
  <si>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</si>
  <si>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</si>
  <si>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</si>
  <si>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</si>
  <si>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</si>
  <si>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</si>
  <si>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</si>
  <si>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</si>
  <si>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</si>
  <si>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</si>
  <si>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</si>
  <si>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</si>
  <si>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</si>
  <si>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</si>
  <si>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</si>
  <si>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</si>
  <si>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</si>
  <si>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</si>
  <si>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</si>
  <si>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</si>
  <si>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</si>
  <si>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</si>
  <si>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</si>
  <si>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</si>
  <si>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</si>
  <si>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</si>
  <si>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</si>
  <si>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</si>
  <si>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</si>
  <si>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</si>
  <si>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</si>
  <si>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</si>
  <si>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</si>
  <si>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</si>
  <si>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</si>
  <si>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</si>
  <si>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</si>
  <si>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</si>
  <si>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</si>
  <si>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</si>
  <si>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</si>
  <si>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</si>
  <si>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</si>
  <si>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</si>
  <si>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</si>
  <si>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</si>
  <si>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</si>
  <si>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</si>
  <si>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</si>
  <si>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</si>
  <si>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</si>
  <si>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</si>
  <si>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</si>
  <si>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</si>
  <si>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</si>
  <si>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</si>
  <si>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</si>
  <si>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</si>
  <si>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</si>
  <si>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</si>
  <si>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</si>
  <si>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</si>
  <si>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</si>
  <si>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</si>
  <si>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</si>
  <si>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</si>
  <si>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</si>
  <si>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</si>
  <si>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</si>
  <si>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</si>
  <si>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22666.67</t>
  </si>
  <si>
    <t xml:space="preserve">OTR Calculation</t>
  </si>
  <si>
    <t xml:space="preserve">470.00</t>
  </si>
  <si>
    <t xml:space="preserve">46877.50</t>
  </si>
  <si>
    <t xml:space="preserve">5.28</t>
  </si>
  <si>
    <t xml:space="preserve">Monthly Finance Payment</t>
  </si>
  <si>
    <t xml:space="preserve">Holding Finance Charges</t>
  </si>
  <si>
    <t xml:space="preserve">Holding Balance Payable</t>
  </si>
  <si>
    <t xml:space="preserve">RFL included?</t>
  </si>
  <si>
    <t>NO</t>
  </si>
  <si>
    <t>50</t>
  </si>
  <si>
    <t>A1 Credit</t>
  </si>
  <si>
    <t>YES</t>
  </si>
  <si>
    <t>199.99</t>
  </si>
  <si>
    <t>Yes</t>
  </si>
  <si>
    <t>30</t>
  </si>
  <si>
    <t>Limited Credit</t>
  </si>
  <si>
    <t>239.99</t>
  </si>
  <si>
    <t>500</t>
  </si>
  <si>
    <t>12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</si>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</sst>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3177.23359330098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3177.23359330098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4846.94359506703</v>
      </c>
      <c r="E33" s="212"/>
      <c r="F33" s="63"/>
      <c r="G33" s="215" t="s">
        <v>354</v>
      </c>
      <c r="H33" s="459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4822.42359506703</v>
      </c>
      <c r="B36" s="99" t="n">
        <f aca="false">IF(B26="YES", H42, "")</f>
        <v>24.52</v>
      </c>
      <c r="C36" s="217"/>
      <c r="D36" s="181" t="n">
        <f aca="false">H31</f>
        <v>17670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20056.9326458423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5301</v>
      </c>
      <c r="B40" s="103" t="n">
        <f aca="false">IF(B26="YES",H42,"0")</f>
        <v>24.52</v>
      </c>
      <c r="C40" s="103"/>
      <c r="D40" s="181" t="n">
        <f aca="false">I32</f>
        <v>980.8</v>
      </c>
      <c r="E40" s="212"/>
      <c r="F40" s="63"/>
      <c r="G40" s="63" t="s">
        <v>106</v>
      </c>
      <c r="H40" s="234" t="n">
        <f aca="false">A40/1.2</f>
        <v>4417.5</v>
      </c>
      <c r="I40" s="234" t="n">
        <f aca="false">H39-I39</f>
        <v>39943.0673541577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24.52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4117.91630599745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55882.0836940026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4822.42359506703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4846.94359506703</v>
      </c>
      <c r="I48" s="234" t="n">
        <f aca="false">I49-H42</f>
        <v>1375.48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4846.94359506703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5040</v>
      </c>
      <c r="C64" s="464" t="n">
        <v>10000</v>
      </c>
      <c r="D64" s="290" t="n">
        <f aca="false">B64</f>
        <v>5040</v>
      </c>
      <c r="E64" s="465" t="n">
        <f aca="false">D64/(B58+B57)</f>
        <v>420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202.63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6634.83333333333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552.902777777778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4822.42359506703</v>
      </c>
      <c r="C83" s="472"/>
      <c r="D83" s="211"/>
      <c r="E83" s="465" t="n">
        <f aca="false">B83+E80+E77+E64</f>
        <v>5356.80785432629</v>
      </c>
      <c r="F83" s="63"/>
      <c r="G83" s="304" t="s">
        <v>104</v>
      </c>
      <c r="H83" s="305" t="n">
        <f aca="false">H47</f>
        <v>4822.42359506703</v>
      </c>
      <c r="I83" s="211"/>
      <c r="J83" s="211"/>
      <c r="K83" s="212"/>
      <c r="L83" s="63"/>
      <c r="M83" s="304" t="s">
        <v>104</v>
      </c>
      <c r="N83" s="305" t="n">
        <f aca="false">H47</f>
        <v>4822.42359506703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64503.9164741376</v>
      </c>
      <c r="C85" s="472"/>
      <c r="D85" s="472"/>
      <c r="E85" s="465" t="n">
        <f aca="false">B85/(B58+B57)</f>
        <v>5375.3263728448</v>
      </c>
      <c r="F85" s="63"/>
      <c r="G85" s="287" t="s">
        <v>114</v>
      </c>
      <c r="H85" s="127" t="n">
        <f aca="false">((H83*H29)+H81)*1.2</f>
        <v>70196.1997689652</v>
      </c>
      <c r="I85" s="211"/>
      <c r="J85" s="211"/>
      <c r="K85" s="212"/>
      <c r="L85" s="63"/>
      <c r="M85" s="287" t="s">
        <v>114</v>
      </c>
      <c r="N85" s="127" t="n">
        <f aca="false">((N83*H29)+N81)</f>
        <v>58483.0831408043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546.42285032549</v>
      </c>
      <c r="C86" s="472" t="s">
        <v>227</v>
      </c>
      <c r="D86" s="211"/>
      <c r="E86" s="465" t="n">
        <f aca="false">B86/(B58+B57)</f>
        <v>45.5352375271242</v>
      </c>
      <c r="F86" s="63"/>
      <c r="G86" s="210" t="s">
        <v>115</v>
      </c>
      <c r="H86" s="299" t="n">
        <f aca="false">((((H83*H29)+H81))/(1-H70))*H70</f>
        <v>495.535899942271</v>
      </c>
      <c r="I86" s="211"/>
      <c r="J86" s="211"/>
      <c r="K86" s="212"/>
      <c r="L86" s="63"/>
      <c r="M86" s="210" t="s">
        <v>115</v>
      </c>
      <c r="N86" s="299" t="n">
        <f aca="false">(N85/(1-N70))*N70</f>
        <v>495.419421523554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65050.3393244631</v>
      </c>
      <c r="C87" s="472"/>
      <c r="D87" s="474"/>
      <c r="E87" s="465" t="n">
        <f aca="false">E86+E85</f>
        <v>5420.86161037193</v>
      </c>
      <c r="F87" s="63"/>
      <c r="G87" s="284" t="s">
        <v>116</v>
      </c>
      <c r="H87" s="129" t="n">
        <f aca="false">IF(H110="YES",((H85+H86)-K114),(H85+H86))</f>
        <v>70691.7356689074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58978.5025623279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31.876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83.0795294117647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69.2329411764706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5420.86161037193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4158.33739228867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3469.32368013693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5452.73761037193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4241.41692170044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3538.5566213134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4158.33739228867</v>
      </c>
      <c r="H127" s="174" t="n">
        <f aca="false">IF(G105="YES", H89*H57, 0)</f>
        <v>498.477176470588</v>
      </c>
      <c r="I127" s="174"/>
      <c r="J127" s="333" t="n">
        <f aca="false">H91</f>
        <v>4241.41692170044</v>
      </c>
      <c r="K127" s="212"/>
      <c r="L127" s="63"/>
      <c r="M127" s="332" t="n">
        <f aca="false">N90</f>
        <v>3469.32368013693</v>
      </c>
      <c r="N127" s="174" t="n">
        <f aca="false">IF(M105="YES", N89*N57, 0)</f>
        <v>415.397647058824</v>
      </c>
      <c r="O127" s="174"/>
      <c r="P127" s="174" t="n">
        <f aca="false">N91</f>
        <v>3538.5566213134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5420.86161037193</v>
      </c>
      <c r="B128" s="320" t="n">
        <f aca="false">IF(A105="YES", B89, 0)</f>
        <v>31.876</v>
      </c>
      <c r="C128" s="324"/>
      <c r="D128" s="320" t="n">
        <f aca="false">B91</f>
        <v>5452.73761037193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5420.86161037193</v>
      </c>
      <c r="C131" s="316"/>
      <c r="D131" s="38" t="n">
        <f aca="false">IF(A105="YES", B89*B57, 0)</f>
        <v>31.876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24950.024353732</v>
      </c>
      <c r="H133" s="99" t="n">
        <f aca="false">IF(G105="YES", H89*H57, 0)</f>
        <v>498.477176470588</v>
      </c>
      <c r="I133" s="217"/>
      <c r="J133" s="181" t="n">
        <f aca="false">H91*H57</f>
        <v>25448.5015302026</v>
      </c>
      <c r="K133" s="212"/>
      <c r="L133" s="63"/>
      <c r="M133" s="182" t="n">
        <f aca="false">N90*N57</f>
        <v>20815.9420808216</v>
      </c>
      <c r="N133" s="99" t="n">
        <f aca="false">IF(M105="YES", N89*N57, 0)</f>
        <v>415.397647058824</v>
      </c>
      <c r="O133" s="217"/>
      <c r="P133" s="181" t="n">
        <f aca="false">N91*N57</f>
        <v>21231.3397278804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5452.73761037193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5420.86161037193</v>
      </c>
      <c r="B137" s="38" t="n">
        <f aca="false">IF(A105="YES", B89, 0)</f>
        <v>31.876</v>
      </c>
      <c r="C137" s="316"/>
      <c r="D137" s="38" t="n">
        <f aca="false">B91</f>
        <v>5452.73761037193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5.8848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5.8848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202.63</v>
      </c>
      <c r="B148" s="99" t="n">
        <f aca="false">B102</f>
        <v>400</v>
      </c>
      <c r="C148" s="38"/>
      <c r="D148" s="38" t="n">
        <f aca="false">IF(A105="YES", (B40*B105)*B125, 0)*0.1</f>
        <v>8.8272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711.4472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4241.41692170044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3538.5566213134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5452.73761037193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5420.86161037193</v>
      </c>
      <c r="B177" s="354" t="n">
        <f aca="false">IF(A105="YES", B89, 0)</f>
        <v>31.876</v>
      </c>
      <c r="C177" s="356"/>
      <c r="D177" s="354" t="n">
        <f aca="false">B91</f>
        <v>5452.73761037193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5420.86161037193</v>
      </c>
      <c r="C180" s="352"/>
      <c r="D180" s="99" t="n">
        <f aca="false">IF(A105="YES", B89*B57, 0)</f>
        <v>31.876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5452.73761037193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5420.86161037193</v>
      </c>
      <c r="B186" s="99" t="n">
        <f aca="false">IF(A105="YES", B89, 0)</f>
        <v>31.876</v>
      </c>
      <c r="C186" s="352"/>
      <c r="D186" s="99" t="n">
        <f aca="false">B91</f>
        <v>5452.73761037193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202.63</v>
      </c>
      <c r="B197" s="99" t="n">
        <f aca="false">B102</f>
        <v>400</v>
      </c>
      <c r="C197" s="99"/>
      <c r="D197" s="99" t="n">
        <f aca="false">IF(A105="YES", (B40*B105)*B125, 0)*0.1</f>
        <v>8.8272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711.4472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202.63</v>
      </c>
      <c r="C211" s="319" t="s">
        <v>214</v>
      </c>
      <c r="D211" s="369" t="n">
        <f aca="false">B225+E221+B221+B223</f>
        <v>428.262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5265.632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5040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202.63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5265.632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546.42285032549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1676.84925760669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65.4545454545455</v>
      </c>
      <c r="C176" s="171"/>
      <c r="D176" s="171"/>
      <c r="E176" s="174" t="n">
        <f aca="false">B105</f>
        <v>1676.84925760669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199.99</v>
      </c>
      <c r="C191" s="99"/>
      <c r="D191" s="23"/>
      <c r="E191" s="99" t="n">
        <f aca="false">E188+A191+B191+A194</f>
        <v>23935.3318336736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234.90665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1676.84925760669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65.4545454545455</v>
      </c>
      <c r="C221" s="171"/>
      <c r="D221" s="171"/>
      <c r="E221" s="174" t="n">
        <f aca="false">E176</f>
        <v>1676.84925760669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199.99</v>
      </c>
      <c r="C233" s="99"/>
      <c r="D233" s="109"/>
      <c r="E233" s="99" t="n">
        <f aca="false">E191</f>
        <v>23935.3318336736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65.4545454545455</v>
      </c>
      <c r="C239" s="183"/>
      <c r="D239" s="183"/>
      <c r="E239" s="99" t="n">
        <f aca="false">E176</f>
        <v>1676.84925760669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2151.56665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</v>
      </c>
      <c r="C264" s="194"/>
      <c r="D264" s="195" t="s">
        <v>215</v>
      </c>
      <c r="E264" s="195"/>
      <c r="F264" s="196" t="n">
        <f aca="false">(B263-F263)+B264</f>
        <v>72.49002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72.49002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n">
        <f aca="false">IF(B26="YES", K42, "0.00")</f>
        <v>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7245.30805519762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238.3333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28599.996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12822.1277229139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15777.8682770861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532.753617006669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18646.3765952334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18646.3765952334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532.753617006669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532.753617006669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28599.996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532.753617006669</v>
      </c>
      <c r="B167" s="174" t="n">
        <f aca="false">B94</f>
        <v>0</v>
      </c>
      <c r="C167" s="171"/>
      <c r="D167" s="171"/>
      <c r="E167" s="174" t="n">
        <f aca="false">B96</f>
        <v>532.753617006669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28599.996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8121.3805952334</v>
      </c>
      <c r="B182" s="99" t="str">
        <f aca="false">B114</f>
        <v>239.99</v>
      </c>
      <c r="C182" s="99"/>
      <c r="D182" s="23"/>
      <c r="E182" s="99" t="n">
        <f aca="false">E179+A182+B182+A185</f>
        <v>36971.3665952334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238.3333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338.324966666667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532.753617006669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532.753617006669</v>
      </c>
      <c r="B212" s="174" t="n">
        <f aca="false">B167</f>
        <v>0</v>
      </c>
      <c r="C212" s="171"/>
      <c r="D212" s="171"/>
      <c r="E212" s="174" t="n">
        <f aca="false">E167</f>
        <v>532.753617006669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28599.996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8121.3805952334</v>
      </c>
      <c r="B224" s="99" t="str">
        <f aca="false">B182</f>
        <v>239.99</v>
      </c>
      <c r="C224" s="99"/>
      <c r="D224" s="109"/>
      <c r="E224" s="99" t="n">
        <f aca="false">E182</f>
        <v>36971.3665952334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532.753617006669</v>
      </c>
      <c r="B230" s="99" t="n">
        <f aca="false">B167</f>
        <v>0</v>
      </c>
      <c r="C230" s="183"/>
      <c r="D230" s="183"/>
      <c r="E230" s="99" t="n">
        <f aca="false">E167</f>
        <v>532.753617006669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238.3333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2254.98496666667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285.99996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-186.008293333333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18646.3765952334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285.99996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-186.008293333333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-27181.0045418724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-22566.68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 t="n">
        <v>10000</v>
      </c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11091.200336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11169.4964255038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930.791368791986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1002.79136879199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930.791368791986</v>
      </c>
      <c r="B128" s="320" t="n">
        <f aca="false">IF(A105="YES", B89, 0)</f>
        <v>72</v>
      </c>
      <c r="C128" s="325"/>
      <c r="D128" s="320" t="n">
        <f aca="false">B91</f>
        <v>1002.79136879199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8377.12231912787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9025.12231912787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930.791368791986</v>
      </c>
      <c r="B137" s="38" t="n">
        <f aca="false">IF(A105="YES", B89, 0)</f>
        <v>72</v>
      </c>
      <c r="C137" s="316"/>
      <c r="D137" s="38" t="n">
        <f aca="false">B91</f>
        <v>1002.79136879199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1002.79136879199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930.791368791986</v>
      </c>
      <c r="B171" s="354" t="n">
        <f aca="false">IF(A105="YES", B89, 0)</f>
        <v>72</v>
      </c>
      <c r="C171" s="357"/>
      <c r="D171" s="354" t="n">
        <f aca="false">B91</f>
        <v>1002.79136879199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8377.12231912787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9025.12231912787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930.791368791986</v>
      </c>
      <c r="B180" s="99" t="n">
        <f aca="false">IF(A105="YES", B89, 0)</f>
        <v>72</v>
      </c>
      <c r="C180" s="352"/>
      <c r="D180" s="99" t="n">
        <f aca="false">B91</f>
        <v>1002.79136879199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4302.66708666667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119.518530185185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389.783234865848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14254.4186773928</v>
      </c>
      <c r="C85" s="472"/>
      <c r="D85" s="472"/>
      <c r="E85" s="465" t="n">
        <f aca="false">B85/(B58+B57)</f>
        <v>395.956074372021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120.751428892799</v>
      </c>
      <c r="C86" s="472" t="s">
        <v>227</v>
      </c>
      <c r="D86" s="211"/>
      <c r="E86" s="465" t="n">
        <f aca="false">B86/(B58+B57)</f>
        <v>3.3542063581333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14375.1701062856</v>
      </c>
      <c r="C87" s="472"/>
      <c r="D87" s="474"/>
      <c r="E87" s="465" t="n">
        <f aca="false">E86+E85</f>
        <v>399.310280730154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399.310280730154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464.310280730154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399.310280730154</v>
      </c>
      <c r="B128" s="320" t="n">
        <f aca="false">IF(A105="YES", B89, 0)</f>
        <v>65</v>
      </c>
      <c r="C128" s="324"/>
      <c r="D128" s="320" t="n">
        <f aca="false">B91</f>
        <v>464.310280730154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399.310280730154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464.310280730154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399.310280730154</v>
      </c>
      <c r="B137" s="38" t="n">
        <f aca="false">IF(A105="YES", B89, 0)</f>
        <v>65</v>
      </c>
      <c r="C137" s="316"/>
      <c r="D137" s="38" t="n">
        <f aca="false">B91</f>
        <v>464.310280730154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464.310280730154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399.310280730154</v>
      </c>
      <c r="B177" s="354" t="n">
        <f aca="false">IF(A105="YES", B89, 0)</f>
        <v>65</v>
      </c>
      <c r="C177" s="356"/>
      <c r="D177" s="354" t="n">
        <f aca="false">B91</f>
        <v>464.310280730154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399.310280730154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464.310280730154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399.310280730154</v>
      </c>
      <c r="B186" s="99" t="n">
        <f aca="false">IF(A105="YES", B89, 0)</f>
        <v>65</v>
      </c>
      <c r="C186" s="352"/>
      <c r="D186" s="99" t="n">
        <f aca="false">B91</f>
        <v>464.310280730154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120.751428892799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17715.8024128713</v>
      </c>
      <c r="C85" s="472"/>
      <c r="D85" s="472"/>
      <c r="E85" s="465" t="n">
        <f aca="false">B85/(B58+B57)</f>
        <v>492.105622579759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17840.8635432566</v>
      </c>
      <c r="C87" s="472"/>
      <c r="D87" s="474"/>
      <c r="E87" s="465" t="n">
        <f aca="false">E86+E85</f>
        <v>495.57954286824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495.57954286824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573.57954286824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495.57954286824</v>
      </c>
      <c r="B128" s="320" t="n">
        <f aca="false">IF(A105="YES", B89, 0)</f>
        <v>78</v>
      </c>
      <c r="C128" s="324"/>
      <c r="D128" s="320" t="n">
        <f aca="false">B91</f>
        <v>573.57954286824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495.57954286824</v>
      </c>
      <c r="C131" s="316"/>
      <c r="D131" s="38" t="n">
        <f aca="false">IF(A105="YES", B89*B57, 0)</f>
        <v>78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573.57954286824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495.57954286824</v>
      </c>
      <c r="B137" s="38" t="n">
        <f aca="false">IF(A105="YES", B89, 0)</f>
        <v>78</v>
      </c>
      <c r="C137" s="316"/>
      <c r="D137" s="38" t="n">
        <f aca="false">B91</f>
        <v>573.57954286824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573.57954286824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495.57954286824</v>
      </c>
      <c r="B177" s="354" t="n">
        <f aca="false">IF(A105="YES", B89, 0)</f>
        <v>78</v>
      </c>
      <c r="C177" s="356"/>
      <c r="D177" s="354" t="n">
        <f aca="false">B91</f>
        <v>573.57954286824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495.57954286824</v>
      </c>
      <c r="C180" s="352"/>
      <c r="D180" s="99" t="n">
        <f aca="false">IF(A105="YES", B89*B57,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573.57954286824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495.57954286824</v>
      </c>
      <c r="B186" s="99" t="n">
        <f aca="false">IF(A105="YES", B89, 0)</f>
        <v>78</v>
      </c>
      <c r="C186" s="352"/>
      <c r="D186" s="99" t="n">
        <f aca="false">B91</f>
        <v>573.57954286824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3309.54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3332.90302944736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277.741919120613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355.741919120613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277.741919120613</v>
      </c>
      <c r="B134" s="320" t="n">
        <f aca="false">IF(A111="YES", B95, 0)</f>
        <v>78</v>
      </c>
      <c r="C134" s="324"/>
      <c r="D134" s="320" t="n">
        <f aca="false">B97</f>
        <v>355.741919120613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2499.67727208552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3201.67727208552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277.741919120613</v>
      </c>
      <c r="B143" s="38" t="n">
        <f aca="false">IF(A111="YES", B95, 0)</f>
        <v>78</v>
      </c>
      <c r="C143" s="316"/>
      <c r="D143" s="38" t="n">
        <f aca="false">B97</f>
        <v>355.741919120613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807.416666666667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355.741919120613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277.741919120613</v>
      </c>
      <c r="B177" s="354" t="n">
        <f aca="false">IF(A111="YES", B95, 0)</f>
        <v>78</v>
      </c>
      <c r="C177" s="356"/>
      <c r="D177" s="354" t="n">
        <f aca="false">A177+B177</f>
        <v>355.741919120613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2499.67727208552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3201.67727208552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277.741919120613</v>
      </c>
      <c r="B186" s="99" t="n">
        <f aca="false">IF(A111="YES", B95, 0)</f>
        <v>78</v>
      </c>
      <c r="C186" s="352"/>
      <c r="D186" s="99" t="n">
        <f aca="false">B97</f>
        <v>355.741919120613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807.416666666667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4282.51666666667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4282.51666666667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45113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2757.95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2781.31302944736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231.77608578728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296.77608578728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231.77608578728</v>
      </c>
      <c r="B134" s="320" t="n">
        <f aca="false">IF(A111="YES", B95, 0)</f>
        <v>65</v>
      </c>
      <c r="C134" s="325"/>
      <c r="D134" s="320" t="n">
        <f aca="false">B97</f>
        <v>296.77608578728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2085.98477208552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2670.98477208552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231.77608578728</v>
      </c>
      <c r="B143" s="38" t="n">
        <f aca="false">IF(A111="YES", B95, 0)</f>
        <v>65</v>
      </c>
      <c r="C143" s="316"/>
      <c r="D143" s="38" t="n">
        <f aca="false">B97</f>
        <v>296.77608578728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296.77608578728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231.77608578728</v>
      </c>
      <c r="B177" s="354" t="n">
        <f aca="false">IF(A111="YES", B95, 0)</f>
        <v>65</v>
      </c>
      <c r="C177" s="357"/>
      <c r="D177" s="354" t="n">
        <f aca="false">B91</f>
        <v>2757.95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2085.98477208552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2670.98477208552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231.77608578728</v>
      </c>
      <c r="B186" s="99" t="n">
        <f aca="false">IF(A111="YES", B95, 0)</f>
        <v>65</v>
      </c>
      <c r="C186" s="352"/>
      <c r="D186" s="99" t="n">
        <f aca="false">B97</f>
        <v>296.77608578728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807.415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67.03125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1578.97858740079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67.03125</v>
      </c>
      <c r="C176" s="171"/>
      <c r="D176" s="171"/>
      <c r="E176" s="174" t="n">
        <f aca="false">B105</f>
        <v>1578.97858740079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199.99</v>
      </c>
      <c r="C191" s="99"/>
      <c r="D191" s="23"/>
      <c r="E191" s="99" t="n">
        <f aca="false">E188+A191+B191+A194</f>
        <v>54592.3047968251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11.097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587.9665625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1578.97858740079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67.03125</v>
      </c>
      <c r="C221" s="171"/>
      <c r="D221" s="171"/>
      <c r="E221" s="174" t="n">
        <f aca="false">E176</f>
        <v>1578.97858740079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199.99</v>
      </c>
      <c r="C233" s="99"/>
      <c r="D233" s="109"/>
      <c r="E233" s="99" t="n">
        <f aca="false">E191</f>
        <v>54592.3047968251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67.03125</v>
      </c>
      <c r="C239" s="183"/>
      <c r="D239" s="183"/>
      <c r="E239" s="99" t="n">
        <f aca="false">E176</f>
        <v>1578.97858740079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33.291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11.097</v>
      </c>
      <c r="B245" s="99" t="n">
        <f aca="false">E242+A245</f>
        <v>44.388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587.9665625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</v>
      </c>
      <c r="C264" s="194"/>
      <c r="D264" s="195" t="s">
        <v>215</v>
      </c>
      <c r="E264" s="195"/>
      <c r="F264" s="196" t="n">
        <f aca="false">(B263-F263)+B264</f>
        <v>68.8181249999999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68.8181249999999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1592.38483740079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80.4375</v>
      </c>
      <c r="C176" s="171"/>
      <c r="D176" s="171"/>
      <c r="E176" s="174" t="n">
        <f aca="false">B105</f>
        <v>1592.38483740079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239.99</v>
      </c>
      <c r="C191" s="99"/>
      <c r="D191" s="23"/>
      <c r="E191" s="99" t="n">
        <f aca="false">E188+A191+B191+A194</f>
        <v>54632.3047968251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13.3164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587.968229166667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1592.38483740079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80.4375</v>
      </c>
      <c r="C221" s="171"/>
      <c r="D221" s="171"/>
      <c r="E221" s="174" t="n">
        <f aca="false">E176</f>
        <v>1592.38483740079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239.99</v>
      </c>
      <c r="C233" s="99"/>
      <c r="D233" s="109"/>
      <c r="E233" s="99" t="n">
        <f aca="false">E191</f>
        <v>54632.3047968251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80.4375</v>
      </c>
      <c r="C239" s="183"/>
      <c r="D239" s="183"/>
      <c r="E239" s="99" t="n">
        <f aca="false">E176</f>
        <v>1592.38483740079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39.9492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13.3164</v>
      </c>
      <c r="B245" s="99" t="n">
        <f aca="false">E242+A245</f>
        <v>53.2656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587.968229166667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68.8197916666666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68.8197916666666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14763.1686773928</v>
      </c>
      <c r="C85" s="472"/>
      <c r="D85" s="472"/>
      <c r="E85" s="465" t="n">
        <f aca="false">B85/(B58+B57)</f>
        <v>410.088018816465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14888.2298077781</v>
      </c>
      <c r="C87" s="472"/>
      <c r="D87" s="474"/>
      <c r="E87" s="465" t="n">
        <f aca="false">E86+E85</f>
        <v>413.561939104947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413.561939104947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478.561939104947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413.561939104947</v>
      </c>
      <c r="B128" s="320" t="n">
        <f aca="false">IF(A105="YES", B89, 0)</f>
        <v>65</v>
      </c>
      <c r="C128" s="324"/>
      <c r="D128" s="320" t="n">
        <f aca="false">B91</f>
        <v>478.561939104947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413.561939104947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478.561939104947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413.561939104947</v>
      </c>
      <c r="B137" s="38" t="n">
        <f aca="false">IF(A105="YES", B89, 0)</f>
        <v>65</v>
      </c>
      <c r="C137" s="316"/>
      <c r="D137" s="38" t="n">
        <f aca="false">B91</f>
        <v>478.561939104947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478.561939104947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413.561939104947</v>
      </c>
      <c r="B177" s="354" t="n">
        <f aca="false">IF(A105="YES", B89, 0)</f>
        <v>65</v>
      </c>
      <c r="C177" s="356"/>
      <c r="D177" s="354" t="n">
        <f aca="false">B91</f>
        <v>478.561939104947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413.561939104947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478.561939104947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413.561939104947</v>
      </c>
      <c r="B186" s="99" t="n">
        <f aca="false">IF(A105="YES", B89, 0)</f>
        <v>65</v>
      </c>
      <c r="C186" s="352"/>
      <c r="D186" s="99" t="n">
        <f aca="false">B91</f>
        <v>478.561939104947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2987.89042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2987.89042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239.99</v>
      </c>
      <c r="C182" s="99"/>
      <c r="D182" s="23"/>
      <c r="E182" s="99" t="n">
        <f aca="false">E179+A182+B182+A185</f>
        <v>56366.3044136376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239.99</v>
      </c>
      <c r="C224" s="99"/>
      <c r="D224" s="109"/>
      <c r="E224" s="99" t="n">
        <f aca="false">E182</f>
        <v>56366.3044136376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13.3164</v>
      </c>
      <c r="B236" s="99" t="n">
        <f aca="false">E233+A236</f>
        <v>53.2656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538.4665625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538.4665625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-426.181875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-426.181875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47270.8981671663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4476.37509036003</v>
      </c>
      <c r="C86" s="130" t="n">
        <f aca="false">(B82/((1+B84)^(B85+1)))</f>
        <v>4476.37509036003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27.7329077585843</v>
      </c>
      <c r="C87" s="130" t="n">
        <f aca="false">((1-(1/((1+B84)^B85)))/B84)</f>
        <v>27.7329077585843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41401.12490964</v>
      </c>
      <c r="C88" s="130" t="n">
        <f aca="false">B81-B86</f>
        <v>41401.12490964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1492.85193136031</v>
      </c>
      <c r="C89" s="130" t="n">
        <f aca="false">(B88/B87)</f>
        <v>1492.85193136031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47771.26180353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47771.26180353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1492.85193136031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1492.85193136031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1492.85193136031</v>
      </c>
      <c r="B167" s="174" t="str">
        <f aca="false">B94</f>
        <v>0</v>
      </c>
      <c r="C167" s="171"/>
      <c r="D167" s="171"/>
      <c r="E167" s="174" t="n">
        <f aca="false">B96</f>
        <v>1492.85193136031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-2353.73819647005</v>
      </c>
      <c r="B182" s="99" t="str">
        <f aca="false">B114</f>
        <v>239.99</v>
      </c>
      <c r="C182" s="99"/>
      <c r="D182" s="23"/>
      <c r="E182" s="99" t="n">
        <f aca="false">E179+A182+B182+A185</f>
        <v>54021.25180353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1492.85193136031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1492.85193136031</v>
      </c>
      <c r="B212" s="174" t="str">
        <f aca="false">B167</f>
        <v>0</v>
      </c>
      <c r="C212" s="171"/>
      <c r="D212" s="171"/>
      <c r="E212" s="174" t="n">
        <f aca="false">E167</f>
        <v>1492.85193136031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-2353.73819647005</v>
      </c>
      <c r="B224" s="99" t="str">
        <f aca="false">B182</f>
        <v>239.99</v>
      </c>
      <c r="C224" s="99"/>
      <c r="D224" s="109"/>
      <c r="E224" s="99" t="n">
        <f aca="false">E182</f>
        <v>54021.25180353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1492.85193136031</v>
      </c>
      <c r="B230" s="99" t="str">
        <f aca="false">B167</f>
        <v>0</v>
      </c>
      <c r="C230" s="183"/>
      <c r="D230" s="183"/>
      <c r="E230" s="99" t="n">
        <f aca="false">E167</f>
        <v>1492.85193136031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960.257225314867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6.864</v>
      </c>
      <c r="C134" s="325"/>
      <c r="D134" s="320" t="n">
        <f aca="false">B97</f>
        <v>960.257225314867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8642.3150278338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6.864</v>
      </c>
      <c r="C143" s="316"/>
      <c r="D143" s="38" t="n">
        <f aca="false">B97</f>
        <v>960.257225314867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791.3158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960.257225314867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6.864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8642.3150278338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6.864</v>
      </c>
      <c r="C186" s="352"/>
      <c r="D186" s="99" t="n">
        <f aca="false">B97</f>
        <v>960.257225314867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791.3158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8.2368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1154.8191285599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8.2368</v>
      </c>
      <c r="C134" s="325"/>
      <c r="D134" s="320" t="n">
        <f aca="false">B97</f>
        <v>1154.8191285599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74.1312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10393.3721570391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8.2368</v>
      </c>
      <c r="C143" s="316"/>
      <c r="D143" s="38" t="n">
        <f aca="false">B97</f>
        <v>1154.8191285599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791.317466666667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1154.8191285599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8.2368</v>
      </c>
      <c r="C177" s="357"/>
      <c r="D177" s="354" t="n">
        <f aca="false">B91</f>
        <v>13662.54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74.1312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10393.3721570391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8.2368</v>
      </c>
      <c r="C186" s="352"/>
      <c r="D186" s="99" t="n">
        <f aca="false">B97</f>
        <v>1154.8191285599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791.317466666667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4121.52466666667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4121.52466666667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398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49601.7083530315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1583.75982542617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1566.13482542617</v>
      </c>
      <c r="B167" s="174" t="n">
        <f aca="false">B94</f>
        <v>17.625</v>
      </c>
      <c r="C167" s="171"/>
      <c r="D167" s="171"/>
      <c r="E167" s="174" t="n">
        <f aca="false">B96</f>
        <v>1583.75982542617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547.8665625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1583.75982542617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n">
        <f aca="false">B167</f>
        <v>17.625</v>
      </c>
      <c r="C212" s="171"/>
      <c r="D212" s="171"/>
      <c r="E212" s="174" t="n">
        <f aca="false">E167</f>
        <v>1583.75982542617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n">
        <f aca="false">B167</f>
        <v>17.625</v>
      </c>
      <c r="C230" s="183"/>
      <c r="D230" s="183"/>
      <c r="E230" s="99" t="n">
        <f aca="false">E167</f>
        <v>1583.75982542617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11.097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547.8665625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-332.181875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-332.181875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1146.5823285599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0</v>
      </c>
      <c r="C134" s="325"/>
      <c r="D134" s="320" t="n">
        <f aca="false">B97</f>
        <v>1146.5823285599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10319.2409570391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0</v>
      </c>
      <c r="C143" s="316"/>
      <c r="D143" s="38" t="n">
        <f aca="false">B97</f>
        <v>1146.5823285599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1146.5823285599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0</v>
      </c>
      <c r="C177" s="357"/>
      <c r="D177" s="354" t="n">
        <f aca="false">B97</f>
        <v>1146.5823285599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10319.2409570391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0</v>
      </c>
      <c r="C186" s="352"/>
      <c r="D186" s="99" t="n">
        <f aca="false">B97</f>
        <v>1146.5823285599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61" colorId="64" zoomScale="85" zoomScaleNormal="85" zoomScalePageLayoutView="100" workbookViewId="0">
      <selection pane="topLeft" activeCell="B65" activeCellId="0" sqref="B6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1876.1668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36.3332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44978.0032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796.9968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44978.0032</v>
      </c>
      <c r="F9" s="149"/>
      <c r="G9" s="133"/>
      <c r="H9" s="442" t="n">
        <f aca="false">B7+D7+F7+H3</f>
        <v>45775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45785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9157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55582</v>
      </c>
      <c r="I15" s="2"/>
      <c r="J15" s="17" t="n">
        <f aca="false">H15</f>
        <v>55582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57237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55578.4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1004.51472168928</v>
      </c>
      <c r="F33" s="228"/>
      <c r="G33" s="228"/>
      <c r="H33" s="47"/>
      <c r="I33" s="2"/>
      <c r="J33" s="34" t="s">
        <v>354</v>
      </c>
      <c r="K33" s="48" t="n">
        <f aca="false">H21-H11+(H16*20%)</f>
        <v>46422</v>
      </c>
      <c r="L33" s="1" t="n">
        <f aca="false">H21-H11+(H16*20%)</f>
        <v>46422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1004.51472168928</v>
      </c>
      <c r="B36" s="228" t="str">
        <f aca="false">IF(B26="YES", K42, "0.00")</f>
        <v>0.00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46422</v>
      </c>
      <c r="L39" s="2" t="n">
        <f aca="false">(L47*K46)+K44</f>
        <v>39749.1981958661</v>
      </c>
      <c r="N39" s="1" t="n">
        <f aca="false">K39-L39</f>
        <v>6672.80180413388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6672.80180413388</v>
      </c>
      <c r="N40" s="1" t="n">
        <f aca="false">N38-N39</f>
        <v>-3761.12180413388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32774.7928941323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1004.51472168928</v>
      </c>
      <c r="L47" s="2" t="n">
        <f aca="false">L49-K42</f>
        <v>800</v>
      </c>
      <c r="M47" s="1" t="n">
        <f aca="false">K47-L47</f>
        <v>204.51472168928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1004.51472168928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1004.51472168928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57237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57237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57237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57237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23601.3511730125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9151.16211007202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-3187.90526018714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-3187.90526018714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534.95675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4292.775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572.37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408.13565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1004.51472168928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1004.51472168928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1004.51472168928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1004.51472168928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64194.81</v>
      </c>
      <c r="C81" s="130"/>
      <c r="D81" s="130"/>
      <c r="E81" s="109"/>
      <c r="F81" s="25" t="s">
        <v>105</v>
      </c>
      <c r="G81" s="27" t="n">
        <f aca="false">G158</f>
        <v>64194.81</v>
      </c>
      <c r="H81" s="33"/>
      <c r="J81" s="25" t="s">
        <v>105</v>
      </c>
      <c r="K81" s="27" t="n">
        <f aca="false">P158</f>
        <v>32999.816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40813.565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40813.565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13978.4989925452</v>
      </c>
      <c r="C86" s="130"/>
      <c r="D86" s="130"/>
      <c r="E86" s="109"/>
      <c r="F86" s="31" t="s">
        <v>110</v>
      </c>
      <c r="G86" s="33" t="n">
        <f aca="false">(G82/((1+G84)^(G85+1)))</f>
        <v>16221.5791473095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130"/>
      <c r="D87" s="130"/>
      <c r="E87" s="109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50216.3110074548</v>
      </c>
      <c r="C88" s="130"/>
      <c r="D88" s="130"/>
      <c r="E88" s="109"/>
      <c r="F88" s="31" t="s">
        <v>112</v>
      </c>
      <c r="G88" s="33" t="n">
        <f aca="false">G81-G86</f>
        <v>47973.2308526905</v>
      </c>
      <c r="H88" s="33"/>
      <c r="J88" s="31" t="s">
        <v>112</v>
      </c>
      <c r="K88" s="33" t="n">
        <f aca="false">K81-K86</f>
        <v>32999.816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27284.2080474456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27284.2080474456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1707.5394615379</v>
      </c>
      <c r="C89" s="130"/>
      <c r="D89" s="130"/>
      <c r="E89" s="109"/>
      <c r="F89" s="31" t="s">
        <v>113</v>
      </c>
      <c r="G89" s="33" t="n">
        <f aca="false">(G88/G87)</f>
        <v>1519.32367892705</v>
      </c>
      <c r="H89" s="33"/>
      <c r="J89" s="31" t="s">
        <v>113</v>
      </c>
      <c r="K89" s="33" t="n">
        <f aca="false">(K88/K87)</f>
        <v>1294.67691688246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942.132134875056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942.132134875056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59763.8811538266</v>
      </c>
      <c r="C90" s="130"/>
      <c r="D90" s="130"/>
      <c r="E90" s="109"/>
      <c r="F90" s="31" t="s">
        <v>114</v>
      </c>
      <c r="G90" s="33" t="n">
        <f aca="false">((G89*(G85))+G77)</f>
        <v>53176.3287624467</v>
      </c>
      <c r="H90" s="33"/>
      <c r="J90" s="31" t="s">
        <v>114</v>
      </c>
      <c r="K90" s="33" t="n">
        <f aca="false">((K89*(K85))+K77)</f>
        <v>46608.3690077686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32974.6247206269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32974.6247206269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59763.8811538266</v>
      </c>
      <c r="C92" s="130"/>
      <c r="D92" s="130"/>
      <c r="E92" s="109"/>
      <c r="F92" s="56" t="s">
        <v>116</v>
      </c>
      <c r="G92" s="65" t="n">
        <f aca="false">(G90+G91)</f>
        <v>53176.3287624467</v>
      </c>
      <c r="H92" s="33"/>
      <c r="J92" s="56" t="s">
        <v>116</v>
      </c>
      <c r="K92" s="65" t="n">
        <f aca="false">(K90+K91)</f>
        <v>46608.3690077686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32974.6247206269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32974.6247206269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1707.5394615379</v>
      </c>
      <c r="C95" s="130"/>
      <c r="D95" s="130"/>
      <c r="E95" s="109"/>
      <c r="F95" s="91" t="s">
        <v>118</v>
      </c>
      <c r="G95" s="92" t="n">
        <f aca="false">G92/(G85)</f>
        <v>1519.32367892705</v>
      </c>
      <c r="H95" s="33"/>
      <c r="J95" s="91" t="s">
        <v>118</v>
      </c>
      <c r="K95" s="92" t="n">
        <f aca="false">K92/(K85)</f>
        <v>1294.67691688246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942.132134875056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942.132134875056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1707.5394615379</v>
      </c>
      <c r="C96" s="130"/>
      <c r="D96" s="130"/>
      <c r="E96" s="109"/>
      <c r="F96" s="93" t="s">
        <v>119</v>
      </c>
      <c r="G96" s="94" t="n">
        <f aca="false">G94+G95</f>
        <v>1519.32367892705</v>
      </c>
      <c r="H96" s="33"/>
      <c r="J96" s="93" t="s">
        <v>119</v>
      </c>
      <c r="K96" s="94" t="n">
        <f aca="false">(K94+K95)</f>
        <v>1294.67691688246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942.132134875056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942.132134875056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393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390</v>
      </c>
      <c r="C108" s="103"/>
      <c r="D108" s="103" t="n">
        <v>0</v>
      </c>
      <c r="E108" s="104" t="n">
        <f aca="false">B83</f>
        <v>0.12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391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4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4</v>
      </c>
      <c r="G122" s="451" t="n">
        <v>0.0</v>
      </c>
      <c r="H122" s="122"/>
      <c r="J122" s="31" t="s">
        <v>150</v>
      </c>
      <c r="K122" s="119" t="n">
        <f aca="false">B4</f>
        <v>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4</v>
      </c>
      <c r="P122" s="451" t="n">
        <f aca="false">O122</f>
        <v>4</v>
      </c>
      <c r="Q122" s="122"/>
      <c r="S122" s="31" t="s">
        <v>150</v>
      </c>
      <c r="T122" s="119" t="n">
        <f aca="false">B4</f>
        <v>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4</v>
      </c>
      <c r="Y122" s="451" t="n">
        <f aca="false">X122</f>
        <v>4</v>
      </c>
      <c r="Z122" s="122"/>
      <c r="AB122" s="31" t="s">
        <v>150</v>
      </c>
      <c r="AC122" s="119" t="n">
        <f aca="false">B4</f>
        <v>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4</v>
      </c>
      <c r="AH122" s="451" t="n">
        <f aca="false">AG122</f>
        <v>4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2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3</v>
      </c>
      <c r="G123" s="117" t="n">
        <v>0.0</v>
      </c>
      <c r="H123" s="33"/>
      <c r="J123" s="31" t="s">
        <v>151</v>
      </c>
      <c r="K123" s="126" t="n">
        <f aca="false">B5</f>
        <v>2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3</v>
      </c>
      <c r="P123" s="117" t="n">
        <f aca="false">O123</f>
        <v>3</v>
      </c>
      <c r="Q123" s="33"/>
      <c r="S123" s="31" t="s">
        <v>151</v>
      </c>
      <c r="T123" s="126" t="n">
        <f aca="false">B5</f>
        <v>2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3</v>
      </c>
      <c r="Y123" s="117" t="n">
        <f aca="false">X123</f>
        <v>3</v>
      </c>
      <c r="Z123" s="33"/>
      <c r="AB123" s="31" t="s">
        <v>151</v>
      </c>
      <c r="AC123" s="126" t="n">
        <f aca="false">B5</f>
        <v>2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3</v>
      </c>
      <c r="AH123" s="117" t="n">
        <f aca="false">AG123</f>
        <v>3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187418.68</v>
      </c>
      <c r="C124" s="127" t="n">
        <f aca="false">(C121*C122/100)+C123</f>
        <v>-7378.1749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3336.32</v>
      </c>
      <c r="G124" s="127" t="n">
        <f aca="false">(G121*G122/100)+G123</f>
        <v>26.9999</v>
      </c>
      <c r="H124" s="33"/>
      <c r="J124" s="31" t="s">
        <v>152</v>
      </c>
      <c r="K124" s="126" t="n">
        <f aca="false">(K121*K122)+K123</f>
        <v>187418.68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3336.32</v>
      </c>
      <c r="P124" s="127" t="n">
        <f aca="false">(P121*P122)+P123</f>
        <v>3336.32</v>
      </c>
      <c r="Q124" s="33"/>
      <c r="S124" s="31" t="s">
        <v>152</v>
      </c>
      <c r="T124" s="126" t="n">
        <f aca="false">(T121*T122)+T123</f>
        <v>187418.68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3336.32</v>
      </c>
      <c r="Y124" s="127" t="n">
        <f aca="false">(Y121*Y122)+Y123</f>
        <v>3336.32</v>
      </c>
      <c r="Z124" s="33"/>
      <c r="AB124" s="31" t="s">
        <v>152</v>
      </c>
      <c r="AC124" s="126" t="n">
        <f aca="false">(AC121*AC122)+AC123</f>
        <v>187418.68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3336.32</v>
      </c>
      <c r="AH124" s="127" t="n">
        <f aca="false">(AH121*AH122)+AH123</f>
        <v>3336.32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-140564.51</v>
      </c>
      <c r="C125" s="129" t="n">
        <f aca="false">C121-C124</f>
        <v>54232.3449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-2502.99</v>
      </c>
      <c r="G125" s="129" t="n">
        <f aca="false">G121-G124</f>
        <v>806.3301</v>
      </c>
      <c r="H125" s="65"/>
      <c r="J125" s="56" t="s">
        <v>153</v>
      </c>
      <c r="K125" s="128" t="n">
        <f aca="false">K121-K124</f>
        <v>-140564.51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-2502.99</v>
      </c>
      <c r="P125" s="129" t="n">
        <f aca="false">P121-P124</f>
        <v>-2502.99</v>
      </c>
      <c r="Q125" s="65"/>
      <c r="S125" s="56" t="s">
        <v>153</v>
      </c>
      <c r="T125" s="128" t="n">
        <f aca="false">T121-T124</f>
        <v>-140564.51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-2502.99</v>
      </c>
      <c r="Y125" s="129" t="n">
        <f aca="false">Y121-Y124</f>
        <v>-2502.99</v>
      </c>
      <c r="Z125" s="65"/>
      <c r="AB125" s="56" t="s">
        <v>153</v>
      </c>
      <c r="AC125" s="128" t="n">
        <f aca="false">AC121-AC124</f>
        <v>-140564.51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-2502.99</v>
      </c>
      <c r="AH125" s="129" t="n">
        <f aca="false">AH121-AH124</f>
        <v>-2502.99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45775</v>
      </c>
      <c r="H135" s="150" t="n">
        <f aca="false">C125+E125+G125+H128</f>
        <v>55038.675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45775</v>
      </c>
      <c r="Q135" s="150" t="n">
        <f aca="false">L125+N125+P125+Q128</f>
        <v>26126.18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45775</v>
      </c>
      <c r="Z135" s="150" t="n">
        <f aca="false">U125+W125+Y125+Z128</f>
        <v>32637.6375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45775</v>
      </c>
      <c r="AI135" s="150" t="n">
        <f aca="false">AD125+AF125+AH125+AI128</f>
        <v>32637.6375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10</v>
      </c>
      <c r="H136" s="33" t="n">
        <f aca="false">G136</f>
        <v>10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10</v>
      </c>
      <c r="Q136" s="33" t="n">
        <f aca="false">P136</f>
        <v>10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10</v>
      </c>
      <c r="Z136" s="33" t="n">
        <f aca="false">Y136</f>
        <v>10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10</v>
      </c>
      <c r="AI136" s="33" t="n">
        <f aca="false">AH136</f>
        <v>10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9157</v>
      </c>
      <c r="H137" s="33" t="n">
        <f aca="false">(H135+H136)*20%</f>
        <v>11009.735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9157</v>
      </c>
      <c r="Q137" s="33" t="n">
        <f aca="false">(Q135+Q136)*20%</f>
        <v>5227.236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9157</v>
      </c>
      <c r="Z137" s="33" t="n">
        <f aca="false">(Z135+Z136)*20%</f>
        <v>6529.5275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9157</v>
      </c>
      <c r="AI137" s="33" t="n">
        <f aca="false">(AI135+AI136)*20%</f>
        <v>6529.5275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55582</v>
      </c>
      <c r="H141" s="154" t="n">
        <f aca="false">(H135+H136+H139+H140+H137)-H138</f>
        <v>66698.41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55582</v>
      </c>
      <c r="Q141" s="154" t="n">
        <f aca="false">(Q135+Q136+Q139+Q140+Q137)-Q138</f>
        <v>32003.416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55582</v>
      </c>
      <c r="Z141" s="154" t="n">
        <f aca="false">(Z135+Z136+Z139+Z140+Z137)-Z138</f>
        <v>39817.165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55582</v>
      </c>
      <c r="AI141" s="154" t="n">
        <f aca="false">(AI135+AI136+AI139+AI140+AI137)-AI138</f>
        <v>39817.165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3</v>
      </c>
      <c r="H142" s="40" t="n">
        <f aca="false">G142</f>
        <v>3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3</v>
      </c>
      <c r="Q142" s="40" t="n">
        <f aca="false">P142</f>
        <v>3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3</v>
      </c>
      <c r="Z142" s="40" t="n">
        <f aca="false">Y142</f>
        <v>3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3</v>
      </c>
      <c r="AI142" s="40" t="n">
        <f aca="false">AH142</f>
        <v>3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3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3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55578.4</v>
      </c>
      <c r="H147" s="161" t="n">
        <f aca="false">H141-((H144*1.2)+(H145*1.2)+(H146*1.2)+(H142*1.2))</f>
        <v>66694.81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55578.4</v>
      </c>
      <c r="Q147" s="161" t="n">
        <f aca="false">Q141-((Q144*1.2)+(Q145*1.2)+(Q146*1.2)+(Q142*1.2))</f>
        <v>31999.816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55578.4</v>
      </c>
      <c r="Z147" s="161" t="n">
        <f aca="false">Z141-((Z144*1.2)+(Z145*1.2)+(Z146*1.2)+(Z142*1.2))</f>
        <v>39813.565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55578.4</v>
      </c>
      <c r="AI147" s="161" t="n">
        <f aca="false">AI141-((AI144*1.2)+(AI145*1.2)+(AI146*1.2)+(AI142*1.2))</f>
        <v>39813.565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9263.675</v>
      </c>
      <c r="I148" s="1" t="n">
        <f aca="false">(H148-G81)/1.2</f>
        <v>-45775.9458333333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-23578.584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-15764.835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-15764.835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64194.81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32999.816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40813.565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40813.565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1707.5394615379</v>
      </c>
      <c r="B167" s="174" t="str">
        <f aca="false">B94</f>
        <v>0</v>
      </c>
      <c r="C167" s="171"/>
      <c r="D167" s="171"/>
      <c r="E167" s="174" t="n">
        <f aca="false">B96</f>
        <v>1707.5394615379</v>
      </c>
      <c r="F167" s="23"/>
      <c r="G167" s="23" t="n">
        <f aca="false">ROUND(G95, 2)</f>
        <v>1519.32</v>
      </c>
      <c r="H167" s="33"/>
      <c r="J167" s="173" t="n">
        <f aca="false">K95</f>
        <v>1294.67691688246</v>
      </c>
      <c r="K167" s="174" t="n">
        <f aca="false">K94</f>
        <v>0</v>
      </c>
      <c r="L167" s="171"/>
      <c r="M167" s="171"/>
      <c r="N167" s="174" t="n">
        <f aca="false">K96</f>
        <v>1294.67691688246</v>
      </c>
      <c r="O167" s="23"/>
      <c r="P167" s="23"/>
      <c r="Q167" s="33"/>
      <c r="S167" s="173" t="n">
        <f aca="false">T95</f>
        <v>942.132134875056</v>
      </c>
      <c r="T167" s="174" t="n">
        <f aca="false">T94</f>
        <v>0</v>
      </c>
      <c r="U167" s="171"/>
      <c r="V167" s="171"/>
      <c r="W167" s="174" t="n">
        <f aca="false">T96</f>
        <v>942.132134875056</v>
      </c>
      <c r="X167" s="23"/>
      <c r="Y167" s="23"/>
      <c r="Z167" s="33"/>
      <c r="AB167" s="173" t="n">
        <f aca="false">AC95</f>
        <v>942.132134875056</v>
      </c>
      <c r="AC167" s="174" t="n">
        <f aca="false">AC94</f>
        <v>0</v>
      </c>
      <c r="AD167" s="171"/>
      <c r="AE167" s="171"/>
      <c r="AF167" s="174" t="n">
        <f aca="false">AC96</f>
        <v>942.132134875056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H141-H137-H139-H140-H16</f>
        <v>55045.675</v>
      </c>
      <c r="B173" s="99" t="n">
        <f aca="false">H137</f>
        <v>11009.735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26136.18</v>
      </c>
      <c r="K173" s="99" t="n">
        <f aca="false">Q137</f>
        <v>5227.236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32647.6375</v>
      </c>
      <c r="T173" s="99" t="n">
        <f aca="false">Z137</f>
        <v>6529.5275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32647.6375</v>
      </c>
      <c r="AC173" s="99" t="n">
        <f aca="false">AI137</f>
        <v>6529.5275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66694.81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32003.416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39817.165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39817.165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64194.81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33003.416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40817.165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40817.165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15569.0711538266</v>
      </c>
      <c r="B182" s="99" t="str">
        <f aca="false">B114</f>
        <v>199.99</v>
      </c>
      <c r="C182" s="99"/>
      <c r="D182" s="23"/>
      <c r="E182" s="99" t="n">
        <f aca="false">E179+A182+(B182*1.2)+A185</f>
        <v>80013.8691538266</v>
      </c>
      <c r="F182" s="23"/>
      <c r="G182" s="23"/>
      <c r="H182" s="101"/>
      <c r="J182" s="107" t="n">
        <f aca="false">(J167*K59)+N185-N179-J185</f>
        <v>32310.2760908861</v>
      </c>
      <c r="K182" s="99" t="n">
        <f aca="false">K114</f>
        <v>239.99</v>
      </c>
      <c r="L182" s="99"/>
      <c r="M182" s="23"/>
      <c r="N182" s="99" t="n">
        <f aca="false">N179+J182+K182+J185</f>
        <v>65573.6820908861</v>
      </c>
      <c r="O182" s="23"/>
      <c r="P182" s="23"/>
      <c r="Q182" s="101"/>
      <c r="S182" s="107" t="n">
        <f aca="false">(S167*T59)+W185-W179-S185</f>
        <v>12157.459720627</v>
      </c>
      <c r="T182" s="99" t="n">
        <f aca="false">T114</f>
        <v>199.99</v>
      </c>
      <c r="U182" s="99"/>
      <c r="V182" s="23"/>
      <c r="W182" s="99" t="n">
        <f aca="false">W179+S182+T182+S185</f>
        <v>53184.614720627</v>
      </c>
      <c r="X182" s="23"/>
      <c r="Y182" s="23"/>
      <c r="Z182" s="101"/>
      <c r="AB182" s="107" t="n">
        <f aca="false">(AB167*AC59)+AF185-AF179-AB185</f>
        <v>12157.459720627</v>
      </c>
      <c r="AC182" s="99" t="n">
        <f aca="false">AC114</f>
        <v>239.99</v>
      </c>
      <c r="AD182" s="99"/>
      <c r="AE182" s="23"/>
      <c r="AF182" s="99" t="n">
        <f aca="false">AF179+AB182+AC182+AB185</f>
        <v>53224.6147206269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534.95675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0.111164</v>
      </c>
      <c r="K188" s="99" t="n">
        <f aca="false">(P158*K67)/1.2</f>
        <v>2062.4885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340.113041666667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340.113041666667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634.94675</v>
      </c>
      <c r="C191" s="130"/>
      <c r="D191" s="130"/>
      <c r="E191" s="99" t="n">
        <f aca="false">H148</f>
        <v>9263.675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3202.4785</v>
      </c>
      <c r="L191" s="130"/>
      <c r="M191" s="130"/>
      <c r="N191" s="99" t="n">
        <f aca="false">Q148</f>
        <v>-23578.584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1440.10304166667</v>
      </c>
      <c r="U191" s="130"/>
      <c r="V191" s="130"/>
      <c r="W191" s="99" t="n">
        <f aca="false">Z148</f>
        <v>-15764.835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1480.10304166667</v>
      </c>
      <c r="AD191" s="130"/>
      <c r="AE191" s="130"/>
      <c r="AF191" s="99" t="n">
        <f aca="false">AI148</f>
        <v>-15764.835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1707.5394615379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1294.67691688246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942.132134875056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942.132134875056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8981.39</v>
      </c>
      <c r="B201" s="183" t="n">
        <f aca="false">E179+A201+(B182*1.2)+A185</f>
        <v>73426.188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1707.5394615379</v>
      </c>
      <c r="B212" s="174" t="str">
        <f aca="false">B167</f>
        <v>0</v>
      </c>
      <c r="C212" s="171"/>
      <c r="D212" s="171"/>
      <c r="E212" s="174" t="n">
        <f aca="false">E167</f>
        <v>1707.5394615379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55045.675</v>
      </c>
      <c r="B215" s="99" t="n">
        <f aca="false">B173</f>
        <v>11009.735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66694.81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64194.81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15569.0711538266</v>
      </c>
      <c r="B224" s="99" t="str">
        <f aca="false">B182</f>
        <v>199.99</v>
      </c>
      <c r="C224" s="99"/>
      <c r="D224" s="109"/>
      <c r="E224" s="99" t="n">
        <f aca="false">E182</f>
        <v>80013.8691538266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1707.5394615379</v>
      </c>
      <c r="B230" s="99" t="str">
        <f aca="false">B167</f>
        <v>0</v>
      </c>
      <c r="C230" s="183"/>
      <c r="D230" s="183"/>
      <c r="E230" s="99" t="n">
        <f aca="false">E167</f>
        <v>1707.5394615379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9263.675</v>
      </c>
      <c r="B240" s="99" t="n">
        <f aca="false">B68</f>
        <v>534.95675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9898.62175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6597.6811538266</v>
      </c>
      <c r="C254" s="194"/>
      <c r="D254" s="195" t="s">
        <v>213</v>
      </c>
      <c r="E254" s="195"/>
      <c r="F254" s="196" t="n">
        <f aca="false">F261+F267+F269+B270+B271</f>
        <v>641.9481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6055.72305382661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6597.6811538266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641.9481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6055.72305382661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1343.55272870724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n">
        <f aca="false">IF(B26="YES", K42, "0.00")</f>
        <v>66.99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29590.2288400368</v>
      </c>
      <c r="N39" s="1" t="n">
        <f aca="false">K39-L39</f>
        <v>17287.2711599632</v>
      </c>
      <c r="P39" s="208"/>
    </row>
    <row r="40" customFormat="false" ht="17.35" hidden="false" customHeight="false" outlineLevel="0" collapsed="false">
      <c r="A40" s="103" t="n">
        <f aca="false">E36*A45/100</f>
        <v>9150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17287.2711599632</v>
      </c>
      <c r="N40" s="1" t="n">
        <f aca="false">N38-N39</f>
        <v>-14375.5911599632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733.01</v>
      </c>
      <c r="M47" s="1" t="n">
        <f aca="false">K47-L47</f>
        <v>543.552728707238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1343.55272870724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1343.55272870724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12826.2632612738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1343.55272870724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1343.55272870724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6706.34237302299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49418.657626977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1691.35172841256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57505.9587660271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57505.9587660271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1691.35172841256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1790.65455194197</v>
      </c>
      <c r="C96" s="130"/>
      <c r="D96" s="130"/>
      <c r="E96" s="109"/>
      <c r="F96" s="93" t="s">
        <v>119</v>
      </c>
      <c r="G96" s="94" t="n">
        <f aca="false">G94+G95</f>
        <v>1650.11167945643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1876.95254407493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1422.37596906417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1691.35172841256</v>
      </c>
      <c r="B167" s="174" t="n">
        <f aca="false">B94</f>
        <v>99.3028235294118</v>
      </c>
      <c r="C167" s="171"/>
      <c r="D167" s="171"/>
      <c r="E167" s="174" t="n">
        <f aca="false">B96</f>
        <v>1790.65455194197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82.7523529411765</v>
      </c>
      <c r="U167" s="171"/>
      <c r="V167" s="171"/>
      <c r="W167" s="174" t="n">
        <f aca="false">T96</f>
        <v>1876.95254407493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99.3028235294118</v>
      </c>
      <c r="AD167" s="171"/>
      <c r="AE167" s="171"/>
      <c r="AF167" s="174" t="n">
        <f aca="false">AC96</f>
        <v>1422.37596906417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10530.9587660271</v>
      </c>
      <c r="B182" s="99" t="str">
        <f aca="false">B114</f>
        <v>239.99</v>
      </c>
      <c r="C182" s="99"/>
      <c r="D182" s="23"/>
      <c r="E182" s="99" t="n">
        <f aca="false">E179+A182+B182+A185</f>
        <v>66905.9487660271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13.3164</v>
      </c>
      <c r="B188" s="99" t="n">
        <f aca="false">(G158*B67)</f>
        <v>549.557291666667</v>
      </c>
      <c r="C188" s="130"/>
      <c r="D188" s="130"/>
      <c r="E188" s="99" t="n">
        <f aca="false">(E40*A108)*0.1*(C45/100)</f>
        <v>46.893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696.441958333334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1611.90913924132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1543.20786163194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1790.65455194197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1876.95254407493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1422.37596906417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1691.35172841256</v>
      </c>
      <c r="B212" s="174" t="n">
        <f aca="false">B167</f>
        <v>99.3028235294118</v>
      </c>
      <c r="C212" s="171"/>
      <c r="D212" s="171"/>
      <c r="E212" s="174" t="n">
        <f aca="false">E167</f>
        <v>1790.65455194197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10530.9587660271</v>
      </c>
      <c r="B224" s="99" t="str">
        <f aca="false">B182</f>
        <v>239.99</v>
      </c>
      <c r="C224" s="99"/>
      <c r="D224" s="109"/>
      <c r="E224" s="99" t="n">
        <f aca="false">E182</f>
        <v>66905.9487660271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1691.35172841256</v>
      </c>
      <c r="B230" s="99" t="n">
        <f aca="false">B167</f>
        <v>99.3028235294118</v>
      </c>
      <c r="C230" s="183"/>
      <c r="D230" s="183"/>
      <c r="E230" s="99" t="n">
        <f aca="false">E167</f>
        <v>1790.65455194197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604.849076388889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4225.71876602712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4245.08314102712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4225.71876602712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4245.08314102712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393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1030.0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1276.56272870724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str">
        <f aca="false">IF(B26="YES", K42, "0.00")</f>
        <v>0.00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31720.7936111129</v>
      </c>
      <c r="N39" s="1" t="n">
        <f aca="false">K39-L39</f>
        <v>15156.7063888871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15156.7063888871</v>
      </c>
      <c r="N40" s="1" t="n">
        <f aca="false">N38-N39</f>
        <v>-12245.0263888871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800</v>
      </c>
      <c r="M47" s="1" t="n">
        <f aca="false">K47-L47</f>
        <v>476.562728707238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1276.56272870724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1276.56272870724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15953.591134468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1276.56272870724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1276.56272870724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0.1375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6141.02978336746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28.0284160988594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49983.9702166325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1783.3319599771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60633.2866392214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60633.2866392214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1783.3319599771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1783.3319599771</v>
      </c>
      <c r="C96" s="130"/>
      <c r="D96" s="130"/>
      <c r="E96" s="109"/>
      <c r="F96" s="93" t="s">
        <v>119</v>
      </c>
      <c r="G96" s="94" t="n">
        <f aca="false">G94+G95</f>
        <v>1567.35932651525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1794.20019113375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1323.07314553476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393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395</v>
      </c>
      <c r="C108" s="103"/>
      <c r="D108" s="103"/>
      <c r="E108" s="104" t="n">
        <f aca="false">B83</f>
        <v>0.1375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391</v>
      </c>
      <c r="B111" s="103" t="n">
        <v>5000.0</v>
      </c>
      <c r="C111" s="103"/>
      <c r="D111" s="103"/>
      <c r="E111" s="103" t="n">
        <v>8000.0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1783.3319599771</v>
      </c>
      <c r="B167" s="174" t="str">
        <f aca="false">B94</f>
        <v>0</v>
      </c>
      <c r="C167" s="171"/>
      <c r="D167" s="171"/>
      <c r="E167" s="174" t="n">
        <f aca="false">B96</f>
        <v>1783.3319599771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0</v>
      </c>
      <c r="U167" s="171"/>
      <c r="V167" s="171"/>
      <c r="W167" s="174" t="n">
        <f aca="false">T96</f>
        <v>1794.20019113375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0</v>
      </c>
      <c r="AD167" s="171"/>
      <c r="AE167" s="171"/>
      <c r="AF167" s="174" t="n">
        <f aca="false">AC96</f>
        <v>1323.07314553476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13658.2866392214</v>
      </c>
      <c r="B182" s="99" t="str">
        <f aca="false">B114</f>
        <v>239.99</v>
      </c>
      <c r="C182" s="99"/>
      <c r="D182" s="23"/>
      <c r="E182" s="99" t="n">
        <f aca="false">E179+A182+B182+A185</f>
        <v>70033.2766392214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457.964409722222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557.956076388889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1565.01613924132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1496.31486163194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1783.3319599771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1794.20019113375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1323.07314553476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1783.3319599771</v>
      </c>
      <c r="B212" s="174" t="str">
        <f aca="false">B167</f>
        <v>0</v>
      </c>
      <c r="C212" s="171"/>
      <c r="D212" s="171"/>
      <c r="E212" s="174" t="n">
        <f aca="false">E167</f>
        <v>1783.3319599771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13658.2866392214</v>
      </c>
      <c r="B224" s="99" t="str">
        <f aca="false">B182</f>
        <v>239.99</v>
      </c>
      <c r="C224" s="99"/>
      <c r="D224" s="109"/>
      <c r="E224" s="99" t="n">
        <f aca="false">E182</f>
        <v>70033.2766392214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1783.3319599771</v>
      </c>
      <c r="B230" s="99" t="str">
        <f aca="false">B167</f>
        <v>0</v>
      </c>
      <c r="C230" s="183"/>
      <c r="D230" s="183"/>
      <c r="E230" s="99" t="n">
        <f aca="false">E167</f>
        <v>1783.3319599771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39.9492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557.956076388889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7353.04663922136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6903.48101422136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B254</f>
        <v>7353.04663922136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6903.48101422136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0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10980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3282.3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1330.86736021749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1237.08736021749</v>
      </c>
      <c r="B36" s="228" t="n">
        <f aca="false">IF(B26="YES", K42, "0.00")</f>
        <v>93.78</v>
      </c>
      <c r="C36" s="228"/>
      <c r="D36" s="228"/>
      <c r="E36" s="228" t="n">
        <f aca="false">K31</f>
        <v>10980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29993.6771041417</v>
      </c>
      <c r="N39" s="1" t="n">
        <f aca="false">K39-L39</f>
        <v>16883.8228958583</v>
      </c>
      <c r="P39" s="208"/>
    </row>
    <row r="40" customFormat="false" ht="17.35" hidden="false" customHeight="false" outlineLevel="0" collapsed="false">
      <c r="A40" s="312" t="n">
        <f aca="false">E36*A45/100</f>
        <v>10980</v>
      </c>
      <c r="B40" s="103" t="n">
        <f aca="false">IF(B26="YES", K42, "0.00")</f>
        <v>93.78</v>
      </c>
      <c r="C40" s="103"/>
      <c r="D40" s="103"/>
      <c r="E40" s="179" t="n">
        <f aca="false">K32</f>
        <v>3282.3</v>
      </c>
      <c r="F40" s="183"/>
      <c r="G40" s="183"/>
      <c r="H40" s="47"/>
      <c r="J40" s="2" t="s">
        <v>106</v>
      </c>
      <c r="K40" s="2" t="n">
        <f aca="false">(A40)/1.2</f>
        <v>9150</v>
      </c>
      <c r="L40" s="2" t="n">
        <f aca="false">K39-L39</f>
        <v>16883.8228958583</v>
      </c>
      <c r="N40" s="1" t="n">
        <f aca="false">N38-N39</f>
        <v>-13972.1428958583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93.78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7532.90008325244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39344.5999167476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1237.08736021749</v>
      </c>
      <c r="L47" s="2" t="n">
        <f aca="false">L49-K42</f>
        <v>706.22</v>
      </c>
      <c r="M47" s="1" t="n">
        <f aca="false">K47-L47</f>
        <v>530.867360217486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1330.86736021749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1330.86736021749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23745.7999041337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7915.57075302963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16199.9748689967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181.655318631114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529.15801875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1237.08736021749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1237.08736021749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1330.86736021749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1330.86736021749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64850.004</v>
      </c>
      <c r="C81" s="130"/>
      <c r="D81" s="130"/>
      <c r="E81" s="109"/>
      <c r="F81" s="25" t="s">
        <v>105</v>
      </c>
      <c r="G81" s="27" t="n">
        <f aca="false">G158</f>
        <v>64850.004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10980</v>
      </c>
      <c r="C82" s="130"/>
      <c r="D82" s="130"/>
      <c r="E82" s="109"/>
      <c r="F82" s="31" t="s">
        <v>106</v>
      </c>
      <c r="G82" s="33" t="n">
        <f aca="false">IF(A111 = "Yes", A40, 0)</f>
        <v>10980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10980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10980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7863.68856360932</v>
      </c>
      <c r="C86" s="130"/>
      <c r="D86" s="130"/>
      <c r="E86" s="109"/>
      <c r="F86" s="31" t="s">
        <v>110</v>
      </c>
      <c r="G86" s="33" t="n">
        <f aca="false">(G82/((1+G84)^(G85+1)))</f>
        <v>9088.44395044407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7508.70178550827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7508.70178550827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56986.3154363907</v>
      </c>
      <c r="C88" s="130"/>
      <c r="D88" s="130"/>
      <c r="E88" s="109"/>
      <c r="F88" s="31" t="s">
        <v>112</v>
      </c>
      <c r="G88" s="33" t="n">
        <f aca="false">G81-G86</f>
        <v>55761.5600495559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49481.7357044917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36160.0472144917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1971.87816211017</v>
      </c>
      <c r="C89" s="130"/>
      <c r="D89" s="130"/>
      <c r="E89" s="109"/>
      <c r="F89" s="31" t="s">
        <v>113</v>
      </c>
      <c r="G89" s="33" t="n">
        <f aca="false">(G88/G87)</f>
        <v>1800.12496330251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1749.94213166496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1278.81508606597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67043.8575117457</v>
      </c>
      <c r="C90" s="130"/>
      <c r="D90" s="130"/>
      <c r="E90" s="109"/>
      <c r="F90" s="31" t="s">
        <v>114</v>
      </c>
      <c r="G90" s="33" t="n">
        <f aca="false">((G89*(G85))+G77)</f>
        <v>61204.2487522854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59498.0324766088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43479.7129262431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67043.8575117457</v>
      </c>
      <c r="C92" s="130"/>
      <c r="D92" s="130"/>
      <c r="E92" s="109"/>
      <c r="F92" s="56" t="s">
        <v>116</v>
      </c>
      <c r="G92" s="65" t="n">
        <f aca="false">(G90+G91)</f>
        <v>61204.2487522854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59498.0324766088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43479.7129262431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125.499705882353</v>
      </c>
      <c r="C94" s="130"/>
      <c r="D94" s="130"/>
      <c r="E94" s="109"/>
      <c r="F94" s="88" t="s">
        <v>117</v>
      </c>
      <c r="G94" s="259" t="n">
        <f aca="false">IF(B26="YES",((E40/B85)*(1+A108)*(C45/100)),"0")</f>
        <v>125.499705882353</v>
      </c>
      <c r="H94" s="33"/>
      <c r="J94" s="88" t="s">
        <v>117</v>
      </c>
      <c r="K94" s="89" t="n">
        <f aca="false">((E40/K85)*(1+J108))*1.2</f>
        <v>146.2968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115.845882352941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139.015058823529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1971.87816211017</v>
      </c>
      <c r="C95" s="130"/>
      <c r="D95" s="130"/>
      <c r="E95" s="109"/>
      <c r="F95" s="91" t="s">
        <v>118</v>
      </c>
      <c r="G95" s="92" t="n">
        <f aca="false">G92/(G85)</f>
        <v>1800.12496330251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1749.94213166496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1278.81508606597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2097.37786799252</v>
      </c>
      <c r="C96" s="130"/>
      <c r="D96" s="130"/>
      <c r="E96" s="109"/>
      <c r="F96" s="93" t="s">
        <v>119</v>
      </c>
      <c r="G96" s="94" t="n">
        <f aca="false">G94+G95</f>
        <v>1925.62466918486</v>
      </c>
      <c r="H96" s="33"/>
      <c r="J96" s="93" t="s">
        <v>119</v>
      </c>
      <c r="K96" s="94" t="n">
        <f aca="false">(K94+K95)</f>
        <v>1652.5799870777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1865.7880140179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1417.8301448895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-9354.17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54208.34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55041.67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11118.334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67350.004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67350.004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9354.17</v>
      </c>
      <c r="I148" s="1" t="n">
        <f aca="false">(H148-G81)/1.2</f>
        <v>-46246.5283333333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64850.004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384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1971.87816211017</v>
      </c>
      <c r="B167" s="174" t="n">
        <f aca="false">B94</f>
        <v>125.499705882353</v>
      </c>
      <c r="C167" s="171"/>
      <c r="D167" s="171"/>
      <c r="E167" s="174" t="n">
        <f aca="false">B96</f>
        <v>2097.37786799252</v>
      </c>
      <c r="F167" s="23"/>
      <c r="G167" s="23" t="n">
        <f aca="false">ROUND(G95, 2)</f>
        <v>1800.12</v>
      </c>
      <c r="H167" s="33"/>
      <c r="J167" s="173" t="n">
        <f aca="false">K95</f>
        <v>1506.2831870777</v>
      </c>
      <c r="K167" s="174" t="n">
        <f aca="false">K94</f>
        <v>146.2968</v>
      </c>
      <c r="L167" s="171"/>
      <c r="M167" s="171"/>
      <c r="N167" s="174" t="n">
        <f aca="false">K96</f>
        <v>1652.5799870777</v>
      </c>
      <c r="O167" s="23"/>
      <c r="P167" s="23"/>
      <c r="Q167" s="33"/>
      <c r="S167" s="173" t="n">
        <f aca="false">T95</f>
        <v>1749.94213166496</v>
      </c>
      <c r="T167" s="174" t="n">
        <f aca="false">T94</f>
        <v>115.845882352941</v>
      </c>
      <c r="U167" s="171"/>
      <c r="V167" s="171"/>
      <c r="W167" s="174" t="n">
        <f aca="false">T96</f>
        <v>1865.7880140179</v>
      </c>
      <c r="X167" s="23"/>
      <c r="Y167" s="23"/>
      <c r="Z167" s="33"/>
      <c r="AB167" s="173" t="n">
        <f aca="false">AC95</f>
        <v>1278.81508606597</v>
      </c>
      <c r="AC167" s="174" t="n">
        <f aca="false">AC94</f>
        <v>139.015058823529</v>
      </c>
      <c r="AD167" s="171"/>
      <c r="AE167" s="171"/>
      <c r="AF167" s="174" t="n">
        <f aca="false">AC96</f>
        <v>1417.8301448895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10980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10980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10980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10980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55591.67</v>
      </c>
      <c r="B173" s="99" t="n">
        <f aca="false">H137</f>
        <v>11118.334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67350.004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64850.004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13173.8535117457</v>
      </c>
      <c r="B182" s="99" t="str">
        <f aca="false">B114</f>
        <v>199.99</v>
      </c>
      <c r="C182" s="99"/>
      <c r="D182" s="23"/>
      <c r="E182" s="99" t="n">
        <f aca="false">E179+A182+B182+A185</f>
        <v>78233.8475117457</v>
      </c>
      <c r="F182" s="23"/>
      <c r="G182" s="23"/>
      <c r="H182" s="101"/>
      <c r="J182" s="107" t="n">
        <f aca="false">(J167*K59)+N185-N179-J185</f>
        <v>24538.6283606416</v>
      </c>
      <c r="K182" s="99" t="n">
        <f aca="false">K114</f>
        <v>239.99</v>
      </c>
      <c r="L182" s="99"/>
      <c r="M182" s="23"/>
      <c r="N182" s="99" t="n">
        <f aca="false">N179+J182+K182+J185</f>
        <v>62453.6183606416</v>
      </c>
      <c r="O182" s="23"/>
      <c r="P182" s="23"/>
      <c r="Q182" s="101"/>
      <c r="S182" s="107" t="n">
        <f aca="false">(S167*T59)+W185-W179-S185</f>
        <v>13487.5949866088</v>
      </c>
      <c r="T182" s="99" t="n">
        <f aca="false">T114</f>
        <v>199.99</v>
      </c>
      <c r="U182" s="99"/>
      <c r="V182" s="23"/>
      <c r="W182" s="99" t="n">
        <f aca="false">W179+S182+T182+S185</f>
        <v>70688.0224766088</v>
      </c>
      <c r="X182" s="23"/>
      <c r="Y182" s="23"/>
      <c r="Z182" s="101"/>
      <c r="AB182" s="107" t="n">
        <f aca="false">(AB167*AC59)+AF185-AF179-AB185</f>
        <v>10790.9639262431</v>
      </c>
      <c r="AC182" s="99" t="n">
        <f aca="false">AC114</f>
        <v>239.99</v>
      </c>
      <c r="AD182" s="99"/>
      <c r="AE182" s="23"/>
      <c r="AF182" s="99" t="n">
        <f aca="false">AF179+AB182+AC182+AB185</f>
        <v>54709.7029262431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10990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11000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10990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10990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11.097</v>
      </c>
      <c r="B188" s="99" t="n">
        <f aca="false">(G158*B67)/1.2</f>
        <v>529.15801875</v>
      </c>
      <c r="C188" s="130"/>
      <c r="D188" s="130"/>
      <c r="E188" s="99" t="n">
        <f aca="false">(E40*A108)*0.1*(C45/100)</f>
        <v>98.469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98.469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65.646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65.646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727.61701875</v>
      </c>
      <c r="C191" s="130"/>
      <c r="D191" s="130"/>
      <c r="E191" s="99" t="n">
        <f aca="false">H148</f>
        <v>9354.17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3559.20986805556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1630.66213924132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1561.96086163194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2097.37786799252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1652.5799870777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1865.7880140179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1417.8301448895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385</v>
      </c>
      <c r="B200" s="130" t="s">
        <v>386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7334.07599999999</v>
      </c>
      <c r="B201" s="183" t="n">
        <f aca="false">E179+A201+(B182*1.2)+A185</f>
        <v>72434.068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1971.87816211017</v>
      </c>
      <c r="B212" s="174" t="n">
        <f aca="false">B167</f>
        <v>125.499705882353</v>
      </c>
      <c r="C212" s="171"/>
      <c r="D212" s="171"/>
      <c r="E212" s="174" t="n">
        <f aca="false">E167</f>
        <v>2097.37786799252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55591.67</v>
      </c>
      <c r="B215" s="99" t="n">
        <f aca="false">B173</f>
        <v>11118.334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67350.004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64850.004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13173.8535117457</v>
      </c>
      <c r="B224" s="99" t="str">
        <f aca="false">B182</f>
        <v>199.99</v>
      </c>
      <c r="C224" s="99"/>
      <c r="D224" s="109"/>
      <c r="E224" s="99" t="n">
        <f aca="false">E182</f>
        <v>78233.8475117457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1971.87816211017</v>
      </c>
      <c r="B230" s="99" t="n">
        <f aca="false">B167</f>
        <v>125.499705882353</v>
      </c>
      <c r="C230" s="183"/>
      <c r="D230" s="183"/>
      <c r="E230" s="99" t="n">
        <f aca="false">E167</f>
        <v>2097.37786799252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10980</v>
      </c>
      <c r="B233" s="99" t="n">
        <f aca="false">E185</f>
        <v>10990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9354.17</v>
      </c>
      <c r="B240" s="99" t="n">
        <f aca="false">B68</f>
        <v>529.15801875</v>
      </c>
      <c r="C240" s="130"/>
      <c r="D240" s="130"/>
      <c r="E240" s="99" t="n">
        <f aca="false">E188</f>
        <v>98.469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10081.78701875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5809.7795117457</v>
      </c>
      <c r="C254" s="194"/>
      <c r="D254" s="195" t="s">
        <v>213</v>
      </c>
      <c r="E254" s="195"/>
      <c r="F254" s="196" t="n">
        <f aca="false">F261+F267+F269+B270+B271</f>
        <v>634.9896225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1084.68</v>
      </c>
      <c r="C255" s="194"/>
      <c r="D255" s="195" t="s">
        <v>215</v>
      </c>
      <c r="E255" s="195"/>
      <c r="F255" s="196" t="n">
        <f aca="false">(B254-F254)+B255</f>
        <v>6259.4698892457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5809.7795117457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634.9896225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984.69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6259.4698892457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14325</v>
      </c>
      <c r="I31" s="234" t="n">
        <f aca="false">IF(C107="YES",H31,0)</f>
        <v>14325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1845.83241193248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1845.83241193248</v>
      </c>
      <c r="B36" s="99" t="str">
        <f aca="false">IF(B26="YES", H42, "")</f>
        <v/>
      </c>
      <c r="C36" s="217"/>
      <c r="D36" s="181" t="n">
        <f aca="false">I31</f>
        <v>14325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39504.5591381392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14325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11937.5</v>
      </c>
      <c r="I40" s="234" t="n">
        <f aca="false">H39-I39</f>
        <v>9222.94086186084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10542.7410625153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38184.7589374847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1845.83241193248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1845.83241193248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1845.83241193248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6221.77291666667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282.807859848485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1845.83241193248</v>
      </c>
      <c r="C83" s="211"/>
      <c r="D83" s="211"/>
      <c r="E83" s="212"/>
      <c r="F83" s="63"/>
      <c r="G83" s="304" t="s">
        <v>104</v>
      </c>
      <c r="H83" s="305" t="n">
        <f aca="false">H47</f>
        <v>1845.83241193248</v>
      </c>
      <c r="I83" s="211"/>
      <c r="J83" s="211"/>
      <c r="K83" s="212"/>
      <c r="L83" s="63"/>
      <c r="M83" s="304" t="s">
        <v>104</v>
      </c>
      <c r="N83" s="305" t="n">
        <f aca="false">H47</f>
        <v>1845.83241193248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46830.0859791813</v>
      </c>
      <c r="C85" s="211"/>
      <c r="D85" s="211"/>
      <c r="E85" s="212"/>
      <c r="F85" s="63"/>
      <c r="G85" s="287" t="s">
        <v>114</v>
      </c>
      <c r="H85" s="127" t="n">
        <f aca="false">((H83*H29)+H81)*1.2</f>
        <v>55577.6031750176</v>
      </c>
      <c r="I85" s="211"/>
      <c r="J85" s="211"/>
      <c r="K85" s="212"/>
      <c r="L85" s="63"/>
      <c r="M85" s="287" t="s">
        <v>114</v>
      </c>
      <c r="N85" s="127" t="n">
        <f aca="false">((N83*H29)+N81)</f>
        <v>46163.4193125146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396.705044599761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392.338868722391</v>
      </c>
      <c r="I86" s="211"/>
      <c r="J86" s="211"/>
      <c r="K86" s="212"/>
      <c r="L86" s="63"/>
      <c r="M86" s="210" t="s">
        <v>115</v>
      </c>
      <c r="N86" s="299" t="n">
        <f aca="false">(N85/(1-N70))*N70</f>
        <v>391.057606116502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47226.7910237811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55969.94204374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46554.4769186312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2146.67231926278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2072.96081643481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1724.23988587523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2146.67231926278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2072.96081643481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1724.23988587523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2072.96081643481</v>
      </c>
      <c r="H127" s="174" t="n">
        <f aca="false">IF(G105="YES", H89*H57, 0)</f>
        <v>0</v>
      </c>
      <c r="I127" s="174"/>
      <c r="J127" s="333" t="n">
        <f aca="false">H91</f>
        <v>2072.96081643481</v>
      </c>
      <c r="K127" s="212"/>
      <c r="L127" s="63"/>
      <c r="M127" s="332" t="n">
        <f aca="false">N90</f>
        <v>1724.23988587523</v>
      </c>
      <c r="N127" s="174" t="n">
        <f aca="false">IF(M105="YES", N89*N57, 0)</f>
        <v>0</v>
      </c>
      <c r="O127" s="174"/>
      <c r="P127" s="174" t="n">
        <f aca="false">N91</f>
        <v>1724.23988587523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2146.67231926278</v>
      </c>
      <c r="B128" s="320" t="n">
        <f aca="false">IF(A105="YES", B89, 0)</f>
        <v>0</v>
      </c>
      <c r="C128" s="324"/>
      <c r="D128" s="320" t="n">
        <f aca="false">B91</f>
        <v>2146.67231926278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2146.67231926278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12437.7648986089</v>
      </c>
      <c r="H133" s="99" t="n">
        <f aca="false">IF(G105="YES", H89*H57, 0)</f>
        <v>0</v>
      </c>
      <c r="I133" s="217"/>
      <c r="J133" s="181" t="n">
        <f aca="false">H91*H57</f>
        <v>12437.7648986089</v>
      </c>
      <c r="K133" s="212"/>
      <c r="L133" s="63"/>
      <c r="M133" s="182" t="n">
        <f aca="false">N90*N57</f>
        <v>10345.4393152514</v>
      </c>
      <c r="N133" s="99" t="n">
        <f aca="false">IF(M105="YES", N89*N57, 0)</f>
        <v>0</v>
      </c>
      <c r="O133" s="217"/>
      <c r="P133" s="181" t="n">
        <f aca="false">N91*N57</f>
        <v>10345.4393152514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2146.67231926278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2146.67231926278</v>
      </c>
      <c r="B137" s="38" t="n">
        <f aca="false">IF(A105="YES", B89, 0)</f>
        <v>0</v>
      </c>
      <c r="C137" s="316"/>
      <c r="D137" s="38" t="n">
        <f aca="false">B91</f>
        <v>2146.67231926278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910.00875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2072.96081643481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1724.23988587523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2146.67231926278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2146.67231926278</v>
      </c>
      <c r="B177" s="354" t="n">
        <f aca="false">IF(A105="YES", B89, 0)</f>
        <v>0</v>
      </c>
      <c r="C177" s="356"/>
      <c r="D177" s="354" t="n">
        <f aca="false">B91</f>
        <v>2146.67231926278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2146.67231926278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2146.67231926278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2146.67231926278</v>
      </c>
      <c r="B186" s="99" t="n">
        <f aca="false">IF(A105="YES", B89, 0)</f>
        <v>0</v>
      </c>
      <c r="C186" s="352"/>
      <c r="D186" s="99" t="n">
        <f aca="false">B91</f>
        <v>2146.67231926278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910.00875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396.705044599761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28650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1336.20150930817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1336.20150930817</v>
      </c>
      <c r="B36" s="99" t="str">
        <f aca="false">IF(B26="YES", H42, "")</f>
        <v/>
      </c>
      <c r="C36" s="217"/>
      <c r="D36" s="181" t="n">
        <f aca="false">H31</f>
        <v>28650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50047.3002006544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28650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23875</v>
      </c>
      <c r="I40" s="234" t="n">
        <f aca="false">H39-I39</f>
        <v>-1319.80020065443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21085.4821250306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10" t="n">
        <v>100</v>
      </c>
      <c r="D45" s="510"/>
      <c r="E45" s="212"/>
      <c r="F45" s="63"/>
      <c r="G45" s="63" t="s">
        <v>372</v>
      </c>
      <c r="H45" s="234" t="n">
        <f aca="false">(H39-H44)</f>
        <v>27642.0178749694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1336.20150930817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1336.20150930817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1336.20150930817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155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335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449.166666666667</v>
      </c>
      <c r="C76" s="211"/>
      <c r="D76" s="290" t="n">
        <f aca="false">B76</f>
        <v>449.166666666667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465" t="n">
        <f aca="false">(D73+D76+D79+D80)/(B58+B57)</f>
        <v>50.3712121212121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6670.93958333333</v>
      </c>
      <c r="C81" s="211"/>
      <c r="D81" s="211"/>
      <c r="E81" s="465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303.224526515152</v>
      </c>
      <c r="C82" s="211"/>
      <c r="D82" s="211"/>
      <c r="E82" s="465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1336.20150930817</v>
      </c>
      <c r="C83" s="211"/>
      <c r="D83" s="211"/>
      <c r="E83" s="465" t="n">
        <f aca="false">B83+E80+E77+E64</f>
        <v>1629.32502572231</v>
      </c>
      <c r="F83" s="63"/>
      <c r="G83" s="304" t="s">
        <v>104</v>
      </c>
      <c r="H83" s="305" t="n">
        <f aca="false">H47</f>
        <v>1336.20150930817</v>
      </c>
      <c r="I83" s="211"/>
      <c r="J83" s="211"/>
      <c r="K83" s="212"/>
      <c r="L83" s="63"/>
      <c r="M83" s="304" t="s">
        <v>104</v>
      </c>
      <c r="N83" s="305" t="n">
        <f aca="false">H47</f>
        <v>1336.20150930817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43280.8473457357</v>
      </c>
      <c r="C85" s="211"/>
      <c r="D85" s="211"/>
      <c r="E85" s="465" t="n">
        <f aca="false">B85/(B58+B57)</f>
        <v>1967.31124298798</v>
      </c>
      <c r="F85" s="63"/>
      <c r="G85" s="287" t="s">
        <v>114</v>
      </c>
      <c r="H85" s="127" t="n">
        <f aca="false">((H83*H29)+H81)*1.2</f>
        <v>42123.3473457357</v>
      </c>
      <c r="I85" s="211"/>
      <c r="J85" s="211"/>
      <c r="K85" s="212"/>
      <c r="L85" s="63"/>
      <c r="M85" s="287" t="s">
        <v>114</v>
      </c>
      <c r="N85" s="127" t="n">
        <f aca="false">((N83*H29)+N81)</f>
        <v>34951.5394547797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305.532403610478</v>
      </c>
      <c r="C86" s="211"/>
      <c r="D86" s="211"/>
      <c r="E86" s="465" t="n">
        <f aca="false">B86/(B58+B57)</f>
        <v>13.887836527749</v>
      </c>
      <c r="F86" s="63"/>
      <c r="G86" s="210" t="s">
        <v>115</v>
      </c>
      <c r="H86" s="299" t="n">
        <f aca="false">((((H83*H29)+H81))/(1-H70))*H70</f>
        <v>297.361266055012</v>
      </c>
      <c r="I86" s="211"/>
      <c r="J86" s="211"/>
      <c r="K86" s="212"/>
      <c r="L86" s="63"/>
      <c r="M86" s="210" t="s">
        <v>115</v>
      </c>
      <c r="N86" s="299" t="n">
        <f aca="false">(N85/(1-N70))*N70</f>
        <v>296.080003449122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43586.3797493461</v>
      </c>
      <c r="C87" s="211"/>
      <c r="D87" s="211"/>
      <c r="E87" s="465" t="n">
        <f aca="false">E86+E85</f>
        <v>1981.19907951573</v>
      </c>
      <c r="F87" s="63"/>
      <c r="G87" s="284" t="s">
        <v>116</v>
      </c>
      <c r="H87" s="129" t="n">
        <f aca="false">IF(H110="YES",((H85+H86)-K114),(H85+H86))</f>
        <v>42420.7086117907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35247.6194582288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1981.19907951573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1571.13735599225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1305.46738734181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1981.19907951573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1571.13735599225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1305.46738734181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1571.13735599225</v>
      </c>
      <c r="H127" s="174" t="n">
        <f aca="false">IF(G105="YES", H89*H57, 0)</f>
        <v>0</v>
      </c>
      <c r="I127" s="174"/>
      <c r="J127" s="333" t="n">
        <f aca="false">H91</f>
        <v>1571.13735599225</v>
      </c>
      <c r="K127" s="212"/>
      <c r="L127" s="63"/>
      <c r="M127" s="332" t="n">
        <f aca="false">N90</f>
        <v>1305.46738734181</v>
      </c>
      <c r="N127" s="174" t="n">
        <f aca="false">IF(M105="YES", N89*N57, 0)</f>
        <v>0</v>
      </c>
      <c r="O127" s="174"/>
      <c r="P127" s="174" t="n">
        <f aca="false">N91</f>
        <v>1305.46738734181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1981.19907951573</v>
      </c>
      <c r="B128" s="320" t="n">
        <f aca="false">IF(A105="YES", B89, 0)</f>
        <v>0</v>
      </c>
      <c r="C128" s="324"/>
      <c r="D128" s="320" t="n">
        <f aca="false">B91</f>
        <v>1981.19907951573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17830.7917156416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9426.82413595348</v>
      </c>
      <c r="H133" s="99" t="n">
        <f aca="false">IF(G105="YES", H89*H57, 0)</f>
        <v>0</v>
      </c>
      <c r="I133" s="217"/>
      <c r="J133" s="181" t="n">
        <f aca="false">H91*H57</f>
        <v>9426.82413595348</v>
      </c>
      <c r="K133" s="212"/>
      <c r="L133" s="63"/>
      <c r="M133" s="182" t="n">
        <f aca="false">N90*N57</f>
        <v>7832.80432405085</v>
      </c>
      <c r="N133" s="99" t="n">
        <f aca="false">IF(M105="YES", N89*N57, 0)</f>
        <v>0</v>
      </c>
      <c r="O133" s="217"/>
      <c r="P133" s="181" t="n">
        <f aca="false">N91*N57</f>
        <v>7832.80432405085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17830.7917156416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1981.19907951573</v>
      </c>
      <c r="B137" s="38" t="n">
        <f aca="false">IF(A105="YES", B89, 0)</f>
        <v>0</v>
      </c>
      <c r="C137" s="316"/>
      <c r="D137" s="38" t="n">
        <f aca="false">B91</f>
        <v>1981.19907951573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910.010416666667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1571.13735599225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1305.46738734181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1981.19907951573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1981.19907951573</v>
      </c>
      <c r="B177" s="354" t="n">
        <f aca="false">IF(A105="YES", B89, 0)</f>
        <v>0</v>
      </c>
      <c r="C177" s="356"/>
      <c r="D177" s="354" t="n">
        <f aca="false">B91</f>
        <v>1981.19907951573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17830.7917156416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17830.7917156416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1981.19907951573</v>
      </c>
      <c r="B186" s="99" t="n">
        <f aca="false">IF(A105="YES", B89, 0)</f>
        <v>0</v>
      </c>
      <c r="C186" s="352"/>
      <c r="D186" s="99" t="n">
        <f aca="false">B91</f>
        <v>1981.19907951573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910.010416666667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4826.07916666667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305.532403610478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58405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1076.7084479649</v>
      </c>
      <c r="E33" s="212"/>
      <c r="F33" s="63"/>
      <c r="G33" s="215" t="s">
        <v>354</v>
      </c>
      <c r="H33" s="459" t="n">
        <f aca="false">E21-E11+((E16*20%)+(E19*20%)+(E20*20%))</f>
        <v>48777.5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1076.7084479649</v>
      </c>
      <c r="B36" s="99" t="str">
        <f aca="false">IF(B26="YES", H42, "")</f>
        <v/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48777.5</v>
      </c>
      <c r="I39" s="234" t="n">
        <f aca="false">(I48*H46)+H44</f>
        <v>59325.6915133649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-10548.1915133649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35130.2928941323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1076.7084479649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1076.7084479649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1076.7084479649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6077.925</v>
      </c>
      <c r="C64" s="464" t="n">
        <v>10000</v>
      </c>
      <c r="D64" s="290" t="n">
        <f aca="false">B64</f>
        <v>6077.925</v>
      </c>
      <c r="E64" s="465" t="n">
        <f aca="false">D64/(B58+B57)</f>
        <v>168.83125</v>
      </c>
      <c r="F64" s="63"/>
      <c r="G64" s="284" t="s">
        <v>90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90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1157.7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964.75</v>
      </c>
      <c r="I67" s="211"/>
      <c r="J67" s="290"/>
      <c r="K67" s="212"/>
      <c r="L67" s="63"/>
      <c r="M67" s="284" t="s">
        <v>93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1083.33333333333</v>
      </c>
      <c r="C76" s="211"/>
      <c r="D76" s="290" t="n">
        <f aca="false">B76</f>
        <v>1083.33333333333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51.7592592592593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8607.925</v>
      </c>
      <c r="C81" s="472"/>
      <c r="D81" s="473"/>
      <c r="E81" s="465"/>
      <c r="F81" s="63"/>
      <c r="G81" s="302" t="s">
        <v>102</v>
      </c>
      <c r="H81" s="303" t="n">
        <f aca="false">SUM(J64:J80)</f>
        <v>7143.675</v>
      </c>
      <c r="I81" s="211"/>
      <c r="J81" s="211"/>
      <c r="K81" s="212"/>
      <c r="L81" s="63"/>
      <c r="M81" s="302" t="s">
        <v>102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239.109027777778</v>
      </c>
      <c r="C82" s="472"/>
      <c r="D82" s="211"/>
      <c r="E82" s="465"/>
      <c r="F82" s="63"/>
      <c r="G82" s="210" t="s">
        <v>103</v>
      </c>
      <c r="H82" s="299" t="n">
        <f aca="false">H81/H29</f>
        <v>198.435416666667</v>
      </c>
      <c r="I82" s="211"/>
      <c r="J82" s="211"/>
      <c r="K82" s="212"/>
      <c r="L82" s="63"/>
      <c r="M82" s="210" t="s">
        <v>103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1076.7084479649</v>
      </c>
      <c r="C83" s="472"/>
      <c r="D83" s="211"/>
      <c r="E83" s="465" t="n">
        <f aca="false">B83+E80+E77+E64</f>
        <v>1309.6446362365</v>
      </c>
      <c r="F83" s="63"/>
      <c r="G83" s="304" t="s">
        <v>104</v>
      </c>
      <c r="H83" s="305" t="n">
        <f aca="false">H47</f>
        <v>1076.7084479649</v>
      </c>
      <c r="I83" s="211"/>
      <c r="J83" s="211"/>
      <c r="K83" s="212"/>
      <c r="L83" s="63"/>
      <c r="M83" s="304" t="s">
        <v>104</v>
      </c>
      <c r="N83" s="305" t="n">
        <f aca="false">H47</f>
        <v>1076.7084479649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47369.4291267364</v>
      </c>
      <c r="C85" s="472"/>
      <c r="D85" s="472"/>
      <c r="E85" s="465" t="n">
        <f aca="false">B85/(B58+B57)</f>
        <v>1315.81747574268</v>
      </c>
      <c r="F85" s="63"/>
      <c r="G85" s="287" t="s">
        <v>114</v>
      </c>
      <c r="H85" s="127" t="n">
        <f aca="false">((H83*H29)+H81)*1.2</f>
        <v>55086.2149520837</v>
      </c>
      <c r="I85" s="211"/>
      <c r="J85" s="211"/>
      <c r="K85" s="212"/>
      <c r="L85" s="63"/>
      <c r="M85" s="287" t="s">
        <v>114</v>
      </c>
      <c r="N85" s="127" t="n">
        <f aca="false">((N83*H29)+N81)</f>
        <v>45561.4291267364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401.273905470538</v>
      </c>
      <c r="C86" s="472" t="s">
        <v>227</v>
      </c>
      <c r="D86" s="211"/>
      <c r="E86" s="465" t="n">
        <f aca="false">B86/(B58+B57)</f>
        <v>11.1464973741816</v>
      </c>
      <c r="F86" s="63"/>
      <c r="G86" s="210" t="s">
        <v>115</v>
      </c>
      <c r="H86" s="299" t="n">
        <f aca="false">((((H83*H29)+H81))/(1-H70))*H70</f>
        <v>388.870012771869</v>
      </c>
      <c r="I86" s="211"/>
      <c r="J86" s="211"/>
      <c r="K86" s="212"/>
      <c r="L86" s="63"/>
      <c r="M86" s="210" t="s">
        <v>115</v>
      </c>
      <c r="N86" s="299" t="n">
        <f aca="false">(N85/(1-N70))*N70</f>
        <v>385.958052303939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47770.7030322069</v>
      </c>
      <c r="C87" s="472"/>
      <c r="D87" s="474"/>
      <c r="E87" s="465" t="n">
        <f aca="false">E86+E85</f>
        <v>1326.96397311686</v>
      </c>
      <c r="F87" s="63"/>
      <c r="G87" s="284" t="s">
        <v>116</v>
      </c>
      <c r="H87" s="129" t="n">
        <f aca="false">IF(H110="YES",((H85+H86)-K114),(H85+H86))</f>
        <v>55475.0849648555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45947.3871790403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1326.96397311686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1353.05085280135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1120.66797997659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1326.96397311686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1353.05085280135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1120.66797997659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1353.05085280135</v>
      </c>
      <c r="H127" s="174" t="n">
        <f aca="false">IF(G105="YES", H89*H57, 0)</f>
        <v>0</v>
      </c>
      <c r="I127" s="174"/>
      <c r="J127" s="333" t="n">
        <f aca="false">H91</f>
        <v>1353.05085280135</v>
      </c>
      <c r="K127" s="212"/>
      <c r="L127" s="63"/>
      <c r="M127" s="332" t="n">
        <f aca="false">N90</f>
        <v>1120.66797997659</v>
      </c>
      <c r="N127" s="174" t="n">
        <f aca="false">IF(M105="YES", N89*N57, 0)</f>
        <v>0</v>
      </c>
      <c r="O127" s="174"/>
      <c r="P127" s="174" t="n">
        <f aca="false">N91</f>
        <v>1120.66797997659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1326.96397311686</v>
      </c>
      <c r="B128" s="320" t="n">
        <f aca="false">IF(A105="YES", B89, 0)</f>
        <v>0</v>
      </c>
      <c r="C128" s="324"/>
      <c r="D128" s="320" t="n">
        <f aca="false">B91</f>
        <v>1326.96397311686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1326.96397311686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8118.30511680813</v>
      </c>
      <c r="H133" s="99" t="n">
        <f aca="false">IF(G105="YES", H89*H57, 0)</f>
        <v>0</v>
      </c>
      <c r="I133" s="217"/>
      <c r="J133" s="181" t="n">
        <f aca="false">H91*H57</f>
        <v>8118.30511680813</v>
      </c>
      <c r="K133" s="212"/>
      <c r="L133" s="63"/>
      <c r="M133" s="182" t="n">
        <f aca="false">N90*N57</f>
        <v>6724.00787985956</v>
      </c>
      <c r="N133" s="99" t="n">
        <f aca="false">IF(M105="YES", N89*N57, 0)</f>
        <v>0</v>
      </c>
      <c r="O133" s="217"/>
      <c r="P133" s="181" t="n">
        <f aca="false">N91*N57</f>
        <v>6724.00787985956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1326.96397311686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1326.96397311686</v>
      </c>
      <c r="B137" s="38" t="n">
        <f aca="false">IF(A105="YES", B89, 0)</f>
        <v>0</v>
      </c>
      <c r="C137" s="316"/>
      <c r="D137" s="38" t="n">
        <f aca="false">B91</f>
        <v>1326.96397311686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1657.69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1353.05085280135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1120.66797997659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1326.96397311686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1326.96397311686</v>
      </c>
      <c r="B177" s="354" t="n">
        <f aca="false">IF(A105="YES", B89, 0)</f>
        <v>0</v>
      </c>
      <c r="C177" s="356"/>
      <c r="D177" s="354" t="n">
        <f aca="false">B91</f>
        <v>1326.96397311686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1326.96397311686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1326.96397311686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1326.96397311686</v>
      </c>
      <c r="B186" s="99" t="n">
        <f aca="false">IF(A105="YES", B89, 0)</f>
        <v>0</v>
      </c>
      <c r="C186" s="352"/>
      <c r="D186" s="99" t="n">
        <f aca="false">B91</f>
        <v>1326.96397311686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1657.69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1157.7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5260.215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6077.925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1157.7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5260.215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401.273905470538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387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511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11344.6166666667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11440.7187037784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953.393225314867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1013.39322531487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953.393225314867</v>
      </c>
      <c r="B128" s="320" t="n">
        <f aca="false">IF(A105="YES", B89, 0)</f>
        <v>60</v>
      </c>
      <c r="C128" s="325"/>
      <c r="D128" s="320" t="n">
        <f aca="false">B91</f>
        <v>1013.39322531487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8580.53902783381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9120.53902783381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953.393225314867</v>
      </c>
      <c r="B137" s="38" t="n">
        <f aca="false">IF(A105="YES", B89, 0)</f>
        <v>60</v>
      </c>
      <c r="C137" s="316"/>
      <c r="D137" s="38" t="n">
        <f aca="false">B91</f>
        <v>1013.39322531487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1013.39322531487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953.393225314867</v>
      </c>
      <c r="B171" s="354" t="n">
        <f aca="false">IF(A105="YES", B89, 0)</f>
        <v>60</v>
      </c>
      <c r="C171" s="357"/>
      <c r="D171" s="354" t="n">
        <f aca="false">B91</f>
        <v>1013.39322531487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8580.53902783381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9120.53902783381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953.393225314867</v>
      </c>
      <c r="B180" s="99" t="n">
        <f aca="false">IF(A105="YES", B89, 0)</f>
        <v>60</v>
      </c>
      <c r="C180" s="352"/>
      <c r="D180" s="99" t="n">
        <f aca="false">B91</f>
        <v>1013.39322531487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801.415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4222.515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4610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2023-07-05T16:23:03Z</dcterms:modified>
  <cp:revision>812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