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7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HPNR (Formula 3) - HPNR" sheetId="57" state="visible" r:id="rId58"/>
    <sheet name="FL (Formula 3) - FL" sheetId="58" state="visible" r:id="rId59"/>
    <sheet name="FL (Formula 3) - PCH" sheetId="59" state="visible" r:id="rId60"/>
    <sheet name="FL (Formula 3) - BCH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<sst xmlns="http://schemas.openxmlformats.org/spreadsheetml/2006/main" count="32512" uniqueCount="401">
  <si>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</si>
  <si>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</si>
  <si>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</si>
  <si>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</si>
  <si>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</si>
  <si>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</si>
  <si>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</si>
  <si>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</si>
  <si>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</si>
  <si>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</si>
  <si>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</si>
  <si>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</si>
  <si>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</si>
  <si>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</si>
  <si>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</si>
  <si>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</si>
  <si>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</si>
  <si>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</si>
  <si>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</si>
  <si>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</si>
  <si>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</si>
  <si>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</si>
  <si>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</si>
  <si>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</si>
  <si>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</si>
  <si>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</si>
  <si>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</si>
  <si>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</si>
  <si>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</si>
  <si>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</si>
  <si>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</si>
  <si>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</si>
  <si>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</si>
  <si>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</si>
  <si>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</si>
  <si>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</si>
  <si>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</si>
  <si>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</si>
  <si>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</si>
  <si>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</si>
  <si>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</si>
  <si>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</si>
  <si>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</si>
  <si>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</si>
  <si>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</si>
  <si>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</si>
  <si>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</si>
  <si>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</si>
  <si>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</si>
  <si>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</si>
  <si>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</si>
  <si>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</si>
  <si>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</si>
  <si>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</si>
  <si>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</si>
  <si>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</si>
  <si>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</si>
  <si>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</si>
  <si>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</si>
  <si>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</si>
  <si>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</si>
  <si>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</si>
  <si>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</si>
  <si>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</si>
  <si>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</si>
  <si>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</si>
  <si>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</si>
  <si>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</si>
  <si>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</si>
  <si>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</si>
  <si>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</si>
  <si>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</si>
  <si>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</si>
  <si>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</si>
  <si>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</si>
  <si>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</si>
  <si>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</si>
  <si>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</si>
  <si>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</si>
  <si>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</si>
  <si>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</si>
  <si>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</si>
  <si>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</si>
  <si>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</si>
  <si>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</si>
  <si>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</si>
  <si>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</si>
  <si>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</si>
  <si>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</si>
  <si>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</si>
  <si>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</si>
  <si>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</si>
  <si>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</si>
  <si>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</si>
  <si>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</si>
  <si>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</si>
  <si>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</si>
  <si>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</si>
  <si>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</si>
  <si>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</si>
  <si>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</si>
  <si>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</si>
  <si>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</si>
  <si>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</si>
  <si>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</si>
  <si>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</si>
  <si>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</si>
  <si>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</si>
  <si>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</si>
  <si>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</si>
  <si>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</si>
  <si>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</si>
  <si>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</si>
  <si>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</si>
  <si>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</si>
  <si>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</si>
  <si>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</si>
  <si>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</si>
  <si>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</si>
  <si>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</si>
  <si>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</si>
  <si>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</si>
  <si>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</si>
  <si>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</si>
  <si>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</si>
  <si>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</si>
  <si>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</si>
  <si>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</si>
  <si>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</si>
  <si>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</si>
  <si>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</si>
  <si>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</si>
  <si>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</si>
  <si>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</si>
  <si>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</si>
  <si>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</si>
  <si>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</si>
  <si>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</si>
  <si>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</si>
  <si>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</si>
  <si>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</si>
  <si>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</si>
  <si>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</si>
  <si>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</si>
  <si>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</si>
  <si>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</si>
  <si>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</si>
  <si>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</si>
  <si>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</si>
  <si>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</si>
  <si>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</si>
  <si>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</si>
  <si>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</si>
  <si>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</si>
  <si>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</si>
  <si>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</si>
  <si>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</si>
  <si>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</si>
  <si>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</si>
  <si>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</si>
  <si>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</si>
  <si>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</si>
  <si>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</si>
  <si>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</si>
  <si>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</si>
  <si>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</si>
  <si>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</si>
  <si>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</si>
  <si>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</si>
  <si>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</si>
  <si>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</si>
  <si>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</si>
  <si>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</si>
  <si>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</si>
  <si>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</si>
  <si>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</si>
  <si>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</si>
  <si>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</si>
  <si>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</si>
  <si>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</si>
  <si>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</si>
  <si>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</si>
  <si>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</si>
  <si>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</si>
  <si>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</si>
  <si>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</si>
  <si>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</si>
  <si>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</si>
  <si>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</si>
  <si>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</si>
  <si>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</si>
  <si>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</si>
  <si>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</si>
  <si>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</si>
  <si>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</si>
  <si>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</si>
  <si>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</si>
  <si>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</si>
  <si>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</si>
  <si>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</si>
  <si>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</si>
  <si>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</si>
  <si>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</si>
  <si>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</si>
  <si>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</si>
  <si>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</si>
  <si>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</si>
  <si>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</si>
  <si>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</si>
  <si>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</si>
  <si>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</si>
  <si>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</si>
  <si>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</si>
  <si>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</si>
  <si>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</si>
  <si>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</si>
  <si>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</si>
  <si>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</si>
  <si>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</si>
  <si>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</si>
  <si>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</si>
  <si>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</si>
  <si>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</si>
  <si>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</si>
  <si>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</si>
  <si>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</si>
  <si>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</si>
  <si>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</si>
  <si>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</si>
  <si>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</si>
  <si>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</si>
  <si>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107.00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</si>
  <si>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</si>
  <si>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</si>
  <si>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</si>
  <si>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</si>
  <si>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</si>
  <si>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</si>
  <si>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</si>
  <si>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</si>
  <si>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</si>
  <si>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</si>
  <si>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20500.00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</si>
  <si>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</si>
  <si>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</si>
  <si>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</si>
  <si>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</si>
  <si>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</si>
  <si>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</si>
  <si>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</si>
  <si>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</si>
  <si>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</si>
  <si>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</si>
  <si>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</si>
  <si>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</si>
  <si>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</si>
  <si>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</si>
  <si>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</si>
  <si>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</si>
  <si>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</si>
  <si>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</si>
  <si>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</si>
  <si>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</si>
  <si>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</si>
  <si>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</si>
  <si>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</si>
  <si>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</si>
  <si>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</si>
  <si>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</si>
  <si>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</si>
  <si>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</si>
  <si>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</si>
  <si>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</si>
  <si>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</si>
  <si>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</si>
  <si>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</si>
  <si>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</si>
  <si>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</si>
  <si>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</si>
  <si>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</si>
  <si>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</si>
  <si>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</si>
  <si>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</si>
  <si>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</si>
  <si>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</si>
  <si>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</si>
  <si>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</si>
  <si>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</si>
  <si>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</si>
  <si>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</si>
  <si>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</si>
  <si>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</si>
  <si>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</si>
  <si>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</si>
  <si>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</si>
  <si>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</si>
  <si>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</si>
  <si>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</si>
  <si>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</si>
  <si>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</si>
  <si>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</si>
  <si>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</si>
  <si>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</si>
  <si>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</si>
  <si>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</si>
  <si>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</si>
  <si>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</si>
  <si>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</si>
  <si>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</si>
  <si>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</si>
  <si>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</si>
  <si>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</si>
  <si>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</si>
  <si>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</si>
  <si>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</si>
  <si>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</si>
  <si>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</si>
  <si>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</si>
  <si>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</si>
  <si>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</si>
  <si>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</si>
  <si>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</si>
  <si>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</si>
  <si>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</si>
  <si>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</si>
  <si>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</si>
  <si>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</si>
  <si>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</si>
  <si>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</si>
  <si>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</si>
  <si>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</si>
  <si>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</si>
  <si>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</si>
  <si>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</si>
  <si>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</si>
  <si>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</si>
  <si>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</si>
  <si>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</si>
  <si>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</si>
  <si>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</si>
  <si>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</si>
  <si>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</si>
  <si>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</si>
  <si>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</si>
  <si>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</si>
  <si>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</si>
  <si>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0</t>
  </si>
  <si>
    <t xml:space="preserve">1</t>
  </si>
  <si>
    <t xml:space="preserve">Customer Quote – Finance Lease</t>
  </si>
  <si>
    <t xml:space="preserve">8.92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</si>
  <si>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</si>
  <si>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</si>
  <si>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</si>
  <si>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</si>
  <si>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</si>
  <si>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</si>
  <si>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</si>
  <si>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</si>
  <si>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</si>
  <si>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</si>
  <si>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</si>
  <si>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</si>
  <si>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</si>
  <si>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</si>
  <si>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</si>
  <si>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</si>
  <si>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</si>
  <si>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</si>
  <si>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Monthly Finance Payment</t>
  </si>
  <si>
    <t xml:space="preserve">Holding Finance Charges</t>
  </si>
  <si>
    <t xml:space="preserve">Holding Balance Payable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</si>
  <si>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</si>
  <si>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</si>
  <si>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</si>
  <si>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</si>
  <si>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</si>
  <si>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</si>
  <si>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</si>
  <si>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</si>
  <si>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22458.33</t>
  </si>
  <si>
    <t xml:space="preserve">OTR Calculation</t>
  </si>
  <si>
    <t xml:space="preserve">296.00</t>
  </si>
  <si>
    <t xml:space="preserve">17770.00</t>
  </si>
  <si>
    <t xml:space="preserve">5.28</t>
  </si>
  <si>
    <t xml:space="preserve">48877.50</t>
  </si>
  <si>
    <t xml:space="preserve">470.00</t>
  </si>
  <si>
    <t xml:space="preserve">RFL included?</t>
  </si>
  <si>
    <t>YES</t>
  </si>
  <si>
    <t>0</t>
  </si>
  <si>
    <t>30</t>
  </si>
  <si>
    <t>NO</t>
  </si>
  <si>
    <t>199.99</t>
  </si>
  <si>
    <t>Limited Credit</t>
  </si>
  <si>
    <t>239.99</t>
  </si>
  <si>
    <t>Yes</t>
  </si>
  <si>
    <t>100</t>
  </si>
  <si>
    <t>500</t>
  </si>
  <si>
    <t>12</t>
  </si>
  <si>
    <t>A1 Credit</t>
  </si>
  <si>
    <t>50</t>
  </si>
  <si>
    <t>1000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</si>
</sst>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H8" activeCellId="0" sqref="H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19958.33</v>
      </c>
      <c r="C2" s="4" t="s">
        <v>2</v>
      </c>
      <c r="D2" s="5" t="n">
        <f aca="false">C9</f>
        <v>3991.666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19958.33</v>
      </c>
      <c r="C9" s="14" t="n">
        <f aca="false">B9*0.2</f>
        <v>3991.666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19958.33</v>
      </c>
      <c r="C15" s="14" t="n">
        <f aca="false">SUM(C9:C13)</f>
        <v>3991.666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19958.33</v>
      </c>
      <c r="B37" s="32"/>
      <c r="C37" s="41" t="s">
        <v>45</v>
      </c>
      <c r="D37" s="41"/>
      <c r="E37" s="32"/>
      <c r="F37" s="43" t="n">
        <f aca="false">A37-C37</f>
        <v>18958.33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249.3055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250.6945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253.361166666667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253.361166666667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253.361166666667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13395.9613806795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131.25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253.361166666667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253.361166666667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253.361166666667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18958.33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6354.94179987962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12603.3882001204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1218.90558006177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13407.9613806795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13407.9613806795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1218.90558006177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1218.90558006177</v>
      </c>
      <c r="C105" s="32"/>
      <c r="D105" s="32"/>
      <c r="E105" s="23" t="s">
        <v>19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0.1255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141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23949.996</v>
      </c>
      <c r="C130" s="117" t="n">
        <v>21875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23949.996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23949.996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23949.996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23949.996</v>
      </c>
      <c r="C134" s="129" t="n">
        <f aca="false">C130-C133</f>
        <v>21875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19958.33</v>
      </c>
      <c r="H144" s="150" t="n">
        <f aca="false">C134+E134+G134+H137</f>
        <v>21875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3991.666</v>
      </c>
      <c r="H146" s="33" t="n">
        <f aca="false">(H144+H145)*20%</f>
        <v>4375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23949.996</v>
      </c>
      <c r="H150" s="154" t="n">
        <f aca="false">(H144+H145+H148+H149+H146)-H147</f>
        <v>26250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23949.996</v>
      </c>
      <c r="H156" s="161" t="n">
        <f aca="false">H150-((H153*1.2)+(H154*1.2)+(H155*1.2)+(H151*1.2))</f>
        <v>26250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1916.67</v>
      </c>
      <c r="I157" s="1" t="n">
        <f aca="false">(H157-G90)/1.2</f>
        <v>1597.225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26250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1218.90558006177</v>
      </c>
      <c r="B176" s="174" t="n">
        <f aca="false">B103</f>
        <v>0</v>
      </c>
      <c r="C176" s="171"/>
      <c r="D176" s="171"/>
      <c r="E176" s="174" t="n">
        <f aca="false">B105</f>
        <v>1218.90558006177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21875</v>
      </c>
      <c r="B182" s="99" t="n">
        <f aca="false">H146</f>
        <v>4375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26250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26250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-6842.0386193205</v>
      </c>
      <c r="B191" s="99" t="str">
        <f aca="false">B123</f>
        <v>239.99</v>
      </c>
      <c r="C191" s="99"/>
      <c r="D191" s="23"/>
      <c r="E191" s="99" t="n">
        <f aca="false">E188+A191+B191+A194</f>
        <v>19657.9513806795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9.72624</v>
      </c>
      <c r="B197" s="99" t="n">
        <f aca="false">(G167*B76)/1.2</f>
        <v>109.375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209.366666666667</v>
      </c>
      <c r="C200" s="130"/>
      <c r="D200" s="130"/>
      <c r="E200" s="99" t="n">
        <f aca="false">H157</f>
        <v>1916.67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1218.90558006177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1218.90558006177</v>
      </c>
      <c r="B221" s="174" t="n">
        <f aca="false">B176</f>
        <v>0</v>
      </c>
      <c r="C221" s="171"/>
      <c r="D221" s="171"/>
      <c r="E221" s="174" t="n">
        <f aca="false">E176</f>
        <v>1218.90558006177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21875</v>
      </c>
      <c r="B224" s="99" t="n">
        <f aca="false">B182</f>
        <v>4375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26250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26250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-6842.0386193205</v>
      </c>
      <c r="B233" s="99" t="str">
        <f aca="false">B191</f>
        <v>239.99</v>
      </c>
      <c r="C233" s="99"/>
      <c r="D233" s="109"/>
      <c r="E233" s="99" t="n">
        <f aca="false">E191</f>
        <v>19657.9513806795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1218.90558006177</v>
      </c>
      <c r="B239" s="99" t="n">
        <f aca="false">B176</f>
        <v>0</v>
      </c>
      <c r="C239" s="183"/>
      <c r="D239" s="183"/>
      <c r="E239" s="99" t="n">
        <f aca="false">E176</f>
        <v>1218.90558006177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29.17872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9.72624</v>
      </c>
      <c r="B245" s="99" t="n">
        <f aca="false">E242+A245</f>
        <v>38.90496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1916.67</v>
      </c>
      <c r="B249" s="99" t="n">
        <f aca="false">B197</f>
        <v>109.375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2126.03666666666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131.25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99.9916666666667</v>
      </c>
      <c r="C264" s="194"/>
      <c r="D264" s="195" t="s">
        <v>215</v>
      </c>
      <c r="E264" s="195"/>
      <c r="F264" s="196" t="n">
        <f aca="false">(B263-F263)+B264</f>
        <v>-31.2583333333333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0.1255</v>
      </c>
      <c r="C269" s="43"/>
      <c r="D269" s="163" t="s">
        <v>212</v>
      </c>
      <c r="E269" s="163"/>
      <c r="F269" s="143" t="n">
        <f aca="false">(B98*B68)-(C98*B68)</f>
        <v>13407.9613806795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131.25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99.9916666666667</v>
      </c>
      <c r="C272" s="32"/>
      <c r="D272" s="39" t="s">
        <v>215</v>
      </c>
      <c r="E272" s="39"/>
      <c r="F272" s="143" t="n">
        <f aca="false">(B263-F263)+B264</f>
        <v>-31.2583333333333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6" activeCellId="0" sqref="A16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20500</v>
      </c>
      <c r="B37" s="32"/>
      <c r="C37" s="41" t="s">
        <v>45</v>
      </c>
      <c r="D37" s="41"/>
      <c r="E37" s="32"/>
      <c r="F37" s="43" t="n">
        <f aca="false">A37-C37</f>
        <v>19500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258.333333333333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291.666666666667</v>
      </c>
      <c r="L45" s="2"/>
    </row>
    <row r="46" customFormat="false" ht="17.35" hidden="false" customHeight="false" outlineLevel="0" collapsed="false">
      <c r="A46" s="40" t="s">
        <v>230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294.333333333333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244.333333333333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231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294.333333333333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14269.273195982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294.333333333333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294.333333333333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294.333333333333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19500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13281.8018648348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1298.29756327109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14281.273195982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14281.273195982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65.4545454545455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1298.29756327109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1363.75210872564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232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233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233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24600</v>
      </c>
      <c r="C130" s="117" t="n">
        <v>22500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24600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24600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24600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24600</v>
      </c>
      <c r="C134" s="129" t="n">
        <f aca="false">C130-C133</f>
        <v>22500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20500</v>
      </c>
      <c r="H144" s="150" t="n">
        <f aca="false">C134+E134+G134+H137</f>
        <v>22500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4100</v>
      </c>
      <c r="H146" s="33" t="n">
        <f aca="false">(H144+H145)*20%</f>
        <v>4500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24600</v>
      </c>
      <c r="H150" s="154" t="n">
        <f aca="false">(H144+H145+H148+H149+H146)-H147</f>
        <v>27000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24600</v>
      </c>
      <c r="H156" s="161" t="n">
        <f aca="false">H150-((H153*1.2)+(H154*1.2)+(H155*1.2)+(H151*1.2))</f>
        <v>27000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2000</v>
      </c>
      <c r="I157" s="1" t="n">
        <f aca="false">(H157-G90)/1.2</f>
        <v>1666.66666666667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27000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1298.29756327109</v>
      </c>
      <c r="B176" s="174" t="n">
        <f aca="false">B103</f>
        <v>65.4545454545455</v>
      </c>
      <c r="C176" s="171"/>
      <c r="D176" s="171"/>
      <c r="E176" s="174" t="n">
        <f aca="false">B105</f>
        <v>1363.75210872564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22500</v>
      </c>
      <c r="B182" s="99" t="n">
        <f aca="false">H146</f>
        <v>4500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27000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27000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-6718.726804018</v>
      </c>
      <c r="B191" s="99" t="str">
        <f aca="false">B123</f>
        <v>199.99</v>
      </c>
      <c r="C191" s="99"/>
      <c r="D191" s="23"/>
      <c r="E191" s="99" t="n">
        <f aca="false">E188+A191+B191+A194</f>
        <v>20491.263195982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8.1052</v>
      </c>
      <c r="B197" s="99" t="n">
        <f aca="false">(G167*B76)/1.2</f>
        <v>112.5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212.49</v>
      </c>
      <c r="C200" s="130"/>
      <c r="D200" s="130"/>
      <c r="E200" s="99" t="n">
        <f aca="false">H157</f>
        <v>2000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1363.75210872564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1298.29756327109</v>
      </c>
      <c r="B221" s="174" t="n">
        <f aca="false">B176</f>
        <v>65.4545454545455</v>
      </c>
      <c r="C221" s="171"/>
      <c r="D221" s="171"/>
      <c r="E221" s="174" t="n">
        <f aca="false">E176</f>
        <v>1363.75210872564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22500</v>
      </c>
      <c r="B224" s="99" t="n">
        <f aca="false">B182</f>
        <v>4500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27000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27000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-6718.726804018</v>
      </c>
      <c r="B233" s="99" t="str">
        <f aca="false">B191</f>
        <v>199.99</v>
      </c>
      <c r="C233" s="99"/>
      <c r="D233" s="109"/>
      <c r="E233" s="99" t="n">
        <f aca="false">E191</f>
        <v>20491.263195982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1298.29756327109</v>
      </c>
      <c r="B239" s="99" t="n">
        <f aca="false">B176</f>
        <v>65.4545454545455</v>
      </c>
      <c r="C239" s="183"/>
      <c r="D239" s="183"/>
      <c r="E239" s="99" t="n">
        <f aca="false">E176</f>
        <v>1363.75210872564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24.3156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8.1052</v>
      </c>
      <c r="B245" s="99" t="n">
        <f aca="false">E242+A245</f>
        <v>32.4208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2000</v>
      </c>
      <c r="B249" s="99" t="n">
        <f aca="false">B197</f>
        <v>112.5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2212.49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135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</v>
      </c>
      <c r="C264" s="194"/>
      <c r="D264" s="195" t="s">
        <v>215</v>
      </c>
      <c r="E264" s="195"/>
      <c r="F264" s="196" t="n">
        <f aca="false">(B263-F263)+B264</f>
        <v>-35.01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0.072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0.1475</v>
      </c>
      <c r="C269" s="43"/>
      <c r="D269" s="163" t="s">
        <v>212</v>
      </c>
      <c r="E269" s="163"/>
      <c r="F269" s="143" t="n">
        <f aca="false">(B98*B68)-(C98*B68)</f>
        <v>14281.273195982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135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-35.01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242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247</v>
      </c>
      <c r="I36" s="0"/>
      <c r="J36" s="44" t="s">
        <v>51</v>
      </c>
      <c r="K36" s="52" t="n">
        <f aca="false">K32-K34</f>
        <v>19500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16106.9928207431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253.125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130" t="n">
        <f aca="false">(B82/((1+B84)^(B85+1)))</f>
        <v>5255.82391109543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14244.1760889046</v>
      </c>
      <c r="C88" s="130" t="n">
        <f aca="false">B81-B86</f>
        <v>14244.1760889046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518.979889284584</v>
      </c>
      <c r="C89" s="130" t="n">
        <f aca="false">(B88/B87)</f>
        <v>518.979889284584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16607.3564571067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16607.3564571067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518.979889284584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518.979889284584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24600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24600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20500</v>
      </c>
      <c r="H135" s="150" t="n">
        <f aca="false">C125+E125+G125+H128</f>
        <v>22500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518.979889284584</v>
      </c>
      <c r="B167" s="174" t="n">
        <f aca="false">B94</f>
        <v>0</v>
      </c>
      <c r="C167" s="171"/>
      <c r="D167" s="171"/>
      <c r="E167" s="174" t="n">
        <f aca="false">B96</f>
        <v>518.979889284584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-3192.64354289331</v>
      </c>
      <c r="B182" s="99" t="str">
        <f aca="false">B114</f>
        <v>239.99</v>
      </c>
      <c r="C182" s="99"/>
      <c r="D182" s="23"/>
      <c r="E182" s="99" t="n">
        <f aca="false">E179+A182+B182+A185</f>
        <v>24057.3464571067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210.9375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310.929166666667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518.979889284584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518.979889284584</v>
      </c>
      <c r="B212" s="174" t="n">
        <f aca="false">B167</f>
        <v>0</v>
      </c>
      <c r="C212" s="171"/>
      <c r="D212" s="171"/>
      <c r="E212" s="174" t="n">
        <f aca="false">E167</f>
        <v>518.979889284584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-3192.64354289331</v>
      </c>
      <c r="B224" s="99" t="str">
        <f aca="false">B182</f>
        <v>239.99</v>
      </c>
      <c r="C224" s="99"/>
      <c r="D224" s="109"/>
      <c r="E224" s="99" t="n">
        <f aca="false">E182</f>
        <v>24057.3464571067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518.979889284584</v>
      </c>
      <c r="B230" s="99" t="n">
        <f aca="false">B167</f>
        <v>0</v>
      </c>
      <c r="C230" s="183"/>
      <c r="D230" s="183"/>
      <c r="E230" s="99" t="n">
        <f aca="false">E167</f>
        <v>518.979889284584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9.72624</v>
      </c>
      <c r="B236" s="99" t="n">
        <f aca="false">E233+A236</f>
        <v>38.90496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210.9375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2310.92916666667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253.125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-153.133333333333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253.125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-153.133333333333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" colorId="64" zoomScale="85" zoomScaleNormal="8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242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13780.273195982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6218.19813516518</v>
      </c>
      <c r="C86" s="130" t="n">
        <f aca="false">(B82/((1+B84)^(B85+1)))</f>
        <v>6218.19813516518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13281.8018648348</v>
      </c>
      <c r="C88" s="130" t="n">
        <f aca="false">B81-B86</f>
        <v>13281.8018648348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1298.29756327109</v>
      </c>
      <c r="C89" s="130" t="n">
        <f aca="false">(B88/B87)</f>
        <v>1298.29756327109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14281.273195982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14281.273195982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1298.29756327109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1298.29756327109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24600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24600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20500</v>
      </c>
      <c r="H135" s="150" t="n">
        <f aca="false">C125+E125+G125+H128</f>
        <v>22500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1298.29756327109</v>
      </c>
      <c r="B167" s="174" t="str">
        <f aca="false">B94</f>
        <v>0</v>
      </c>
      <c r="C167" s="171"/>
      <c r="D167" s="171"/>
      <c r="E167" s="174" t="n">
        <f aca="false">B96</f>
        <v>1298.29756327109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-5518.726804018</v>
      </c>
      <c r="B182" s="99" t="str">
        <f aca="false">B114</f>
        <v>199.99</v>
      </c>
      <c r="C182" s="99"/>
      <c r="D182" s="23"/>
      <c r="E182" s="99" t="n">
        <f aca="false">E179+A182+B182+A185</f>
        <v>21691.263195982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112.5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212.49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1298.29756327109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1298.29756327109</v>
      </c>
      <c r="B212" s="174" t="str">
        <f aca="false">B167</f>
        <v>0</v>
      </c>
      <c r="C212" s="171"/>
      <c r="D212" s="171"/>
      <c r="E212" s="174" t="n">
        <f aca="false">E167</f>
        <v>1298.29756327109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-5518.726804018</v>
      </c>
      <c r="B224" s="99" t="str">
        <f aca="false">B182</f>
        <v>199.99</v>
      </c>
      <c r="C224" s="99"/>
      <c r="D224" s="109"/>
      <c r="E224" s="99" t="n">
        <f aca="false">E182</f>
        <v>21691.263195982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1298.29756327109</v>
      </c>
      <c r="B230" s="99" t="str">
        <f aca="false">B167</f>
        <v>0</v>
      </c>
      <c r="C230" s="183"/>
      <c r="D230" s="183"/>
      <c r="E230" s="99" t="n">
        <f aca="false">E167</f>
        <v>1298.29756327109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8.1052</v>
      </c>
      <c r="B236" s="99" t="n">
        <f aca="false">E233+A236</f>
        <v>32.4208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112.5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2212.49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-35.01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0.1475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-35.01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3" colorId="64" zoomScale="85" zoomScaleNormal="85" zoomScalePageLayoutView="100" workbookViewId="0">
      <selection pane="topLeft" activeCell="K18" activeCellId="0" sqref="K1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8.91666666666667</v>
      </c>
      <c r="E32" s="222"/>
      <c r="F32" s="63"/>
      <c r="G32" s="223" t="s">
        <v>241</v>
      </c>
      <c r="H32" s="221" t="n">
        <f aca="false">A41</f>
        <v>8.91666666666667</v>
      </c>
      <c r="I32" s="0"/>
      <c r="J32" s="44" t="s">
        <v>37</v>
      </c>
      <c r="K32" s="45" t="s">
        <v>242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508.916666666667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231</v>
      </c>
      <c r="I36" s="0"/>
      <c r="J36" s="44" t="s">
        <v>51</v>
      </c>
      <c r="K36" s="52" t="n">
        <f aca="false">K32-K34</f>
        <v>19500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8.91666666666667</v>
      </c>
      <c r="B41" s="237" t="n">
        <f aca="false">IF(B38="YES", D38+A41, D38)</f>
        <v>508.916666666667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8.91666666666667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509.916666666667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509.916666666667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13474.2937611542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130" t="n">
        <f aca="false">(B82/((1+B84)^(B85+1)))</f>
        <v>6354.94179987962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130" t="n">
        <f aca="false">B81-B86</f>
        <v>13145.0582001204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130" t="n">
        <f aca="false">(B88/B87)</f>
        <v>1271.29185707463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15.1745454545455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1271.29185707463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1286.46640252917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270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24600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24600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20500</v>
      </c>
      <c r="H135" s="150" t="n">
        <f aca="false">C125+E125+G125+H128</f>
        <v>22500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1271.29185707463</v>
      </c>
      <c r="B167" s="174" t="n">
        <f aca="false">B94</f>
        <v>15.1745454545455</v>
      </c>
      <c r="C167" s="171"/>
      <c r="D167" s="171"/>
      <c r="E167" s="174" t="n">
        <f aca="false">B96</f>
        <v>1286.46640252917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-5815.78957217909</v>
      </c>
      <c r="B182" s="99" t="str">
        <f aca="false">B114</f>
        <v>239.99</v>
      </c>
      <c r="C182" s="99"/>
      <c r="D182" s="23"/>
      <c r="E182" s="99" t="n">
        <f aca="false">E179+A182+B182+A185</f>
        <v>21434.2004278209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112.5</v>
      </c>
      <c r="C188" s="130"/>
      <c r="D188" s="130"/>
      <c r="E188" s="99" t="n">
        <f aca="false">IF(E105 = "YES" , (H36*A108)*0.1 , 0)</f>
        <v>3.21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215.701666666667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1286.46640252917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1271.29185707463</v>
      </c>
      <c r="B212" s="174" t="n">
        <f aca="false">B167</f>
        <v>15.1745454545455</v>
      </c>
      <c r="C212" s="171"/>
      <c r="D212" s="171"/>
      <c r="E212" s="174" t="n">
        <f aca="false">E167</f>
        <v>1286.46640252917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-5815.78957217909</v>
      </c>
      <c r="B224" s="99" t="str">
        <f aca="false">B182</f>
        <v>239.99</v>
      </c>
      <c r="C224" s="99"/>
      <c r="D224" s="109"/>
      <c r="E224" s="99" t="n">
        <f aca="false">E182</f>
        <v>21434.2004278209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1271.29185707463</v>
      </c>
      <c r="B230" s="99" t="n">
        <f aca="false">B167</f>
        <v>15.1745454545455</v>
      </c>
      <c r="C230" s="183"/>
      <c r="D230" s="183"/>
      <c r="E230" s="99" t="n">
        <f aca="false">E167</f>
        <v>1286.46640252917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112.5</v>
      </c>
      <c r="C240" s="130"/>
      <c r="D240" s="130"/>
      <c r="E240" s="99" t="n">
        <f aca="false">E188</f>
        <v>3.21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2215.70166666667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132.091666666667</v>
      </c>
      <c r="C255" s="194"/>
      <c r="D255" s="195" t="s">
        <v>215</v>
      </c>
      <c r="E255" s="195"/>
      <c r="F255" s="196" t="n">
        <f aca="false">(B254-F254)+B255</f>
        <v>-2.90833333333333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32.1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-2.90833333333333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2" colorId="64" zoomScale="85" zoomScaleNormal="85" zoomScalePageLayoutView="100" workbookViewId="0">
      <selection pane="topLeft" activeCell="B68" activeCellId="0" sqref="B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262" t="s">
        <v>242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130" t="n">
        <f aca="false">(B82/((1+B84)^(B85+1)))</f>
        <v>6354.94179987962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130" t="n">
        <f aca="false">B81-B86</f>
        <v>13145.0582001204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130" t="n">
        <f aca="false">(B88/B87)</f>
        <v>1271.29185707463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1271.29185707463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1271.29185707463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24600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24600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20500</v>
      </c>
      <c r="H135" s="150" t="n">
        <f aca="false">C125+E125+G125+H128</f>
        <v>22500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1271.29185707463</v>
      </c>
      <c r="B167" s="174" t="str">
        <f aca="false">B94</f>
        <v>0</v>
      </c>
      <c r="C167" s="171"/>
      <c r="D167" s="171"/>
      <c r="E167" s="174" t="n">
        <f aca="false">B96</f>
        <v>1271.29185707463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-5815.78957217909</v>
      </c>
      <c r="B182" s="99" t="str">
        <f aca="false">B114</f>
        <v>199.99</v>
      </c>
      <c r="C182" s="99"/>
      <c r="D182" s="23"/>
      <c r="E182" s="99" t="n">
        <f aca="false">E179+A182+B182+A185</f>
        <v>21394.2004278209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112.5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212.49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1271.29185707463</v>
      </c>
      <c r="B212" s="174" t="str">
        <f aca="false">B167</f>
        <v>0</v>
      </c>
      <c r="C212" s="171"/>
      <c r="D212" s="171"/>
      <c r="E212" s="174" t="n">
        <f aca="false">E167</f>
        <v>1271.29185707463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-5815.78957217909</v>
      </c>
      <c r="B224" s="99" t="str">
        <f aca="false">B182</f>
        <v>199.99</v>
      </c>
      <c r="C224" s="99"/>
      <c r="D224" s="109"/>
      <c r="E224" s="99" t="n">
        <f aca="false">E182</f>
        <v>21394.2004278209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1271.29185707463</v>
      </c>
      <c r="B230" s="99" t="str">
        <f aca="false">B167</f>
        <v>0</v>
      </c>
      <c r="C230" s="183"/>
      <c r="D230" s="183"/>
      <c r="E230" s="99" t="n">
        <f aca="false">E167</f>
        <v>1271.29185707463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8.1052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112.5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2212.49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-35.01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-35.01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255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1722</v>
      </c>
      <c r="C64" s="211" t="n">
        <v>10000</v>
      </c>
      <c r="D64" s="290" t="n">
        <f aca="false">B64</f>
        <v>1722</v>
      </c>
      <c r="E64" s="212"/>
      <c r="F64" s="63"/>
      <c r="G64" s="284" t="s">
        <v>90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405.26</v>
      </c>
      <c r="C67" s="211"/>
      <c r="D67" s="290"/>
      <c r="E67" s="212"/>
      <c r="F67" s="63"/>
      <c r="G67" s="284" t="s">
        <v>93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 t="n">
        <f aca="false">IF(G18&gt;40000, 325, 0)</f>
        <v>325</v>
      </c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3048.66666666667</v>
      </c>
      <c r="C81" s="211"/>
      <c r="D81" s="211"/>
      <c r="E81" s="212"/>
      <c r="F81" s="63"/>
      <c r="G81" s="302" t="s">
        <v>102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254.055555555556</v>
      </c>
      <c r="C82" s="211"/>
      <c r="D82" s="211"/>
      <c r="E82" s="212"/>
      <c r="F82" s="63"/>
      <c r="G82" s="210" t="s">
        <v>103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10872.8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76.7543364259782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10949.554336426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72</v>
      </c>
      <c r="C89" s="211"/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912.462861368832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1049.32179292726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984.462861368832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912.462861368832</v>
      </c>
      <c r="B128" s="320" t="n">
        <f aca="false">IF(A105="YES", B89, 0)</f>
        <v>72</v>
      </c>
      <c r="C128" s="325"/>
      <c r="D128" s="320" t="n">
        <f aca="false">B91</f>
        <v>984.462861368832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8212.16575231948</v>
      </c>
      <c r="C131" s="316"/>
      <c r="D131" s="38" t="n">
        <f aca="false">IF(A105="YES", B89*B57, 0)</f>
        <v>648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8860.16575231949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912.462861368832</v>
      </c>
      <c r="B137" s="38" t="n">
        <f aca="false">IF(A105="YES", B89, 0)</f>
        <v>72</v>
      </c>
      <c r="C137" s="316"/>
      <c r="D137" s="38" t="n">
        <f aca="false">B91</f>
        <v>984.462861368832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405.26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917.25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984.462861368832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912.462861368832</v>
      </c>
      <c r="B171" s="354" t="n">
        <f aca="false">IF(A105="YES", B89, 0)</f>
        <v>72</v>
      </c>
      <c r="C171" s="357"/>
      <c r="D171" s="354" t="n">
        <f aca="false">B91</f>
        <v>984.462861368832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8212.16575231948</v>
      </c>
      <c r="C174" s="352"/>
      <c r="D174" s="99" t="n">
        <f aca="false">IF(A105="YES", B89*B57, 0)</f>
        <v>648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8860.16575231949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912.462861368832</v>
      </c>
      <c r="B180" s="99" t="n">
        <f aca="false">IF(A105="YES", B89, 0)</f>
        <v>72</v>
      </c>
      <c r="C180" s="352"/>
      <c r="D180" s="99" t="n">
        <f aca="false">B91</f>
        <v>984.462861368832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405.26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917.25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1722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405.26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1776.73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1722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405.26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1776.73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true" showOutlineSymbols="true" defaultGridColor="true" view="normal" topLeftCell="A43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255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1722</v>
      </c>
      <c r="C64" s="211" t="n">
        <v>10000</v>
      </c>
      <c r="D64" s="290" t="n">
        <f aca="false">B64</f>
        <v>1722</v>
      </c>
      <c r="E64" s="212"/>
      <c r="F64" s="63"/>
      <c r="G64" s="284" t="s">
        <v>90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405.26</v>
      </c>
      <c r="C67" s="211"/>
      <c r="D67" s="290"/>
      <c r="E67" s="212"/>
      <c r="F67" s="63"/>
      <c r="G67" s="284" t="s">
        <v>93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3048.66666666667</v>
      </c>
      <c r="C81" s="211"/>
      <c r="D81" s="211"/>
      <c r="E81" s="212"/>
      <c r="F81" s="63"/>
      <c r="G81" s="302" t="s">
        <v>102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254.055555555556</v>
      </c>
      <c r="C82" s="211"/>
      <c r="D82" s="211"/>
      <c r="E82" s="212"/>
      <c r="F82" s="63"/>
      <c r="G82" s="210" t="s">
        <v>103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9060.66666666667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76.7543364259782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9137.42100309265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761.451750257721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1049.32179292726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821.451750257721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761.451750257721</v>
      </c>
      <c r="B128" s="320" t="n">
        <f aca="false">IF(A105="YES", B89, 0)</f>
        <v>60</v>
      </c>
      <c r="C128" s="325"/>
      <c r="D128" s="320" t="n">
        <f aca="false">B91</f>
        <v>821.451750257721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6853.06575231948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7393.06575231948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761.451750257721</v>
      </c>
      <c r="B137" s="38" t="n">
        <f aca="false">IF(A105="YES", B89, 0)</f>
        <v>60</v>
      </c>
      <c r="C137" s="316"/>
      <c r="D137" s="38" t="n">
        <f aca="false">B91</f>
        <v>821.451750257721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405.26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917.25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821.451750257721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761.451750257721</v>
      </c>
      <c r="B171" s="354" t="n">
        <f aca="false">IF(A105="YES", B89, 0)</f>
        <v>60</v>
      </c>
      <c r="C171" s="357"/>
      <c r="D171" s="354" t="n">
        <f aca="false">B91</f>
        <v>821.451750257721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6853.06575231948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7393.06575231948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761.451750257721</v>
      </c>
      <c r="B180" s="99" t="n">
        <f aca="false">IF(A105="YES", B89, 0)</f>
        <v>60</v>
      </c>
      <c r="C180" s="352"/>
      <c r="D180" s="99" t="n">
        <f aca="false">B91</f>
        <v>821.451750257721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405.26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917.25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H29</f>
        <v>12</v>
      </c>
      <c r="C203" s="320" t="s">
        <v>212</v>
      </c>
      <c r="D203" s="369" t="n">
        <f aca="false">D64</f>
        <v>1722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405.26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1776.73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1722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405.26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1776.73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45120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4100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258.333333333333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291.666666666667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294.333333333333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244.333333333333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294.333333333333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294.333333333333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2836.82</v>
      </c>
      <c r="C70" s="316" t="n">
        <v>10000</v>
      </c>
      <c r="D70" s="32" t="n">
        <f aca="false">B70-A149</f>
        <v>2836.82</v>
      </c>
      <c r="E70" s="317" t="n">
        <f aca="false">D70/12</f>
        <v>236.401666666667</v>
      </c>
      <c r="F70" s="387"/>
      <c r="G70" s="365" t="s">
        <v>90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90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316"/>
      <c r="D73" s="32"/>
      <c r="E73" s="317"/>
      <c r="F73" s="387"/>
      <c r="G73" s="365" t="s">
        <v>93</v>
      </c>
      <c r="H73" s="65" t="n">
        <f aca="false">H67*H72</f>
        <v>202.63</v>
      </c>
      <c r="I73" s="316"/>
      <c r="J73" s="32"/>
      <c r="K73" s="317"/>
      <c r="L73" s="387"/>
      <c r="M73" s="365" t="s">
        <v>93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275</v>
      </c>
      <c r="C80" s="316"/>
      <c r="D80" s="316"/>
      <c r="E80" s="403" t="n">
        <f aca="false">E79+D82</f>
        <v>957.916666666667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79.8263888888889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297.916666666667</v>
      </c>
      <c r="C82" s="316"/>
      <c r="D82" s="32" t="n">
        <f aca="false">IF(A50="YES", 0, B82)</f>
        <v>297.916666666667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4461.40333333333</v>
      </c>
      <c r="C87" s="316"/>
      <c r="D87" s="316"/>
      <c r="E87" s="317"/>
      <c r="F87" s="387"/>
      <c r="G87" s="411" t="s">
        <v>102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102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371.783611111111</v>
      </c>
      <c r="C88" s="316"/>
      <c r="D88" s="316"/>
      <c r="E88" s="317"/>
      <c r="F88" s="387"/>
      <c r="G88" s="315" t="s">
        <v>103</v>
      </c>
      <c r="H88" s="33" t="n">
        <f aca="false">H87/H29</f>
        <v>499.200277777778</v>
      </c>
      <c r="I88" s="316"/>
      <c r="J88" s="316"/>
      <c r="K88" s="317"/>
      <c r="L88" s="387"/>
      <c r="M88" s="315" t="s">
        <v>103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244.333333333333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8872.084</v>
      </c>
      <c r="C91" s="316"/>
      <c r="D91" s="316"/>
      <c r="E91" s="317"/>
      <c r="F91" s="387"/>
      <c r="G91" s="395" t="s">
        <v>114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114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62.6306857603873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115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8934.71468576039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78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744.559557146699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822.559557146699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744.559557146699</v>
      </c>
      <c r="B134" s="320" t="n">
        <f aca="false">IF(A111="YES", B95, 0)</f>
        <v>78</v>
      </c>
      <c r="C134" s="324"/>
      <c r="D134" s="320" t="n">
        <f aca="false">B97</f>
        <v>822.559557146699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744.559557146699</v>
      </c>
      <c r="C137" s="316"/>
      <c r="D137" s="38" t="n">
        <f aca="false">IF(A111="YES", B95*B63, 0)</f>
        <v>78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822.559557146699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744.559557146699</v>
      </c>
      <c r="B143" s="38" t="n">
        <f aca="false">IF(A111="YES", B95, 0)</f>
        <v>78</v>
      </c>
      <c r="C143" s="316"/>
      <c r="D143" s="38" t="n">
        <f aca="false">B97</f>
        <v>822.559557146699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4100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763.991666666667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822.559557146699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744.559557146699</v>
      </c>
      <c r="B177" s="354" t="n">
        <f aca="false">IF(A111="YES", B95, 0)</f>
        <v>78</v>
      </c>
      <c r="C177" s="356"/>
      <c r="D177" s="354" t="n">
        <f aca="false">A177+B177</f>
        <v>822.559557146699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744.559557146699</v>
      </c>
      <c r="C180" s="352"/>
      <c r="D180" s="99" t="n">
        <f aca="false">IF(A111="YES", B95*B63, 0)</f>
        <v>78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822.559557146699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744.559557146699</v>
      </c>
      <c r="B186" s="99" t="n">
        <f aca="false">IF(A111="YES", B95, 0)</f>
        <v>78</v>
      </c>
      <c r="C186" s="352"/>
      <c r="D186" s="99" t="n">
        <f aca="false">B97</f>
        <v>822.559557146699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763.991666666667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2836.82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519.991666666667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3110.81166666667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2836.82</v>
      </c>
      <c r="C217" s="374" t="s">
        <v>218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3110.81166666667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62.6306857603873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45120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4100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258.333333333333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291.666666666667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294.333333333333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244.333333333333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294.333333333333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2836.82</v>
      </c>
      <c r="C70" s="316" t="n">
        <v>10000</v>
      </c>
      <c r="D70" s="32" t="n">
        <f aca="false">B70-A149</f>
        <v>2836.82</v>
      </c>
      <c r="E70" s="317" t="n">
        <f aca="false">D70/12</f>
        <v>236.401666666667</v>
      </c>
      <c r="F70" s="387"/>
      <c r="G70" s="365" t="s">
        <v>90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90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316"/>
      <c r="D73" s="32"/>
      <c r="E73" s="317"/>
      <c r="F73" s="387"/>
      <c r="G73" s="365" t="s">
        <v>93</v>
      </c>
      <c r="H73" s="65" t="n">
        <f aca="false">H67*H72</f>
        <v>202.63</v>
      </c>
      <c r="I73" s="316"/>
      <c r="J73" s="32"/>
      <c r="K73" s="317"/>
      <c r="L73" s="387"/>
      <c r="M73" s="365" t="s">
        <v>93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275</v>
      </c>
      <c r="C80" s="316"/>
      <c r="D80" s="316"/>
      <c r="E80" s="403" t="n">
        <f aca="false">E79+D82</f>
        <v>957.916666666667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79.8263888888889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297.916666666667</v>
      </c>
      <c r="C82" s="316"/>
      <c r="D82" s="32" t="n">
        <f aca="false">IF(A50="YES", 0, B82)</f>
        <v>297.916666666667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4461.40333333333</v>
      </c>
      <c r="C87" s="316"/>
      <c r="D87" s="316"/>
      <c r="E87" s="317"/>
      <c r="F87" s="387"/>
      <c r="G87" s="411" t="s">
        <v>102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102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371.783611111111</v>
      </c>
      <c r="C88" s="316"/>
      <c r="D88" s="316"/>
      <c r="E88" s="317"/>
      <c r="F88" s="387"/>
      <c r="G88" s="315" t="s">
        <v>103</v>
      </c>
      <c r="H88" s="33" t="n">
        <f aca="false">H87/H29</f>
        <v>499.200277777778</v>
      </c>
      <c r="I88" s="316"/>
      <c r="J88" s="316"/>
      <c r="K88" s="317"/>
      <c r="L88" s="387"/>
      <c r="M88" s="315" t="s">
        <v>103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244.333333333333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7393.40333333333</v>
      </c>
      <c r="C91" s="316"/>
      <c r="D91" s="316"/>
      <c r="E91" s="317"/>
      <c r="F91" s="387"/>
      <c r="G91" s="395" t="s">
        <v>114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114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62.6306857603873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115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7456.03401909372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65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621.33616825781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686.33616825781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621.33616825781</v>
      </c>
      <c r="B134" s="320" t="n">
        <f aca="false">IF(A111="YES", B95, 0)</f>
        <v>65</v>
      </c>
      <c r="C134" s="325"/>
      <c r="D134" s="320" t="n">
        <f aca="false">B97</f>
        <v>686.33616825781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621.33616825781</v>
      </c>
      <c r="C137" s="316"/>
      <c r="D137" s="38" t="n">
        <f aca="false">IF(A111="YES", B95*B63, 0)</f>
        <v>65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686.33616825781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621.33616825781</v>
      </c>
      <c r="B143" s="38" t="n">
        <f aca="false">IF(A111="YES", B95, 0)</f>
        <v>65</v>
      </c>
      <c r="C143" s="316"/>
      <c r="D143" s="38" t="n">
        <f aca="false">B97</f>
        <v>686.33616825781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246</v>
      </c>
      <c r="B154" s="99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4100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763.99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686.33616825781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621.33616825781</v>
      </c>
      <c r="B177" s="354" t="n">
        <f aca="false">IF(A111="YES", B95, 0)</f>
        <v>65</v>
      </c>
      <c r="C177" s="357"/>
      <c r="D177" s="354" t="n">
        <f aca="false">B91</f>
        <v>7393.40333333333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621.33616825781</v>
      </c>
      <c r="C180" s="352"/>
      <c r="D180" s="99" t="n">
        <f aca="false">IF(A111="YES", B95*B63, 0)</f>
        <v>65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686.33616825781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621.33616825781</v>
      </c>
      <c r="B186" s="99" t="n">
        <f aca="false">IF(A111="YES", B95, 0)</f>
        <v>65</v>
      </c>
      <c r="C186" s="352"/>
      <c r="D186" s="99" t="n">
        <f aca="false">B97</f>
        <v>686.33616825781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763.99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2836.82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519.99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3110.81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2836.82</v>
      </c>
      <c r="C217" s="374" t="s">
        <v>218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3110.81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62.6306857603873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str">
        <f aca="false">IF(B38="YES", D38+A41, D38)</f>
        <v>500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346</v>
      </c>
      <c r="E44" s="100"/>
      <c r="F44" s="63"/>
      <c r="G44" s="63" t="s">
        <v>255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3048.66666666667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254.055555555556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9060.66666666667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76.7543364259782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9137.42100309265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761.451750257721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761.451750257721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348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3" t="n">
        <v>0</v>
      </c>
      <c r="C111" s="313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761.451750257721</v>
      </c>
      <c r="B134" s="320" t="n">
        <f aca="false">IF(A111="YES", B95, 0)</f>
        <v>0</v>
      </c>
      <c r="C134" s="325"/>
      <c r="D134" s="320" t="n">
        <f aca="false">B97</f>
        <v>761.451750257721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6853.06575231948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6853.06575231948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761.451750257721</v>
      </c>
      <c r="B143" s="38" t="n">
        <f aca="false">IF(A111="YES", B95, 0)</f>
        <v>0</v>
      </c>
      <c r="C143" s="316"/>
      <c r="D143" s="38" t="n">
        <f aca="false">B97</f>
        <v>761.451750257721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99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761.451750257721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761.451750257721</v>
      </c>
      <c r="B177" s="354" t="n">
        <f aca="false">IF(A111="YES", B95, 0)</f>
        <v>0</v>
      </c>
      <c r="C177" s="357"/>
      <c r="D177" s="354" t="n">
        <f aca="false">B91</f>
        <v>9060.66666666667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6853.06575231948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6853.06575231948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761.451750257721</v>
      </c>
      <c r="B186" s="99" t="n">
        <f aca="false">IF(A111="YES", B95, 0)</f>
        <v>0</v>
      </c>
      <c r="C186" s="352"/>
      <c r="D186" s="99" t="n">
        <f aca="false">B97</f>
        <v>761.451750257721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745.99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1815.99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76.7543364259782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3346.58333333333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278.881944444444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11230.3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79.2780354981848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11309.5780354982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78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942.464836291516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1020.46483629152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942.464836291516</v>
      </c>
      <c r="B134" s="320" t="n">
        <f aca="false">IF(A111="YES", B95, 0)</f>
        <v>78</v>
      </c>
      <c r="C134" s="325"/>
      <c r="D134" s="320" t="n">
        <f aca="false">B97</f>
        <v>1020.46483629152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942.464836291516</v>
      </c>
      <c r="C137" s="316"/>
      <c r="D137" s="38" t="n">
        <f aca="false">IF(A111="YES", B95*B63, 0)</f>
        <v>78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1020.46483629152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942.464836291516</v>
      </c>
      <c r="B143" s="38" t="n">
        <f aca="false">IF(A111="YES", B95, 0)</f>
        <v>78</v>
      </c>
      <c r="C143" s="316"/>
      <c r="D143" s="38" t="n">
        <f aca="false">B97</f>
        <v>1020.46483629152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1400.84633333333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1360.84833333333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763.991666666667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1020.46483629152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942.464836291516</v>
      </c>
      <c r="B177" s="354" t="n">
        <f aca="false">IF(A111="YES", B95, 0)</f>
        <v>78</v>
      </c>
      <c r="C177" s="357"/>
      <c r="D177" s="354" t="n">
        <f aca="false">B97</f>
        <v>1020.46483629152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942.464836291516</v>
      </c>
      <c r="C180" s="352"/>
      <c r="D180" s="99" t="n">
        <f aca="false">IF(A111="YES", B95*B63, 0)</f>
        <v>78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1020.46483629152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942.464836291516</v>
      </c>
      <c r="B186" s="99" t="n">
        <f aca="false">IF(A111="YES", B95, 0)</f>
        <v>78</v>
      </c>
      <c r="C186" s="352"/>
      <c r="D186" s="99" t="n">
        <f aca="false">B97</f>
        <v>1020.46483629152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763.991666666667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519.991666666667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1995.99166666667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1995.99166666667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3346.58333333333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278.881944444444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9358.58333333333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79.2780354981848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9437.86136883152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65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786.488447402627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851.488447402627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786.488447402627</v>
      </c>
      <c r="B134" s="320" t="n">
        <f aca="false">IF(A111="YES", B95, 0)</f>
        <v>65</v>
      </c>
      <c r="C134" s="325"/>
      <c r="D134" s="320" t="n">
        <f aca="false">B97</f>
        <v>851.488447402627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786.488447402627</v>
      </c>
      <c r="C137" s="316"/>
      <c r="D137" s="38" t="n">
        <f aca="false">IF(A111="YES", B95*B63, 0)</f>
        <v>65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851.488447402627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786.488447402627</v>
      </c>
      <c r="B143" s="38" t="n">
        <f aca="false">IF(A111="YES", B95, 0)</f>
        <v>65</v>
      </c>
      <c r="C143" s="316"/>
      <c r="D143" s="38" t="n">
        <f aca="false">B97</f>
        <v>851.488447402627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1400.84633333333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1360.84833333333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763.99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851.488447402627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786.488447402627</v>
      </c>
      <c r="B177" s="354" t="n">
        <f aca="false">IF(A111="YES", B95, 0)</f>
        <v>65</v>
      </c>
      <c r="C177" s="357"/>
      <c r="D177" s="354" t="n">
        <f aca="false">B91</f>
        <v>9358.58333333333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786.488447402627</v>
      </c>
      <c r="C180" s="352"/>
      <c r="D180" s="99" t="n">
        <f aca="false">IF(A111="YES", B95*B63, 0)</f>
        <v>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851.488447402627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786.488447402627</v>
      </c>
      <c r="B186" s="99" t="n">
        <f aca="false">IF(A111="YES", B95, 0)</f>
        <v>65</v>
      </c>
      <c r="C186" s="352"/>
      <c r="D186" s="99" t="n">
        <f aca="false">B97</f>
        <v>851.488447402627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B154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763.99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519.99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1995.99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1995.99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3048.66666666667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254.055555555556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9060.66666666667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76.7543364259782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9137.42100309265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761.451750257721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761.451750257721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761.451750257721</v>
      </c>
      <c r="B134" s="320" t="n">
        <f aca="false">IF(A111="YES", B95, 0)</f>
        <v>0</v>
      </c>
      <c r="C134" s="325"/>
      <c r="D134" s="320" t="n">
        <f aca="false">B97</f>
        <v>761.451750257721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6853.06575231948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6853.06575231948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761.451750257721</v>
      </c>
      <c r="B143" s="38" t="n">
        <f aca="false">IF(A111="YES", B95, 0)</f>
        <v>0</v>
      </c>
      <c r="C143" s="316"/>
      <c r="D143" s="38" t="n">
        <f aca="false">B97</f>
        <v>761.451750257721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761.451750257721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761.451750257721</v>
      </c>
      <c r="B177" s="354" t="n">
        <f aca="false">IF(A111="YES", B95, 0)</f>
        <v>0</v>
      </c>
      <c r="C177" s="357"/>
      <c r="D177" s="354" t="n">
        <f aca="false">B91</f>
        <v>9060.66666666667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6853.06575231948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6853.06575231948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761.451750257721</v>
      </c>
      <c r="B186" s="99" t="n">
        <f aca="false">IF(A111="YES", B95, 0)</f>
        <v>0</v>
      </c>
      <c r="C186" s="352"/>
      <c r="D186" s="99" t="n">
        <f aca="false">B97</f>
        <v>761.451750257721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745.99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1815.99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76.7543364259782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2679.91666666667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223.326388888889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10430.3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73.6305970149254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10503.9305970149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875.327549751244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875.327549751244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875.327549751244</v>
      </c>
      <c r="B134" s="320" t="n">
        <f aca="false">IF(A111="YES", B95, 0)</f>
        <v>0</v>
      </c>
      <c r="C134" s="325"/>
      <c r="D134" s="320" t="n">
        <f aca="false">B97</f>
        <v>875.327549751244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875.327549751244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875.327549751244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875.327549751244</v>
      </c>
      <c r="B143" s="38" t="n">
        <f aca="false">IF(A111="YES", B95, 0)</f>
        <v>0</v>
      </c>
      <c r="C143" s="316"/>
      <c r="D143" s="38" t="n">
        <f aca="false">B97</f>
        <v>875.327549751244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345.991666666667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875.327549751244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875.327549751244</v>
      </c>
      <c r="B177" s="354" t="n">
        <f aca="false">IF(A111="YES", B95, 0)</f>
        <v>0</v>
      </c>
      <c r="C177" s="357"/>
      <c r="D177" s="354" t="n">
        <f aca="false">B91</f>
        <v>10430.3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875.327549751244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875.327549751244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875.327549751244</v>
      </c>
      <c r="B186" s="99" t="n">
        <f aca="false">IF(A111="YES", B95, 0)</f>
        <v>0</v>
      </c>
      <c r="C186" s="352"/>
      <c r="D186" s="99" t="n">
        <f aca="false">B97</f>
        <v>875.327549751244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345.991666666667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99.9916666666667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1575.99166666667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1575.99166666667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73.6305970149254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8.92</v>
      </c>
      <c r="E32" s="222"/>
      <c r="F32" s="63"/>
      <c r="G32" s="223" t="s">
        <v>241</v>
      </c>
      <c r="H32" s="221" t="str">
        <f aca="false">A41</f>
        <v>8.92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508.92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349</v>
      </c>
      <c r="B41" s="237" t="n">
        <f aca="false">IF(B38="YES", D38+A41, D38)</f>
        <v>508.92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8.92</v>
      </c>
      <c r="I44" s="393" t="n">
        <f aca="false">((A41*(B35-1))+D32)/B35</f>
        <v>8.92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509.92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509.92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3346.58333333333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278.881944444444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9358.58333333333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79.2780354981848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9437.86136883152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11.596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786.488447402627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798.084447402627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786.488447402627</v>
      </c>
      <c r="B134" s="320" t="n">
        <f aca="false">IF(A111="YES", B95, 0)</f>
        <v>11.596</v>
      </c>
      <c r="C134" s="325"/>
      <c r="D134" s="320" t="n">
        <f aca="false">B97</f>
        <v>798.084447402627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786.488447402627</v>
      </c>
      <c r="C137" s="316"/>
      <c r="D137" s="38" t="n">
        <f aca="false">IF(A111="YES", B95*B63, 0)</f>
        <v>11.596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798.084447402627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786.488447402627</v>
      </c>
      <c r="B143" s="38" t="n">
        <f aca="false">IF(A111="YES", B95, 0)</f>
        <v>11.596</v>
      </c>
      <c r="C143" s="316"/>
      <c r="D143" s="38" t="n">
        <f aca="false">B97</f>
        <v>798.084447402627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2.1408</v>
      </c>
      <c r="H148" s="99" t="n">
        <f aca="false">G108-100</f>
        <v>139.988</v>
      </c>
      <c r="I148" s="99"/>
      <c r="J148" s="99" t="n">
        <f aca="false">(H145+J145+G148+H148)-H151</f>
        <v>1390.98713333333</v>
      </c>
      <c r="K148" s="101"/>
      <c r="L148" s="63"/>
      <c r="M148" s="107" t="n">
        <f aca="false">IF(M111="YES", ((A41*N111)*0.1)*(M133), 0)</f>
        <v>2.1408</v>
      </c>
      <c r="N148" s="99" t="n">
        <f aca="false">M108-100</f>
        <v>99.99</v>
      </c>
      <c r="O148" s="99"/>
      <c r="P148" s="99" t="n">
        <f aca="false">(N145+P145+M148+N148)-N151</f>
        <v>1350.98913333333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3.2112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749.2012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798.084447402627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786.488447402627</v>
      </c>
      <c r="B177" s="354" t="n">
        <f aca="false">IF(A111="YES", B95, 0)</f>
        <v>11.596</v>
      </c>
      <c r="C177" s="357"/>
      <c r="D177" s="354" t="n">
        <f aca="false">B91</f>
        <v>9358.58333333333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786.488447402627</v>
      </c>
      <c r="C180" s="352"/>
      <c r="D180" s="99" t="n">
        <f aca="false">IF(A111="YES", B95*B63, 0)</f>
        <v>11.596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798.084447402627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786.488447402627</v>
      </c>
      <c r="B186" s="99" t="n">
        <f aca="false">IF(A111="YES", B95, 0)</f>
        <v>11.596</v>
      </c>
      <c r="C186" s="352"/>
      <c r="D186" s="99" t="n">
        <f aca="false">B97</f>
        <v>798.084447402627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(A41/100*B111)*B131, 0)*0.1</f>
        <v>3.2112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749.2012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372.102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1848.102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1848.102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32.112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7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35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644.568528797354</v>
      </c>
      <c r="F33" s="228"/>
      <c r="G33" s="228"/>
      <c r="H33" s="47"/>
      <c r="I33" s="2"/>
      <c r="J33" s="34" t="s">
        <v>352</v>
      </c>
      <c r="K33" s="48" t="n">
        <f aca="false">E21</f>
        <v>20500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644.568528797354</v>
      </c>
      <c r="B36" s="228" t="str">
        <f aca="false">IF(B26="YES", K42, "0.00")</f>
        <v>0.00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20500</v>
      </c>
      <c r="L39" s="2" t="n">
        <f aca="false">(L47*K46)+K44</f>
        <v>25443.3768750692</v>
      </c>
      <c r="N39" s="1" t="n">
        <f aca="false">K39-L39</f>
        <v>-4943.37687506925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0</v>
      </c>
      <c r="L40" s="2" t="n">
        <f aca="false">K39-L39</f>
        <v>-4943.37687506925</v>
      </c>
      <c r="N40" s="1" t="n">
        <f aca="false">N38-N39</f>
        <v>7855.05687506925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30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20500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644.568528797354</v>
      </c>
      <c r="L47" s="2" t="n">
        <f aca="false">L49-K42</f>
        <v>800</v>
      </c>
      <c r="M47" s="1" t="n">
        <f aca="false">K47-L47</f>
        <v>-155.431471202646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644.568528797354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644.568528797354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6264.11821363772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199.913194444444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2997.23541666667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396.817083333333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644.568528797354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644.568528797354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644.568528797354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644.568528797354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130"/>
      <c r="D81" s="130"/>
      <c r="E81" s="109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130"/>
      <c r="D82" s="130"/>
      <c r="E82" s="109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34</v>
      </c>
      <c r="C85" s="130"/>
      <c r="D85" s="130"/>
      <c r="E85" s="109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130"/>
      <c r="D86" s="130"/>
      <c r="E86" s="109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130"/>
      <c r="D87" s="130"/>
      <c r="E87" s="109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24500</v>
      </c>
      <c r="C88" s="130"/>
      <c r="D88" s="130"/>
      <c r="E88" s="109"/>
      <c r="F88" s="31" t="s">
        <v>112</v>
      </c>
      <c r="G88" s="33" t="n">
        <f aca="false">G81-G86</f>
        <v>24500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847.765197692503</v>
      </c>
      <c r="C89" s="130"/>
      <c r="D89" s="130"/>
      <c r="E89" s="109"/>
      <c r="F89" s="31" t="s">
        <v>113</v>
      </c>
      <c r="G89" s="33" t="n">
        <f aca="false">(G88/G87)</f>
        <v>770.337997830984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28824.0167215451</v>
      </c>
      <c r="C90" s="130"/>
      <c r="D90" s="130"/>
      <c r="E90" s="109"/>
      <c r="F90" s="31" t="s">
        <v>114</v>
      </c>
      <c r="G90" s="33" t="n">
        <f aca="false">((G89*(G85))+G77)</f>
        <v>26961.8299240844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28824.0167215451</v>
      </c>
      <c r="C92" s="130"/>
      <c r="D92" s="130"/>
      <c r="E92" s="109"/>
      <c r="F92" s="56" t="s">
        <v>116</v>
      </c>
      <c r="G92" s="65" t="n">
        <f aca="false">(G90+G91)</f>
        <v>26961.8299240844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IF(B26="YES",((E40/B85)*(1+A108)*1.2*(C45/100)),"0")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847.765197692503</v>
      </c>
      <c r="C95" s="130"/>
      <c r="D95" s="130"/>
      <c r="E95" s="109"/>
      <c r="F95" s="91" t="s">
        <v>118</v>
      </c>
      <c r="G95" s="92" t="n">
        <f aca="false">G92/(G85)</f>
        <v>770.337997830984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847.765197692503</v>
      </c>
      <c r="C96" s="130"/>
      <c r="D96" s="130"/>
      <c r="E96" s="109"/>
      <c r="F96" s="93" t="s">
        <v>119</v>
      </c>
      <c r="G96" s="94" t="n">
        <f aca="false">G94+G95</f>
        <v>770.337997830984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20500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24600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24600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24600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20500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20500</v>
      </c>
      <c r="H135" s="150" t="n">
        <f aca="false">C125+E125+G125+H128</f>
        <v>22500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-18750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24500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847.765197692503</v>
      </c>
      <c r="B167" s="174" t="str">
        <f aca="false">B94</f>
        <v>0</v>
      </c>
      <c r="C167" s="171"/>
      <c r="D167" s="171"/>
      <c r="E167" s="174" t="n">
        <f aca="false">B96</f>
        <v>847.765197692503</v>
      </c>
      <c r="F167" s="23"/>
      <c r="G167" s="23" t="n">
        <f aca="false">ROUND(G95, 2)</f>
        <v>770.34</v>
      </c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27000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24500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5161.78191923761</v>
      </c>
      <c r="B182" s="99" t="str">
        <f aca="false">B114</f>
        <v>239.99</v>
      </c>
      <c r="C182" s="99"/>
      <c r="D182" s="23"/>
      <c r="E182" s="99" t="n">
        <f aca="false">E179+A182+B182+A185</f>
        <v>29911.7719192376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2239.99</v>
      </c>
      <c r="C185" s="99"/>
      <c r="D185" s="23"/>
      <c r="E185" s="99" t="n">
        <f aca="false">IF(A40=0,(E167),(E170+A185))</f>
        <v>847.765197692503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</f>
        <v>0</v>
      </c>
      <c r="B188" s="99" t="n">
        <f aca="false">(G158*B67)/1.2</f>
        <v>199.913194444444</v>
      </c>
      <c r="C188" s="130"/>
      <c r="D188" s="130"/>
      <c r="E188" s="99" t="n">
        <f aca="false">(E40*A108)*0.1*C45/100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299.904861111111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847.765197692503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2529.32519769251</v>
      </c>
      <c r="B201" s="183" t="n">
        <f aca="false">E179+A201+B182+A185</f>
        <v>27279.3151976925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847.765197692503</v>
      </c>
      <c r="B212" s="174" t="str">
        <f aca="false">B167</f>
        <v>0</v>
      </c>
      <c r="C212" s="171"/>
      <c r="D212" s="171"/>
      <c r="E212" s="174" t="n">
        <f aca="false">E167</f>
        <v>847.765197692503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24500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5161.78191923761</v>
      </c>
      <c r="B224" s="99" t="str">
        <f aca="false">B182</f>
        <v>239.99</v>
      </c>
      <c r="C224" s="99"/>
      <c r="D224" s="109"/>
      <c r="E224" s="99" t="n">
        <f aca="false">E182</f>
        <v>29911.7719192376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847.765197692503</v>
      </c>
      <c r="B230" s="99" t="str">
        <f aca="false">B167</f>
        <v>0</v>
      </c>
      <c r="C230" s="183"/>
      <c r="D230" s="183"/>
      <c r="E230" s="99" t="n">
        <f aca="false">E167</f>
        <v>847.765197692503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847.765197692503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0</v>
      </c>
      <c r="B236" s="99" t="n">
        <f aca="false">E233+A236</f>
        <v>29.17872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199.913194444444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2299.90486111111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2642.45672154511</v>
      </c>
      <c r="C254" s="194"/>
      <c r="D254" s="195" t="s">
        <v>213</v>
      </c>
      <c r="E254" s="195"/>
      <c r="F254" s="196" t="n">
        <f aca="false">F261+F267+F269+B270+B271</f>
        <v>239.895833333333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2502.55255487844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2642.45672154511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239.895833333333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2502.55255487844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1" colorId="64" zoomScale="85" zoomScaleNormal="85" zoomScalePageLayoutView="100" workbookViewId="0">
      <selection pane="topLeft" activeCell="E183" activeCellId="0" sqref="E1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19500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153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474.611354378281</v>
      </c>
      <c r="F33" s="228"/>
      <c r="G33" s="228"/>
      <c r="H33" s="47"/>
      <c r="I33" s="2"/>
      <c r="J33" s="34" t="s">
        <v>352</v>
      </c>
      <c r="K33" s="48" t="n">
        <f aca="false">E21</f>
        <v>20500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461.861354378281</v>
      </c>
      <c r="B36" s="228" t="n">
        <f aca="false">IF(B26="YES", K42, "0.00")</f>
        <v>12.75</v>
      </c>
      <c r="C36" s="228"/>
      <c r="D36" s="228"/>
      <c r="E36" s="228" t="n">
        <f aca="false">K31</f>
        <v>19500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08"/>
    </row>
    <row r="40" customFormat="false" ht="17.35" hidden="false" customHeight="false" outlineLevel="0" collapsed="false">
      <c r="A40" s="103" t="n">
        <f aca="false">E36*A45/100</f>
        <v>19500</v>
      </c>
      <c r="B40" s="103" t="n">
        <f aca="false">IF(B26="YES", K42, "0.00")</f>
        <v>12.75</v>
      </c>
      <c r="C40" s="103"/>
      <c r="D40" s="103"/>
      <c r="E40" s="179" t="n">
        <f aca="false">K32</f>
        <v>153</v>
      </c>
      <c r="F40" s="183"/>
      <c r="G40" s="183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12.75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15147.966037908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5352.03396209199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474.611354378281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1642.21866155271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461.861354378281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474.611354378281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474.611354378281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130"/>
      <c r="D81" s="130"/>
      <c r="E81" s="109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130"/>
      <c r="D82" s="130"/>
      <c r="E82" s="109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19500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19500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0.0995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0.00829166666666667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130"/>
      <c r="D85" s="130"/>
      <c r="E85" s="109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17660.3976128706</v>
      </c>
      <c r="C86" s="130"/>
      <c r="D86" s="130"/>
      <c r="E86" s="109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16941.0932752196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16941.0932752196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130"/>
      <c r="D87" s="130"/>
      <c r="E87" s="109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6839.60238712945</v>
      </c>
      <c r="C88" s="130"/>
      <c r="D88" s="130"/>
      <c r="E88" s="109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653.141355826553</v>
      </c>
      <c r="C89" s="130"/>
      <c r="D89" s="130"/>
      <c r="E89" s="109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7184.55491409208</v>
      </c>
      <c r="C90" s="130"/>
      <c r="D90" s="130"/>
      <c r="E90" s="109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7184.55491409208</v>
      </c>
      <c r="C92" s="130"/>
      <c r="D92" s="130"/>
      <c r="E92" s="109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IF(B26="YES",((E40/B85)*(1+A108)*(C45/100)),"0")</f>
        <v>16.6909090909091</v>
      </c>
      <c r="C94" s="130"/>
      <c r="D94" s="130"/>
      <c r="E94" s="109"/>
      <c r="F94" s="88" t="s">
        <v>117</v>
      </c>
      <c r="G94" s="259" t="n">
        <f aca="false">IF(B26="YES",((E40/B85)*(1+A108)*(C45/100)),"0")</f>
        <v>16.6909090909091</v>
      </c>
      <c r="H94" s="33"/>
      <c r="J94" s="88" t="s">
        <v>117</v>
      </c>
      <c r="K94" s="89" t="n">
        <f aca="false">((E40/K85)*(1+J108))*1.2</f>
        <v>19.89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16.6909090909091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20.0290909090909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653.141355826553</v>
      </c>
      <c r="C95" s="130"/>
      <c r="D95" s="130"/>
      <c r="E95" s="109"/>
      <c r="F95" s="91" t="s">
        <v>118</v>
      </c>
      <c r="G95" s="92" t="n">
        <f aca="false">G92/(G85)</f>
        <v>584.370853512356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669.832264917462</v>
      </c>
      <c r="C96" s="130"/>
      <c r="D96" s="130"/>
      <c r="E96" s="109"/>
      <c r="F96" s="93" t="s">
        <v>119</v>
      </c>
      <c r="G96" s="94" t="n">
        <f aca="false">G94+G95</f>
        <v>601.061762603265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0.0995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20500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24600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24600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24600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20500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20500</v>
      </c>
      <c r="H135" s="150" t="n">
        <f aca="false">C125+E125+G125+H128</f>
        <v>22500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-18750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24500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653.141355826553</v>
      </c>
      <c r="B167" s="174" t="n">
        <f aca="false">B94</f>
        <v>16.6909090909091</v>
      </c>
      <c r="C167" s="171"/>
      <c r="D167" s="171"/>
      <c r="E167" s="174" t="n">
        <f aca="false">B96</f>
        <v>669.832264917462</v>
      </c>
      <c r="F167" s="23"/>
      <c r="G167" s="23" t="n">
        <f aca="false">ROUND(G95, 2)</f>
        <v>584.37</v>
      </c>
      <c r="H167" s="33"/>
      <c r="J167" s="173" t="e">
        <f aca="false">K95</f>
        <v>#VALUE!</v>
      </c>
      <c r="K167" s="174" t="n">
        <f aca="false">K94</f>
        <v>19.89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16.6909090909091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20.0290909090909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177" t="n">
        <f aca="false">K30</f>
        <v>10000</v>
      </c>
      <c r="C170" s="178"/>
      <c r="D170" s="23"/>
      <c r="E170" s="179" t="n">
        <f aca="false">IF(A111="YES",A40, 0)</f>
        <v>19500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19500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19500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27000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24500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2184.55491409208</v>
      </c>
      <c r="B182" s="99" t="str">
        <f aca="false">B114</f>
        <v>199.99</v>
      </c>
      <c r="C182" s="99"/>
      <c r="D182" s="23"/>
      <c r="E182" s="99" t="n">
        <f aca="false">E179+A182+(B182*1.2)+A185</f>
        <v>26934.5429140921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2239.988</v>
      </c>
      <c r="C185" s="99"/>
      <c r="D185" s="23"/>
      <c r="E185" s="99" t="n">
        <f aca="false">IF(A40=0,(E167),(E170+A185))</f>
        <v>19510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19520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19510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19510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8.1052</v>
      </c>
      <c r="B188" s="99" t="n">
        <f aca="false">(G158*B67)/1.2</f>
        <v>102.083333333333</v>
      </c>
      <c r="C188" s="130"/>
      <c r="D188" s="130"/>
      <c r="E188" s="99" t="n">
        <f aca="false">(E40*A108)*0.1*(C45/100)</f>
        <v>3.06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4.59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3.06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205.133333333333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669.832264917462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3" t="n">
        <f aca="false">E179+A201+(B182*1.2)+A185</f>
        <v>26178.058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653.141355826553</v>
      </c>
      <c r="B212" s="174" t="n">
        <f aca="false">B167</f>
        <v>16.6909090909091</v>
      </c>
      <c r="C212" s="171"/>
      <c r="D212" s="171"/>
      <c r="E212" s="174" t="n">
        <f aca="false">E167</f>
        <v>669.832264917462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24500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2184.55491409208</v>
      </c>
      <c r="B224" s="99" t="str">
        <f aca="false">B182</f>
        <v>199.99</v>
      </c>
      <c r="C224" s="99"/>
      <c r="D224" s="109"/>
      <c r="E224" s="99" t="n">
        <f aca="false">E182</f>
        <v>26934.5429140921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653.141355826553</v>
      </c>
      <c r="B230" s="99" t="n">
        <f aca="false">B167</f>
        <v>16.6909090909091</v>
      </c>
      <c r="C230" s="183"/>
      <c r="D230" s="183"/>
      <c r="E230" s="99" t="n">
        <f aca="false">E167</f>
        <v>669.832264917462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19500</v>
      </c>
      <c r="B233" s="99" t="n">
        <f aca="false">E185</f>
        <v>19510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8.1052</v>
      </c>
      <c r="B236" s="99" t="n">
        <f aca="false">E233+A236</f>
        <v>32.4208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102.083333333333</v>
      </c>
      <c r="C240" s="130"/>
      <c r="D240" s="130"/>
      <c r="E240" s="99" t="n">
        <f aca="false">E188</f>
        <v>3.06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2205.13333333333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766.484914092078</v>
      </c>
      <c r="C254" s="194"/>
      <c r="D254" s="195" t="s">
        <v>213</v>
      </c>
      <c r="E254" s="195"/>
      <c r="F254" s="196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130.59</v>
      </c>
      <c r="C255" s="194"/>
      <c r="D255" s="195" t="s">
        <v>215</v>
      </c>
      <c r="E255" s="195"/>
      <c r="F255" s="196" t="n">
        <f aca="false">(B254-F254)+B255</f>
        <v>774.574914092078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0.0995</v>
      </c>
      <c r="C260" s="43"/>
      <c r="D260" s="163" t="s">
        <v>212</v>
      </c>
      <c r="E260" s="163"/>
      <c r="F260" s="143" t="n">
        <f aca="false">B254</f>
        <v>766.484914092078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30.6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774.574914092078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19500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153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474.611354378281</v>
      </c>
      <c r="F33" s="228"/>
      <c r="G33" s="228"/>
      <c r="H33" s="47"/>
      <c r="I33" s="2"/>
      <c r="J33" s="34" t="s">
        <v>352</v>
      </c>
      <c r="K33" s="48" t="n">
        <f aca="false">E21</f>
        <v>20500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461.861354378281</v>
      </c>
      <c r="B36" s="228" t="n">
        <f aca="false">IF(B26="YES", K42, "0.00")</f>
        <v>12.75</v>
      </c>
      <c r="C36" s="228"/>
      <c r="D36" s="228"/>
      <c r="E36" s="228" t="n">
        <f aca="false">K31</f>
        <v>19500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08"/>
    </row>
    <row r="40" customFormat="false" ht="17.35" hidden="false" customHeight="false" outlineLevel="0" collapsed="false">
      <c r="A40" s="103" t="n">
        <f aca="false">E36*A45/100</f>
        <v>19500</v>
      </c>
      <c r="B40" s="103" t="n">
        <f aca="false">IF(B26="YES", K42, "0.00")</f>
        <v>12.75</v>
      </c>
      <c r="C40" s="103"/>
      <c r="D40" s="103"/>
      <c r="E40" s="179" t="n">
        <f aca="false">K32</f>
        <v>153</v>
      </c>
      <c r="F40" s="183"/>
      <c r="G40" s="183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12.75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15147.966037908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5352.03396209199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474.611354378281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2211.65791717848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461.861354378281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474.611354378281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474.611354378281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130"/>
      <c r="D81" s="130"/>
      <c r="E81" s="109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130"/>
      <c r="D82" s="130"/>
      <c r="E82" s="109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19500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19500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17211.3007080073</v>
      </c>
      <c r="C86" s="130"/>
      <c r="D86" s="130"/>
      <c r="E86" s="109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16941.0932752196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16941.0932752196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/>
      <c r="D87" s="130"/>
      <c r="E87" s="109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7288.69929199271</v>
      </c>
      <c r="C88" s="130"/>
      <c r="D88" s="130"/>
      <c r="E88" s="109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704.908560883441</v>
      </c>
      <c r="C89" s="130"/>
      <c r="D89" s="130"/>
      <c r="E89" s="109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7753.99416971785</v>
      </c>
      <c r="C90" s="130"/>
      <c r="D90" s="130"/>
      <c r="E90" s="109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7753.99416971785</v>
      </c>
      <c r="C92" s="130"/>
      <c r="D92" s="130"/>
      <c r="E92" s="109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IF(B26="YES",((E40/B85)*(1+A108)*1.2*(C45/100)),"0")</f>
        <v>21.6981818181818</v>
      </c>
      <c r="C94" s="130"/>
      <c r="D94" s="130"/>
      <c r="E94" s="109"/>
      <c r="F94" s="88" t="s">
        <v>117</v>
      </c>
      <c r="G94" s="259" t="n">
        <f aca="false">IF(B26="YES",((E40/B85)*(1+A108)*(C45/100)),"0")</f>
        <v>18.0818181818182</v>
      </c>
      <c r="H94" s="33"/>
      <c r="J94" s="88" t="s">
        <v>117</v>
      </c>
      <c r="K94" s="89" t="n">
        <f aca="false">((E40/K85)*(1+J108))*1.2</f>
        <v>19.89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16.6909090909091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20.0290909090909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704.908560883441</v>
      </c>
      <c r="C95" s="130"/>
      <c r="D95" s="130"/>
      <c r="E95" s="109"/>
      <c r="F95" s="91" t="s">
        <v>118</v>
      </c>
      <c r="G95" s="92" t="n">
        <f aca="false">G92/(G85)</f>
        <v>584.370853512356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726.606742701623</v>
      </c>
      <c r="C96" s="130"/>
      <c r="D96" s="130"/>
      <c r="E96" s="109"/>
      <c r="F96" s="93" t="s">
        <v>119</v>
      </c>
      <c r="G96" s="94" t="n">
        <f aca="false">G94+G95</f>
        <v>602.452671694174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20500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24600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24600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24600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20500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20500</v>
      </c>
      <c r="H135" s="150" t="n">
        <f aca="false">C125+E125+G125+H128</f>
        <v>22500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-18750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24500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704.908560883441</v>
      </c>
      <c r="B167" s="174" t="n">
        <f aca="false">B94</f>
        <v>21.6981818181818</v>
      </c>
      <c r="C167" s="171"/>
      <c r="D167" s="171"/>
      <c r="E167" s="174" t="n">
        <f aca="false">B96</f>
        <v>726.606742701623</v>
      </c>
      <c r="F167" s="23"/>
      <c r="G167" s="23" t="n">
        <f aca="false">ROUND(G95, 2)</f>
        <v>584.37</v>
      </c>
      <c r="H167" s="33"/>
      <c r="J167" s="173" t="e">
        <f aca="false">K95</f>
        <v>#VALUE!</v>
      </c>
      <c r="K167" s="174" t="n">
        <f aca="false">K94</f>
        <v>19.89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16.6909090909091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20.0290909090909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19500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19500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19500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27000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24500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2753.99416971785</v>
      </c>
      <c r="B182" s="99" t="str">
        <f aca="false">B114</f>
        <v>239.99</v>
      </c>
      <c r="C182" s="99"/>
      <c r="D182" s="23"/>
      <c r="E182" s="99" t="n">
        <f aca="false">E179+A182+B182+A185</f>
        <v>27503.9841697179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E170+A185</f>
        <v>19510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19520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19510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19510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 *1.2</f>
        <v>9.72624</v>
      </c>
      <c r="B188" s="99" t="n">
        <f aca="false">(G158*B67)</f>
        <v>122.5</v>
      </c>
      <c r="C188" s="130"/>
      <c r="D188" s="130"/>
      <c r="E188" s="99" t="n">
        <f aca="false">(E40*A108)*0.1*(C45/100)</f>
        <v>4.59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4.59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3.06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227.081666666667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726.606742701623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3" t="n">
        <f aca="false">E179+A201+B182+A185</f>
        <v>26178.06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704.908560883441</v>
      </c>
      <c r="B212" s="174" t="n">
        <f aca="false">B167</f>
        <v>21.6981818181818</v>
      </c>
      <c r="C212" s="171"/>
      <c r="D212" s="171"/>
      <c r="E212" s="174" t="n">
        <f aca="false">E167</f>
        <v>726.606742701623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24500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2753.99416971785</v>
      </c>
      <c r="B224" s="99" t="str">
        <f aca="false">B182</f>
        <v>239.99</v>
      </c>
      <c r="C224" s="99"/>
      <c r="D224" s="109"/>
      <c r="E224" s="99" t="n">
        <f aca="false">E182</f>
        <v>27503.9841697179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704.908560883441</v>
      </c>
      <c r="B230" s="99" t="n">
        <f aca="false">B167</f>
        <v>21.6981818181818</v>
      </c>
      <c r="C230" s="183"/>
      <c r="D230" s="183"/>
      <c r="E230" s="99" t="n">
        <f aca="false">E167</f>
        <v>726.606742701623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19500</v>
      </c>
      <c r="B233" s="99" t="n">
        <f aca="false">E185</f>
        <v>19510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102.083333333333</v>
      </c>
      <c r="C240" s="130"/>
      <c r="D240" s="130"/>
      <c r="E240" s="99" t="n">
        <f aca="false">E188</f>
        <v>4.59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2206.665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1335.92416971785</v>
      </c>
      <c r="C254" s="194"/>
      <c r="D254" s="195" t="s">
        <v>213</v>
      </c>
      <c r="E254" s="195"/>
      <c r="F254" s="196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145.891666666667</v>
      </c>
      <c r="C255" s="194"/>
      <c r="D255" s="195" t="s">
        <v>215</v>
      </c>
      <c r="E255" s="195"/>
      <c r="F255" s="196" t="n">
        <f aca="false">(B254-F254)+B255</f>
        <v>1359.31583638452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B254</f>
        <v>1335.92416971785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1359.31583638452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72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19500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153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474.611354378281</v>
      </c>
      <c r="F33" s="228"/>
      <c r="G33" s="228"/>
      <c r="H33" s="47"/>
      <c r="I33" s="2"/>
      <c r="J33" s="34" t="s">
        <v>352</v>
      </c>
      <c r="K33" s="48" t="n">
        <f aca="false">E21</f>
        <v>20500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461.861354378281</v>
      </c>
      <c r="B36" s="228" t="n">
        <f aca="false">IF(B26="YES", K42, "0.00")</f>
        <v>12.75</v>
      </c>
      <c r="C36" s="228"/>
      <c r="D36" s="228"/>
      <c r="E36" s="228" t="n">
        <f aca="false">K31</f>
        <v>19500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08"/>
    </row>
    <row r="40" customFormat="false" ht="17.35" hidden="false" customHeight="false" outlineLevel="0" collapsed="false">
      <c r="A40" s="103" t="n">
        <f aca="false">E36*A45/100</f>
        <v>19500</v>
      </c>
      <c r="B40" s="103" t="n">
        <f aca="false">IF(B26="YES", K42, "0.00")</f>
        <v>12.75</v>
      </c>
      <c r="C40" s="103"/>
      <c r="D40" s="103"/>
      <c r="E40" s="179" t="n">
        <f aca="false">K32</f>
        <v>153</v>
      </c>
      <c r="F40" s="183"/>
      <c r="G40" s="183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12.75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15147.966037908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5352.03396209199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474.611354378281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2211.65791717848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461.861354378281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474.611354378281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474.611354378281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130"/>
      <c r="D81" s="130"/>
      <c r="E81" s="109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130"/>
      <c r="D82" s="130"/>
      <c r="E82" s="109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19500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19500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17211.3007080073</v>
      </c>
      <c r="C86" s="130"/>
      <c r="D86" s="130"/>
      <c r="E86" s="109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16941.0932752196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16941.0932752196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/>
      <c r="D87" s="130"/>
      <c r="E87" s="109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7288.69929199271</v>
      </c>
      <c r="C88" s="130"/>
      <c r="D88" s="130"/>
      <c r="E88" s="109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704.908560883441</v>
      </c>
      <c r="C89" s="130"/>
      <c r="D89" s="130"/>
      <c r="E89" s="109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7753.99416971785</v>
      </c>
      <c r="C90" s="130"/>
      <c r="D90" s="130"/>
      <c r="E90" s="109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7753.99416971785</v>
      </c>
      <c r="C92" s="130"/>
      <c r="D92" s="130"/>
      <c r="E92" s="109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IF(B26="YES",((E40/B85)*(1+A108)*(C45/100)),"0")</f>
        <v>18.0818181818182</v>
      </c>
      <c r="C94" s="130"/>
      <c r="D94" s="130"/>
      <c r="E94" s="109"/>
      <c r="F94" s="88" t="s">
        <v>117</v>
      </c>
      <c r="G94" s="259" t="n">
        <f aca="false">IF(B26="YES",((E40/B85)*(1+A108)*(C45/100)),"0")</f>
        <v>18.0818181818182</v>
      </c>
      <c r="H94" s="33"/>
      <c r="J94" s="88" t="s">
        <v>117</v>
      </c>
      <c r="K94" s="89" t="n">
        <f aca="false">((E40/K85)*(1+J108))*1.2</f>
        <v>19.89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16.6909090909091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20.0290909090909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704.908560883441</v>
      </c>
      <c r="C95" s="130"/>
      <c r="D95" s="130"/>
      <c r="E95" s="109"/>
      <c r="F95" s="91" t="s">
        <v>118</v>
      </c>
      <c r="G95" s="92" t="n">
        <f aca="false">G92/(G85)</f>
        <v>584.370853512356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722.990379065259</v>
      </c>
      <c r="C96" s="130"/>
      <c r="D96" s="130"/>
      <c r="E96" s="109"/>
      <c r="F96" s="93" t="s">
        <v>119</v>
      </c>
      <c r="G96" s="94" t="n">
        <f aca="false">G94+G95</f>
        <v>602.452671694174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20500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24600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24600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24600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20500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20500</v>
      </c>
      <c r="H135" s="150" t="n">
        <f aca="false">C125+E125+G125+H128</f>
        <v>22500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-18750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24500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704.908560883441</v>
      </c>
      <c r="B167" s="174" t="n">
        <f aca="false">B94</f>
        <v>18.0818181818182</v>
      </c>
      <c r="C167" s="171"/>
      <c r="D167" s="171"/>
      <c r="E167" s="174" t="n">
        <f aca="false">B96</f>
        <v>722.990379065259</v>
      </c>
      <c r="F167" s="23"/>
      <c r="G167" s="23" t="n">
        <f aca="false">ROUND(G95, 2)</f>
        <v>584.37</v>
      </c>
      <c r="H167" s="33"/>
      <c r="J167" s="173" t="e">
        <f aca="false">K95</f>
        <v>#VALUE!</v>
      </c>
      <c r="K167" s="174" t="n">
        <f aca="false">K94</f>
        <v>19.89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16.6909090909091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20.0290909090909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19500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19500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19500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27000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24500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2753.99416971785</v>
      </c>
      <c r="B182" s="99" t="str">
        <f aca="false">B114</f>
        <v>199.99</v>
      </c>
      <c r="C182" s="99"/>
      <c r="D182" s="23"/>
      <c r="E182" s="99" t="n">
        <f aca="false">E179+A182+(B182*1.2)+A185</f>
        <v>27503.9821697178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E170+A185</f>
        <v>19510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19520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19510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19510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8.1052</v>
      </c>
      <c r="B188" s="99" t="n">
        <f aca="false">(G158*B67)/1.2</f>
        <v>102.083333333333</v>
      </c>
      <c r="C188" s="130"/>
      <c r="D188" s="130"/>
      <c r="E188" s="99" t="n">
        <f aca="false">(E40*A108)*0.1*(C45/100)</f>
        <v>4.59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4.59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3.06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206.663333333333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722.990379065259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3" t="n">
        <f aca="false">E179+A201+(B182*1.2)+A185</f>
        <v>26178.058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704.908560883441</v>
      </c>
      <c r="B212" s="174" t="n">
        <f aca="false">B167</f>
        <v>18.0818181818182</v>
      </c>
      <c r="C212" s="171"/>
      <c r="D212" s="171"/>
      <c r="E212" s="174" t="n">
        <f aca="false">E167</f>
        <v>722.990379065259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24500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2753.99416971785</v>
      </c>
      <c r="B224" s="99" t="str">
        <f aca="false">B182</f>
        <v>199.99</v>
      </c>
      <c r="C224" s="99"/>
      <c r="D224" s="109"/>
      <c r="E224" s="99" t="n">
        <f aca="false">E182</f>
        <v>27503.9821697178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704.908560883441</v>
      </c>
      <c r="B230" s="99" t="n">
        <f aca="false">B167</f>
        <v>18.0818181818182</v>
      </c>
      <c r="C230" s="183"/>
      <c r="D230" s="183"/>
      <c r="E230" s="99" t="n">
        <f aca="false">E167</f>
        <v>722.990379065259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19500</v>
      </c>
      <c r="B233" s="99" t="n">
        <f aca="false">E185</f>
        <v>19510</v>
      </c>
      <c r="C233" s="130"/>
      <c r="D233" s="130"/>
      <c r="E233" s="99" t="n">
        <f aca="false">A188</f>
        <v>8.1052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102.083333333333</v>
      </c>
      <c r="C240" s="130"/>
      <c r="D240" s="130"/>
      <c r="E240" s="99" t="n">
        <f aca="false">E188</f>
        <v>4.59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2206.66333333333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1335.92416971785</v>
      </c>
      <c r="C254" s="194"/>
      <c r="D254" s="195" t="s">
        <v>213</v>
      </c>
      <c r="E254" s="195"/>
      <c r="F254" s="196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145.89</v>
      </c>
      <c r="C255" s="194"/>
      <c r="D255" s="195" t="s">
        <v>215</v>
      </c>
      <c r="E255" s="195"/>
      <c r="F255" s="196" t="n">
        <f aca="false">(B254-F254)+B255</f>
        <v>1359.31416971785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B254</f>
        <v>1335.92416971785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1359.31416971785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35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9" t="n">
        <f aca="false">H48</f>
        <v>644.568528797354</v>
      </c>
      <c r="E33" s="212"/>
      <c r="F33" s="63"/>
      <c r="G33" s="215" t="s">
        <v>352</v>
      </c>
      <c r="H33" s="460" t="n">
        <f aca="false">E21-E11</f>
        <v>20500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644.568528797354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20500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0</v>
      </c>
      <c r="I40" s="234" t="n">
        <f aca="false">H39-I39</f>
        <v>-24025.9095313712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1"/>
      <c r="C45" s="463" t="n">
        <v>100</v>
      </c>
      <c r="D45" s="463"/>
      <c r="E45" s="212"/>
      <c r="F45" s="63"/>
      <c r="G45" s="63" t="s">
        <v>373</v>
      </c>
      <c r="H45" s="234" t="n">
        <f aca="false">(H39-H44)</f>
        <v>20500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644.568528797354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644.568528797354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644.568528797354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375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2547.125</v>
      </c>
      <c r="C64" s="465" t="n">
        <v>10000</v>
      </c>
      <c r="D64" s="290" t="n">
        <f aca="false">B64</f>
        <v>2547.125</v>
      </c>
      <c r="E64" s="466" t="n">
        <f aca="false">D64/(B58+B57)</f>
        <v>72.775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0.0195833333333333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793.634166666667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175</v>
      </c>
      <c r="C73" s="211"/>
      <c r="D73" s="472" t="n">
        <f aca="false">B73+B71</f>
        <v>375</v>
      </c>
      <c r="E73" s="212" t="s">
        <v>224</v>
      </c>
      <c r="F73" s="63"/>
      <c r="G73" s="284" t="s">
        <v>99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99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3"/>
      <c r="D77" s="290" t="n">
        <f aca="false">B77</f>
        <v>444.444444444444</v>
      </c>
      <c r="E77" s="466" t="n">
        <f aca="false">D77/(B58+B57)</f>
        <v>12.6984126984127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3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22.1428571428571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3988.79166666667</v>
      </c>
      <c r="C81" s="473"/>
      <c r="D81" s="474"/>
      <c r="E81" s="466"/>
      <c r="F81" s="63"/>
      <c r="G81" s="302" t="s">
        <v>102</v>
      </c>
      <c r="H81" s="303" t="n">
        <f aca="false">SUM(J64:J80)</f>
        <v>1047.5</v>
      </c>
      <c r="I81" s="211"/>
      <c r="J81" s="211"/>
      <c r="K81" s="212"/>
      <c r="L81" s="63"/>
      <c r="M81" s="302" t="s">
        <v>102</v>
      </c>
      <c r="N81" s="30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113.965476190476</v>
      </c>
      <c r="C82" s="473"/>
      <c r="D82" s="211"/>
      <c r="E82" s="466"/>
      <c r="F82" s="63"/>
      <c r="G82" s="210" t="s">
        <v>103</v>
      </c>
      <c r="H82" s="299" t="n">
        <f aca="false">H81/H29</f>
        <v>29.9285714285714</v>
      </c>
      <c r="I82" s="211"/>
      <c r="J82" s="211"/>
      <c r="K82" s="212"/>
      <c r="L82" s="63"/>
      <c r="M82" s="210" t="s">
        <v>103</v>
      </c>
      <c r="N82" s="29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644.568528797354</v>
      </c>
      <c r="C83" s="473"/>
      <c r="D83" s="211"/>
      <c r="E83" s="466" t="n">
        <f aca="false">B83+E80+E77+E64</f>
        <v>752.184798638624</v>
      </c>
      <c r="F83" s="63"/>
      <c r="G83" s="304" t="s">
        <v>104</v>
      </c>
      <c r="H83" s="305" t="n">
        <f aca="false">H47</f>
        <v>644.568528797354</v>
      </c>
      <c r="I83" s="211"/>
      <c r="J83" s="211"/>
      <c r="K83" s="212"/>
      <c r="L83" s="63"/>
      <c r="M83" s="304" t="s">
        <v>104</v>
      </c>
      <c r="N83" s="305" t="n">
        <f aca="false">H47</f>
        <v>644.568528797354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26548.6901745741</v>
      </c>
      <c r="C85" s="473"/>
      <c r="D85" s="473"/>
      <c r="E85" s="466" t="n">
        <f aca="false">B85/(B58+B57)</f>
        <v>758.53400498783</v>
      </c>
      <c r="F85" s="63"/>
      <c r="G85" s="287" t="s">
        <v>114</v>
      </c>
      <c r="H85" s="127" t="n">
        <f aca="false">((H83*H29)+H81)*1.2</f>
        <v>28328.8782094889</v>
      </c>
      <c r="I85" s="211"/>
      <c r="J85" s="211"/>
      <c r="K85" s="212"/>
      <c r="L85" s="63"/>
      <c r="M85" s="287" t="s">
        <v>114</v>
      </c>
      <c r="N85" s="127" t="n">
        <f aca="false">((N83*H29)+N81)</f>
        <v>23277.3985079074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224.89814185803</v>
      </c>
      <c r="C86" s="473" t="s">
        <v>227</v>
      </c>
      <c r="D86" s="211"/>
      <c r="E86" s="466" t="n">
        <f aca="false">B86/(B58+B57)</f>
        <v>6.4256611959437</v>
      </c>
      <c r="F86" s="63"/>
      <c r="G86" s="210" t="s">
        <v>115</v>
      </c>
      <c r="H86" s="299" t="n">
        <f aca="false">((((H83*H29)+H81))/(1-H70))*H70</f>
        <v>199.981996234794</v>
      </c>
      <c r="I86" s="211"/>
      <c r="J86" s="211"/>
      <c r="K86" s="212"/>
      <c r="L86" s="63"/>
      <c r="M86" s="210" t="s">
        <v>115</v>
      </c>
      <c r="N86" s="299" t="n">
        <f aca="false">(N85/(1-N70))*N70</f>
        <v>197.186514185581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26773.5883164321</v>
      </c>
      <c r="C87" s="473"/>
      <c r="D87" s="475"/>
      <c r="E87" s="466" t="n">
        <f aca="false">E86+E85</f>
        <v>764.959666183774</v>
      </c>
      <c r="F87" s="63"/>
      <c r="G87" s="284" t="s">
        <v>116</v>
      </c>
      <c r="H87" s="129" t="n">
        <f aca="false">IF(H110="YES",((H85+H86)-K114),(H85+H86))</f>
        <v>28528.8602057237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23474.585022093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0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764.959666183774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713.221505143092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586.864625552324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764.959666183774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713.221505143092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586.864625552324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376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377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713.221505143092</v>
      </c>
      <c r="H127" s="174" t="n">
        <f aca="false">IF(G105="YES", H89*H57, 0)</f>
        <v>0</v>
      </c>
      <c r="I127" s="174"/>
      <c r="J127" s="333" t="n">
        <f aca="false">H91</f>
        <v>713.221505143092</v>
      </c>
      <c r="K127" s="212"/>
      <c r="L127" s="63"/>
      <c r="M127" s="332" t="n">
        <f aca="false">N90</f>
        <v>586.864625552324</v>
      </c>
      <c r="N127" s="174" t="n">
        <f aca="false">IF(M105="YES", N89*N57, 0)</f>
        <v>0</v>
      </c>
      <c r="O127" s="174"/>
      <c r="P127" s="174" t="n">
        <f aca="false">N91</f>
        <v>586.864625552324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764.959666183774</v>
      </c>
      <c r="B128" s="320" t="n">
        <f aca="false">IF(A105="YES", B89, 0)</f>
        <v>0</v>
      </c>
      <c r="C128" s="324"/>
      <c r="D128" s="320" t="n">
        <f aca="false">B91</f>
        <v>764.959666183774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764.959666183774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4279.32903085855</v>
      </c>
      <c r="H133" s="99" t="n">
        <f aca="false">IF(G105="YES", H89*H57, 0)</f>
        <v>0</v>
      </c>
      <c r="I133" s="217"/>
      <c r="J133" s="181" t="n">
        <f aca="false">H91*H57</f>
        <v>4279.32903085855</v>
      </c>
      <c r="K133" s="212"/>
      <c r="L133" s="63"/>
      <c r="M133" s="182" t="n">
        <f aca="false">N90*N57</f>
        <v>3521.18775331395</v>
      </c>
      <c r="N133" s="99" t="n">
        <f aca="false">IF(M105="YES", N89*N57, 0)</f>
        <v>0</v>
      </c>
      <c r="O133" s="217"/>
      <c r="P133" s="181" t="n">
        <f aca="false">N91*N57</f>
        <v>3521.18775331395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764.959666183774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764.959666183774</v>
      </c>
      <c r="B137" s="38" t="n">
        <f aca="false">IF(A105="YES", B89, 0)</f>
        <v>0</v>
      </c>
      <c r="C137" s="316"/>
      <c r="D137" s="38" t="n">
        <f aca="false">B91</f>
        <v>764.959666183774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793.634166666667</v>
      </c>
      <c r="B148" s="99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1293.62416666667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713.221505143092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586.864625552324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764.959666183774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764.959666183774</v>
      </c>
      <c r="B177" s="354" t="n">
        <f aca="false">IF(A105="YES", B89, 0)</f>
        <v>0</v>
      </c>
      <c r="C177" s="356"/>
      <c r="D177" s="354" t="n">
        <f aca="false">B91</f>
        <v>764.959666183774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764.959666183774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764.959666183774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764.959666183774</v>
      </c>
      <c r="B186" s="99" t="n">
        <f aca="false">IF(A105="YES", B89, 0)</f>
        <v>0</v>
      </c>
      <c r="C186" s="352"/>
      <c r="D186" s="99" t="n">
        <f aca="false">B91</f>
        <v>764.959666183774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793.634166666667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1293.62416666667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2547.125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793.634166666667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2093.48083333333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2547.125</v>
      </c>
      <c r="C217" s="374" t="s">
        <v>218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793.634166666667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2093.48083333333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224.89814185803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35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9" t="n">
        <f aca="false">H48</f>
        <v>644.568528797354</v>
      </c>
      <c r="E33" s="212"/>
      <c r="F33" s="63"/>
      <c r="G33" s="215" t="s">
        <v>352</v>
      </c>
      <c r="H33" s="460" t="n">
        <f aca="false">E21-E11</f>
        <v>20500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644.568528797354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20500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0</v>
      </c>
      <c r="I40" s="234" t="n">
        <f aca="false">H39-I39</f>
        <v>-24025.9095313712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1"/>
      <c r="C45" s="463" t="n">
        <v>100</v>
      </c>
      <c r="D45" s="463"/>
      <c r="E45" s="212"/>
      <c r="F45" s="63"/>
      <c r="G45" s="63" t="s">
        <v>373</v>
      </c>
      <c r="H45" s="234" t="n">
        <f aca="false">(H39-H44)</f>
        <v>20500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644.568528797354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644.568528797354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644.568528797354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375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2547.125</v>
      </c>
      <c r="C64" s="465" t="n">
        <v>10000</v>
      </c>
      <c r="D64" s="290" t="n">
        <f aca="false">B64</f>
        <v>2547.125</v>
      </c>
      <c r="E64" s="466" t="n">
        <f aca="false">D64/(B58+B57)</f>
        <v>72.775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0.0195833333333333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793.634166666667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175</v>
      </c>
      <c r="C73" s="211"/>
      <c r="D73" s="472" t="n">
        <f aca="false">B73+B71</f>
        <v>375</v>
      </c>
      <c r="E73" s="212" t="s">
        <v>224</v>
      </c>
      <c r="F73" s="63"/>
      <c r="G73" s="284" t="s">
        <v>99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99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275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825</v>
      </c>
      <c r="C76" s="211"/>
      <c r="D76" s="290" t="n">
        <f aca="false">B76</f>
        <v>825</v>
      </c>
      <c r="E76" s="212"/>
      <c r="F76" s="63"/>
      <c r="G76" s="284" t="s">
        <v>279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3"/>
      <c r="D77" s="290" t="n">
        <f aca="false">B77</f>
        <v>444.444444444444</v>
      </c>
      <c r="E77" s="466" t="n">
        <f aca="false">D77/(B58+B57)</f>
        <v>12.6984126984127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3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45.7142857142857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4813.79166666667</v>
      </c>
      <c r="C81" s="473"/>
      <c r="D81" s="474"/>
      <c r="E81" s="466"/>
      <c r="F81" s="63"/>
      <c r="G81" s="302" t="s">
        <v>102</v>
      </c>
      <c r="H81" s="303" t="n">
        <f aca="false">SUM(J64:J80)</f>
        <v>1047.5</v>
      </c>
      <c r="I81" s="211"/>
      <c r="J81" s="211"/>
      <c r="K81" s="212"/>
      <c r="L81" s="63"/>
      <c r="M81" s="302" t="s">
        <v>102</v>
      </c>
      <c r="N81" s="30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137.536904761905</v>
      </c>
      <c r="C82" s="473"/>
      <c r="D82" s="211"/>
      <c r="E82" s="466"/>
      <c r="F82" s="63"/>
      <c r="G82" s="210" t="s">
        <v>103</v>
      </c>
      <c r="H82" s="299" t="n">
        <f aca="false">H81/H29</f>
        <v>29.9285714285714</v>
      </c>
      <c r="I82" s="211"/>
      <c r="J82" s="211"/>
      <c r="K82" s="212"/>
      <c r="L82" s="63"/>
      <c r="M82" s="210" t="s">
        <v>103</v>
      </c>
      <c r="N82" s="29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644.568528797354</v>
      </c>
      <c r="C83" s="473"/>
      <c r="D83" s="211"/>
      <c r="E83" s="466" t="n">
        <f aca="false">B83+E80+E77+E64</f>
        <v>775.756227210052</v>
      </c>
      <c r="F83" s="63"/>
      <c r="G83" s="304" t="s">
        <v>104</v>
      </c>
      <c r="H83" s="305" t="n">
        <f aca="false">H47</f>
        <v>644.568528797354</v>
      </c>
      <c r="I83" s="211"/>
      <c r="J83" s="211"/>
      <c r="K83" s="212"/>
      <c r="L83" s="63"/>
      <c r="M83" s="304" t="s">
        <v>104</v>
      </c>
      <c r="N83" s="305" t="n">
        <f aca="false">H47</f>
        <v>644.568528797354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32848.4282094889</v>
      </c>
      <c r="C85" s="473"/>
      <c r="D85" s="473"/>
      <c r="E85" s="466" t="n">
        <f aca="false">B85/(B58+B57)</f>
        <v>938.52652027111</v>
      </c>
      <c r="F85" s="63"/>
      <c r="G85" s="287" t="s">
        <v>114</v>
      </c>
      <c r="H85" s="127" t="n">
        <f aca="false">((H83*H29)+H81)*1.2</f>
        <v>28328.8782094889</v>
      </c>
      <c r="I85" s="211"/>
      <c r="J85" s="211"/>
      <c r="K85" s="212"/>
      <c r="L85" s="63"/>
      <c r="M85" s="287" t="s">
        <v>114</v>
      </c>
      <c r="N85" s="127" t="n">
        <f aca="false">((N83*H29)+N81)</f>
        <v>23277.3985079074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231.886846981063</v>
      </c>
      <c r="C86" s="473" t="s">
        <v>227</v>
      </c>
      <c r="D86" s="211"/>
      <c r="E86" s="466" t="n">
        <f aca="false">B86/(B58+B57)</f>
        <v>6.62533848517323</v>
      </c>
      <c r="F86" s="63"/>
      <c r="G86" s="210" t="s">
        <v>115</v>
      </c>
      <c r="H86" s="299" t="n">
        <f aca="false">((((H83*H29)+H81))/(1-H70))*H70</f>
        <v>199.981996234794</v>
      </c>
      <c r="I86" s="211"/>
      <c r="J86" s="211"/>
      <c r="K86" s="212"/>
      <c r="L86" s="63"/>
      <c r="M86" s="210" t="s">
        <v>115</v>
      </c>
      <c r="N86" s="299" t="n">
        <f aca="false">(N85/(1-N70))*N70</f>
        <v>197.186514185581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33080.3150564699</v>
      </c>
      <c r="C87" s="473"/>
      <c r="D87" s="475"/>
      <c r="E87" s="466" t="n">
        <f aca="false">E86+E85</f>
        <v>945.151858756284</v>
      </c>
      <c r="F87" s="63"/>
      <c r="G87" s="284" t="s">
        <v>116</v>
      </c>
      <c r="H87" s="129" t="n">
        <f aca="false">IF(H110="YES",((H85+H86)-K114),(H85+H86))</f>
        <v>28528.8602057237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23474.585022093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(I32+(I32*B105))/(B57+B58))*(C45/100)*1.2</f>
        <v>0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945.151858756284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713.221505143092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586.864625552324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945.151858756284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713.221505143092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586.864625552324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376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377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(E118)+E117-E114</f>
        <v>-2760.01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713.221505143092</v>
      </c>
      <c r="H127" s="174" t="n">
        <f aca="false">IF(G105="YES", H89*H57, 0)</f>
        <v>0</v>
      </c>
      <c r="I127" s="174"/>
      <c r="J127" s="333" t="n">
        <f aca="false">H91</f>
        <v>713.221505143092</v>
      </c>
      <c r="K127" s="212"/>
      <c r="L127" s="63"/>
      <c r="M127" s="332" t="n">
        <f aca="false">N90</f>
        <v>586.864625552324</v>
      </c>
      <c r="N127" s="174" t="n">
        <f aca="false">IF(M105="YES", N89*N57, 0)</f>
        <v>0</v>
      </c>
      <c r="O127" s="174"/>
      <c r="P127" s="174" t="n">
        <f aca="false">N91</f>
        <v>586.864625552324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945.151858756284</v>
      </c>
      <c r="B128" s="320" t="n">
        <f aca="false">IF(A105="YES", B89, 0)</f>
        <v>0</v>
      </c>
      <c r="C128" s="324"/>
      <c r="D128" s="320" t="n">
        <f aca="false">B91</f>
        <v>945.151858756284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945.151858756284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4279.32903085855</v>
      </c>
      <c r="H133" s="99" t="n">
        <f aca="false">IF(G105="YES", H89*H57, 0)</f>
        <v>0</v>
      </c>
      <c r="I133" s="217"/>
      <c r="J133" s="181" t="n">
        <f aca="false">H91*H57</f>
        <v>4279.32903085855</v>
      </c>
      <c r="K133" s="212"/>
      <c r="L133" s="63"/>
      <c r="M133" s="182" t="n">
        <f aca="false">N90*N57</f>
        <v>3521.18775331395</v>
      </c>
      <c r="N133" s="99" t="n">
        <f aca="false">IF(M105="YES", N89*N57, 0)</f>
        <v>0</v>
      </c>
      <c r="O133" s="217"/>
      <c r="P133" s="181" t="n">
        <f aca="false">N91*N57</f>
        <v>3521.18775331395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945.151858756284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945.151858756284</v>
      </c>
      <c r="B137" s="38" t="n">
        <f aca="false">IF(A105="YES", B89, 0)</f>
        <v>0</v>
      </c>
      <c r="C137" s="316"/>
      <c r="D137" s="38" t="n">
        <f aca="false">B91</f>
        <v>945.151858756284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793.634166666667</v>
      </c>
      <c r="B148" s="99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1293.62583333333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713.221505143092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586.864625552324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945.151858756284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945.151858756284</v>
      </c>
      <c r="B177" s="354" t="n">
        <f aca="false">IF(A105="YES", B89, 0)</f>
        <v>0</v>
      </c>
      <c r="C177" s="356"/>
      <c r="D177" s="354" t="n">
        <f aca="false">B91</f>
        <v>945.151858756284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945.151858756284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945.151858756284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945.151858756284</v>
      </c>
      <c r="B186" s="99" t="n">
        <f aca="false">IF(A105="YES", B89, 0)</f>
        <v>0</v>
      </c>
      <c r="C186" s="352"/>
      <c r="D186" s="99" t="n">
        <f aca="false">B91</f>
        <v>945.151858756284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793.634166666667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E118/1.2-100</f>
        <v>99.9916666666667</v>
      </c>
      <c r="B200" s="99" t="n">
        <f aca="false">(A148+B148+D148+A151)*(A143/B64)</f>
        <v>0</v>
      </c>
      <c r="C200" s="99"/>
      <c r="D200" s="99" t="n">
        <f aca="false">(A148+B148+D148+A151)-B151</f>
        <v>1293.62583333333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2547.125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793.634166666667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2093.4825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2547.125</v>
      </c>
      <c r="C217" s="374" t="s">
        <v>218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793.634166666667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2093.4825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231.886846981063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35</v>
      </c>
      <c r="I29" s="386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35000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9" t="n">
        <f aca="false">H48</f>
        <v>644.568528797354</v>
      </c>
      <c r="E33" s="212"/>
      <c r="F33" s="63"/>
      <c r="G33" s="215" t="s">
        <v>352</v>
      </c>
      <c r="H33" s="460" t="n">
        <f aca="false">E21-E11</f>
        <v>20500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644.568528797354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20500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0</v>
      </c>
      <c r="I40" s="234" t="n">
        <f aca="false">H39-I39</f>
        <v>-24025.9095313712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1"/>
      <c r="C45" s="463" t="n">
        <v>100</v>
      </c>
      <c r="D45" s="463"/>
      <c r="E45" s="212"/>
      <c r="F45" s="63"/>
      <c r="G45" s="63" t="s">
        <v>373</v>
      </c>
      <c r="H45" s="234" t="n">
        <f aca="false">(H39-H44)</f>
        <v>20500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644.568528797354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644.568528797354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644.568528797354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375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2547.125</v>
      </c>
      <c r="C64" s="465" t="n">
        <v>10000</v>
      </c>
      <c r="D64" s="290" t="n">
        <f aca="false">B64</f>
        <v>2547.125</v>
      </c>
      <c r="E64" s="466" t="n">
        <f aca="false">D64/(B58+B57)</f>
        <v>72.775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0.0195833333333333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793.634166666667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175</v>
      </c>
      <c r="C73" s="211"/>
      <c r="D73" s="472" t="n">
        <f aca="false">B73+B71</f>
        <v>375</v>
      </c>
      <c r="E73" s="212" t="s">
        <v>224</v>
      </c>
      <c r="F73" s="63"/>
      <c r="G73" s="284" t="s">
        <v>99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99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275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825</v>
      </c>
      <c r="C76" s="211"/>
      <c r="D76" s="290" t="n">
        <f aca="false">B76</f>
        <v>825</v>
      </c>
      <c r="E76" s="212"/>
      <c r="F76" s="63"/>
      <c r="G76" s="284" t="s">
        <v>279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3"/>
      <c r="D77" s="290" t="n">
        <f aca="false">B77</f>
        <v>444.444444444444</v>
      </c>
      <c r="E77" s="466" t="n">
        <f aca="false">D77/(B58+B57)</f>
        <v>12.6984126984127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3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45.7142857142857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4813.79166666667</v>
      </c>
      <c r="C81" s="473"/>
      <c r="D81" s="474"/>
      <c r="E81" s="466"/>
      <c r="F81" s="63"/>
      <c r="G81" s="302" t="s">
        <v>102</v>
      </c>
      <c r="H81" s="303" t="n">
        <f aca="false">SUM(J64:J80)</f>
        <v>1047.5</v>
      </c>
      <c r="I81" s="211"/>
      <c r="J81" s="211"/>
      <c r="K81" s="212"/>
      <c r="L81" s="63"/>
      <c r="M81" s="302" t="s">
        <v>102</v>
      </c>
      <c r="N81" s="30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137.536904761905</v>
      </c>
      <c r="C82" s="473"/>
      <c r="D82" s="211"/>
      <c r="E82" s="466"/>
      <c r="F82" s="63"/>
      <c r="G82" s="210" t="s">
        <v>103</v>
      </c>
      <c r="H82" s="299" t="n">
        <f aca="false">H81/H29</f>
        <v>29.9285714285714</v>
      </c>
      <c r="I82" s="211"/>
      <c r="J82" s="211"/>
      <c r="K82" s="212"/>
      <c r="L82" s="63"/>
      <c r="M82" s="210" t="s">
        <v>103</v>
      </c>
      <c r="N82" s="29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644.568528797354</v>
      </c>
      <c r="C83" s="473"/>
      <c r="D83" s="211"/>
      <c r="E83" s="466" t="n">
        <f aca="false">B83+E80+E77+E64</f>
        <v>775.756227210052</v>
      </c>
      <c r="F83" s="63"/>
      <c r="G83" s="304" t="s">
        <v>104</v>
      </c>
      <c r="H83" s="305" t="n">
        <f aca="false">H47</f>
        <v>644.568528797354</v>
      </c>
      <c r="I83" s="211"/>
      <c r="J83" s="211"/>
      <c r="K83" s="212"/>
      <c r="L83" s="63"/>
      <c r="M83" s="304" t="s">
        <v>104</v>
      </c>
      <c r="N83" s="305" t="n">
        <f aca="false">H47</f>
        <v>644.568528797354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27373.6901745741</v>
      </c>
      <c r="C85" s="473"/>
      <c r="D85" s="473"/>
      <c r="E85" s="466" t="n">
        <f aca="false">B85/(B58+B57)</f>
        <v>782.105433559259</v>
      </c>
      <c r="F85" s="63"/>
      <c r="G85" s="287" t="s">
        <v>114</v>
      </c>
      <c r="H85" s="127" t="n">
        <f aca="false">((H83*H29)+H81)*1.2</f>
        <v>28328.8782094889</v>
      </c>
      <c r="I85" s="211"/>
      <c r="J85" s="211"/>
      <c r="K85" s="212"/>
      <c r="L85" s="63"/>
      <c r="M85" s="287" t="s">
        <v>114</v>
      </c>
      <c r="N85" s="127" t="n">
        <f aca="false">((N83*H29)+N81)</f>
        <v>23277.3985079074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231.886846981063</v>
      </c>
      <c r="C86" s="473" t="s">
        <v>227</v>
      </c>
      <c r="D86" s="211"/>
      <c r="E86" s="466" t="n">
        <f aca="false">B86/(B58+B57)</f>
        <v>6.62533848517323</v>
      </c>
      <c r="F86" s="63"/>
      <c r="G86" s="210" t="s">
        <v>115</v>
      </c>
      <c r="H86" s="299" t="n">
        <f aca="false">((((H83*H29)+H81))/(1-H70))*H70</f>
        <v>199.981996234794</v>
      </c>
      <c r="I86" s="211"/>
      <c r="J86" s="211"/>
      <c r="K86" s="212"/>
      <c r="L86" s="63"/>
      <c r="M86" s="210" t="s">
        <v>115</v>
      </c>
      <c r="N86" s="299" t="n">
        <f aca="false">(N85/(1-N70))*N70</f>
        <v>197.186514185581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27605.5770215551</v>
      </c>
      <c r="C87" s="473"/>
      <c r="D87" s="475"/>
      <c r="E87" s="466" t="n">
        <f aca="false">E86+E85</f>
        <v>788.730772044432</v>
      </c>
      <c r="F87" s="63"/>
      <c r="G87" s="284" t="s">
        <v>116</v>
      </c>
      <c r="H87" s="129" t="n">
        <f aca="false">IF(H110="YES",((H85+H86)-K114),(H85+H86))</f>
        <v>28528.8602057237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23474.585022093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0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788.730772044432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713.221505143092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586.864625552324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788.730772044432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713.221505143092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586.864625552324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376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377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713.221505143092</v>
      </c>
      <c r="H127" s="174" t="n">
        <f aca="false">IF(G105="YES", H89*H57, 0)</f>
        <v>0</v>
      </c>
      <c r="I127" s="174"/>
      <c r="J127" s="333" t="n">
        <f aca="false">H91</f>
        <v>713.221505143092</v>
      </c>
      <c r="K127" s="212"/>
      <c r="L127" s="63"/>
      <c r="M127" s="332" t="n">
        <f aca="false">N90</f>
        <v>586.864625552324</v>
      </c>
      <c r="N127" s="174" t="n">
        <f aca="false">IF(M105="YES", N89*N57, 0)</f>
        <v>0</v>
      </c>
      <c r="O127" s="174"/>
      <c r="P127" s="174" t="n">
        <f aca="false">N91</f>
        <v>586.864625552324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788.730772044432</v>
      </c>
      <c r="B128" s="320" t="n">
        <f aca="false">IF(A105="YES", B89, 0)</f>
        <v>0</v>
      </c>
      <c r="C128" s="324"/>
      <c r="D128" s="320" t="n">
        <f aca="false">B91</f>
        <v>788.730772044432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788.730772044432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4279.32903085855</v>
      </c>
      <c r="H133" s="99" t="n">
        <f aca="false">IF(G105="YES", H89*H57, 0)</f>
        <v>0</v>
      </c>
      <c r="I133" s="217"/>
      <c r="J133" s="181" t="n">
        <f aca="false">H91*H57</f>
        <v>4279.32903085855</v>
      </c>
      <c r="K133" s="212"/>
      <c r="L133" s="63"/>
      <c r="M133" s="182" t="n">
        <f aca="false">N90*N57</f>
        <v>3521.18775331395</v>
      </c>
      <c r="N133" s="99" t="n">
        <f aca="false">IF(M105="YES", N89*N57, 0)</f>
        <v>0</v>
      </c>
      <c r="O133" s="217"/>
      <c r="P133" s="181" t="n">
        <f aca="false">N91*N57</f>
        <v>3521.18775331395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788.730772044432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788.730772044432</v>
      </c>
      <c r="B137" s="38" t="n">
        <f aca="false">IF(A105="YES", B89, 0)</f>
        <v>0</v>
      </c>
      <c r="C137" s="316"/>
      <c r="D137" s="38" t="n">
        <f aca="false">B91</f>
        <v>788.730772044432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793.634166666667</v>
      </c>
      <c r="B148" s="99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1293.62416666667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713.221505143092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586.864625552324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788.730772044432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788.730772044432</v>
      </c>
      <c r="B177" s="354" t="n">
        <f aca="false">IF(A105="YES", B89, 0)</f>
        <v>0</v>
      </c>
      <c r="C177" s="356"/>
      <c r="D177" s="354" t="n">
        <f aca="false">B91</f>
        <v>788.730772044432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788.730772044432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788.730772044432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788.730772044432</v>
      </c>
      <c r="B186" s="99" t="n">
        <f aca="false">IF(A105="YES", B89, 0)</f>
        <v>0</v>
      </c>
      <c r="C186" s="352"/>
      <c r="D186" s="99" t="n">
        <f aca="false">B91</f>
        <v>788.730772044432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793.634166666667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1293.62416666667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2547.125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793.634166666667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2093.48083333333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2547.125</v>
      </c>
      <c r="C217" s="374" t="s">
        <v>218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793.634166666667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2093.48083333333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231.886846981063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93" colorId="64" zoomScale="85" zoomScaleNormal="85" zoomScalePageLayoutView="100" workbookViewId="0">
      <selection pane="topLeft" activeCell="E198" activeCellId="0" sqref="E19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22458.33</v>
      </c>
      <c r="B37" s="32"/>
      <c r="C37" s="41" t="s">
        <v>45</v>
      </c>
      <c r="D37" s="41"/>
      <c r="E37" s="32"/>
      <c r="F37" s="43" t="n">
        <f aca="false">A37-C37</f>
        <v>21458.33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290.972166666667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209.027833333333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211.6945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211.6945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247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211.6945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17182.3272688712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146.25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211.6945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211.6945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211.6945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21458.33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16162.545166767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1563.12066080648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17194.3272688712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17194.3272688712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1563.12066080648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1563.12066080648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0.1255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233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26949.996</v>
      </c>
      <c r="C130" s="117" t="n">
        <v>24375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26949.996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26949.996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26949.996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26949.996</v>
      </c>
      <c r="C134" s="129" t="n">
        <f aca="false">C130-C133</f>
        <v>24375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22458.33</v>
      </c>
      <c r="H144" s="150" t="n">
        <f aca="false">C134+E134+G134+H137</f>
        <v>24375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4491.666</v>
      </c>
      <c r="H146" s="33" t="n">
        <f aca="false">(H144+H145)*20%</f>
        <v>4875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26949.996</v>
      </c>
      <c r="H150" s="154" t="n">
        <f aca="false">(H144+H145+H148+H149+H146)-H147</f>
        <v>29250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26949.996</v>
      </c>
      <c r="H156" s="161" t="n">
        <f aca="false">H150-((H153*1.2)+(H154*1.2)+(H155*1.2)+(H151*1.2))</f>
        <v>29250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1916.67</v>
      </c>
      <c r="I157" s="1" t="n">
        <f aca="false">(H157-G90)/1.2</f>
        <v>1597.225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29250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1563.12066080648</v>
      </c>
      <c r="B176" s="174" t="n">
        <f aca="false">B103</f>
        <v>0</v>
      </c>
      <c r="C176" s="171"/>
      <c r="D176" s="171"/>
      <c r="E176" s="174" t="n">
        <f aca="false">B105</f>
        <v>1563.12066080648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24375</v>
      </c>
      <c r="B182" s="99" t="n">
        <f aca="false">H146</f>
        <v>4875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29250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29250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-6055.67273112877</v>
      </c>
      <c r="B191" s="99" t="str">
        <f aca="false">B123</f>
        <v>199.99</v>
      </c>
      <c r="C191" s="99"/>
      <c r="D191" s="23"/>
      <c r="E191" s="99" t="n">
        <f aca="false">E188+A191+B191+A194</f>
        <v>23404.3172688712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199.99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8.97696</v>
      </c>
      <c r="B197" s="99" t="n">
        <f aca="false">(G167*B76)/1.2</f>
        <v>121.875</v>
      </c>
      <c r="C197" s="130"/>
      <c r="D197" s="130"/>
      <c r="E197" s="99" t="n">
        <f aca="false">K55*A117*0.1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66.6583333333334</v>
      </c>
      <c r="B200" s="99" t="n">
        <f aca="false">B197+E197+A200</f>
        <v>188.533333333333</v>
      </c>
      <c r="C200" s="130"/>
      <c r="D200" s="130"/>
      <c r="E200" s="99" t="n">
        <f aca="false">H157</f>
        <v>1916.67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1563.12066080648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1563.12066080648</v>
      </c>
      <c r="B221" s="174" t="n">
        <f aca="false">B176</f>
        <v>0</v>
      </c>
      <c r="C221" s="171"/>
      <c r="D221" s="171"/>
      <c r="E221" s="174" t="n">
        <f aca="false">E176</f>
        <v>1563.12066080648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24375</v>
      </c>
      <c r="B224" s="99" t="n">
        <f aca="false">B182</f>
        <v>4875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29250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29250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-6055.67273112877</v>
      </c>
      <c r="B233" s="99" t="str">
        <f aca="false">B191</f>
        <v>199.99</v>
      </c>
      <c r="C233" s="99"/>
      <c r="D233" s="109"/>
      <c r="E233" s="99" t="n">
        <f aca="false">E191</f>
        <v>23404.3172688712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199.99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1563.12066080648</v>
      </c>
      <c r="B239" s="99" t="n">
        <f aca="false">B176</f>
        <v>0</v>
      </c>
      <c r="C239" s="183"/>
      <c r="D239" s="183"/>
      <c r="E239" s="99" t="n">
        <f aca="false">E176</f>
        <v>1563.12066080648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26.93088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8.97696</v>
      </c>
      <c r="B245" s="99" t="n">
        <f aca="false">E242+A245</f>
        <v>35.90784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1916.67</v>
      </c>
      <c r="B249" s="99" t="n">
        <f aca="false">B197</f>
        <v>121.875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66.6583333333334</v>
      </c>
      <c r="B252" s="99" t="n">
        <f aca="false">B249+E249+A252+A249</f>
        <v>2105.20333333333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146.25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66.6583333333334</v>
      </c>
      <c r="C264" s="194"/>
      <c r="D264" s="195" t="s">
        <v>215</v>
      </c>
      <c r="E264" s="195"/>
      <c r="F264" s="196" t="n">
        <f aca="false">(B263-F263)+B264</f>
        <v>-79.5916666666666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0.1255</v>
      </c>
      <c r="C269" s="43"/>
      <c r="D269" s="163" t="s">
        <v>212</v>
      </c>
      <c r="E269" s="163"/>
      <c r="F269" s="143" t="n">
        <f aca="false">(B98*B68)-(C98*B68)</f>
        <v>17194.3272688712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146.25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66.6583333333334</v>
      </c>
      <c r="C272" s="32"/>
      <c r="D272" s="39" t="s">
        <v>215</v>
      </c>
      <c r="E272" s="39"/>
      <c r="F272" s="143" t="n">
        <f aca="false">(B263-F263)+B264</f>
        <v>-79.5916666666666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32" colorId="64" zoomScale="85" zoomScaleNormal="85" zoomScalePageLayoutView="100" workbookViewId="0">
      <selection pane="topLeft" activeCell="E249" activeCellId="0" sqref="E2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22458.33</v>
      </c>
      <c r="B37" s="32"/>
      <c r="C37" s="41" t="s">
        <v>45</v>
      </c>
      <c r="D37" s="41"/>
      <c r="E37" s="32"/>
      <c r="F37" s="43" t="n">
        <f aca="false">A37-C37</f>
        <v>21458.33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290.972166666667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259.027833333333</v>
      </c>
      <c r="L45" s="2"/>
    </row>
    <row r="46" customFormat="false" ht="17.35" hidden="false" customHeight="false" outlineLevel="0" collapsed="false">
      <c r="A46" s="40" t="s">
        <v>230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261.6945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211.6945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247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261.6945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17182.3272688712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146.25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261.6945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261.6945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261.6945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21458.33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16162.545166767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1563.12066080648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17194.3272688712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17194.3272688712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1563.12066080648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1634.02975171557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232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233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0.3</v>
      </c>
      <c r="B117" s="103" t="s">
        <v>132</v>
      </c>
      <c r="C117" s="103"/>
      <c r="D117" s="103"/>
      <c r="E117" s="104" t="n">
        <f aca="false">B92</f>
        <v>0.1255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233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26949.996</v>
      </c>
      <c r="C130" s="117" t="n">
        <v>24375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26949.996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26949.996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26949.996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26949.996</v>
      </c>
      <c r="C134" s="129" t="n">
        <f aca="false">C130-C133</f>
        <v>24375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22458.33</v>
      </c>
      <c r="H144" s="150" t="n">
        <f aca="false">C134+E134+G134+H137</f>
        <v>24375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4491.666</v>
      </c>
      <c r="H146" s="33" t="n">
        <f aca="false">(H144+H145)*20%</f>
        <v>4875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26949.996</v>
      </c>
      <c r="H150" s="154" t="n">
        <f aca="false">(H144+H145+H148+H149+H146)-H147</f>
        <v>29250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26949.996</v>
      </c>
      <c r="H156" s="161" t="n">
        <f aca="false">H150-((H153*1.2)+(H154*1.2)+(H155*1.2)+(H151*1.2))</f>
        <v>29250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1916.67</v>
      </c>
      <c r="I157" s="1" t="n">
        <f aca="false">(H157-G90)/1.2</f>
        <v>1597.225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29250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1563.12066080648</v>
      </c>
      <c r="B176" s="174" t="n">
        <f aca="false">B103</f>
        <v>70.9090909090909</v>
      </c>
      <c r="C176" s="171"/>
      <c r="D176" s="171"/>
      <c r="E176" s="174" t="n">
        <f aca="false">B105</f>
        <v>1634.02975171557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24375</v>
      </c>
      <c r="B182" s="99" t="n">
        <f aca="false">H146</f>
        <v>4875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29250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29250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-6055.67273112877</v>
      </c>
      <c r="B191" s="99" t="str">
        <f aca="false">B123</f>
        <v>199.99</v>
      </c>
      <c r="C191" s="99"/>
      <c r="D191" s="23"/>
      <c r="E191" s="99" t="n">
        <f aca="false">E188+A191+B191+A194</f>
        <v>23404.3172688712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7.4808</v>
      </c>
      <c r="B197" s="99" t="n">
        <f aca="false">(G167*B76)/1.2</f>
        <v>121.875</v>
      </c>
      <c r="C197" s="130"/>
      <c r="D197" s="130"/>
      <c r="E197" s="99" t="n">
        <f aca="false">K55*A117*0.1</f>
        <v>18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239.865</v>
      </c>
      <c r="C200" s="130"/>
      <c r="D200" s="130"/>
      <c r="E200" s="99" t="n">
        <f aca="false">H157</f>
        <v>1916.67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1634.02975171557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1563.12066080648</v>
      </c>
      <c r="B221" s="174" t="n">
        <f aca="false">B176</f>
        <v>70.9090909090909</v>
      </c>
      <c r="C221" s="171"/>
      <c r="D221" s="171"/>
      <c r="E221" s="174" t="n">
        <f aca="false">E176</f>
        <v>1634.02975171557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24375</v>
      </c>
      <c r="B224" s="99" t="n">
        <f aca="false">B182</f>
        <v>4875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29250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29250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-6055.67273112877</v>
      </c>
      <c r="B233" s="99" t="str">
        <f aca="false">B191</f>
        <v>199.99</v>
      </c>
      <c r="C233" s="99"/>
      <c r="D233" s="109"/>
      <c r="E233" s="99" t="n">
        <f aca="false">E191</f>
        <v>23404.3172688712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1563.12066080648</v>
      </c>
      <c r="B239" s="99" t="n">
        <f aca="false">B176</f>
        <v>70.9090909090909</v>
      </c>
      <c r="C239" s="183"/>
      <c r="D239" s="183"/>
      <c r="E239" s="99" t="n">
        <f aca="false">E176</f>
        <v>1634.02975171557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22.4424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7.4808</v>
      </c>
      <c r="B245" s="99" t="n">
        <f aca="false">E242+A245</f>
        <v>29.9232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1916.67</v>
      </c>
      <c r="B249" s="99" t="n">
        <f aca="false">B197</f>
        <v>121.875</v>
      </c>
      <c r="C249" s="130"/>
      <c r="D249" s="130"/>
      <c r="E249" s="99" t="n">
        <f aca="false">E197</f>
        <v>18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2156.535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146.25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279.99</v>
      </c>
      <c r="C264" s="194"/>
      <c r="D264" s="195" t="s">
        <v>215</v>
      </c>
      <c r="E264" s="195"/>
      <c r="F264" s="196" t="n">
        <f aca="false">(B263-F263)+B264</f>
        <v>133.74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0.1255</v>
      </c>
      <c r="C269" s="43"/>
      <c r="D269" s="163" t="s">
        <v>212</v>
      </c>
      <c r="E269" s="163"/>
      <c r="F269" s="143" t="n">
        <f aca="false">(B98*B68)-(C98*B68)</f>
        <v>17194.3272688712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146.25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0.3</v>
      </c>
      <c r="C271" s="32"/>
      <c r="D271" s="163" t="s">
        <v>219</v>
      </c>
      <c r="E271" s="163"/>
      <c r="F271" s="143" t="n">
        <f aca="false">E249*10</f>
        <v>180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133.74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9" colorId="64" zoomScale="85" zoomScaleNormal="85" zoomScalePageLayoutView="100" workbookViewId="0">
      <selection pane="topLeft" activeCell="J32" activeCellId="0" sqref="J3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379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21458.33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19411.5181887308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274.21875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21458.33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17078.4767407538</v>
      </c>
      <c r="C88" s="130" t="n">
        <f aca="false">B81-B86</f>
        <v>17078.4767407538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622.246307034202</v>
      </c>
      <c r="C89" s="130" t="n">
        <f aca="false">(B88/B87)</f>
        <v>622.246307034202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19911.8818250945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19911.8818250945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622.246307034202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622.246307034202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26949.996</v>
      </c>
      <c r="C121" s="117" t="n">
        <v>24375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26949.996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22458.33</v>
      </c>
      <c r="H135" s="150" t="n">
        <f aca="false">C125+E125+G125+H128</f>
        <v>24375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1597.225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29250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622.246307034202</v>
      </c>
      <c r="B167" s="174" t="str">
        <f aca="false">B94</f>
        <v>0</v>
      </c>
      <c r="C167" s="171"/>
      <c r="D167" s="171"/>
      <c r="E167" s="174" t="n">
        <f aca="false">B96</f>
        <v>622.246307034202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29250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29250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-3338.11817490552</v>
      </c>
      <c r="B182" s="99" t="str">
        <f aca="false">B114</f>
        <v>239.99</v>
      </c>
      <c r="C182" s="99"/>
      <c r="D182" s="23"/>
      <c r="E182" s="99" t="n">
        <f aca="false">E179+A182+B182+A185</f>
        <v>26161.8718250945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228.515625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328.507291666667</v>
      </c>
      <c r="C191" s="130"/>
      <c r="D191" s="130"/>
      <c r="E191" s="99" t="n">
        <f aca="false">H148</f>
        <v>1916.67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622.246307034202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622.246307034202</v>
      </c>
      <c r="B212" s="174" t="str">
        <f aca="false">B167</f>
        <v>0</v>
      </c>
      <c r="C212" s="171"/>
      <c r="D212" s="171"/>
      <c r="E212" s="174" t="n">
        <f aca="false">E167</f>
        <v>622.246307034202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-3338.11817490552</v>
      </c>
      <c r="B224" s="99" t="str">
        <f aca="false">B182</f>
        <v>239.99</v>
      </c>
      <c r="C224" s="99"/>
      <c r="D224" s="109"/>
      <c r="E224" s="99" t="n">
        <f aca="false">E182</f>
        <v>26161.8718250945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622.246307034202</v>
      </c>
      <c r="B230" s="99" t="str">
        <f aca="false">B167</f>
        <v>0</v>
      </c>
      <c r="C230" s="183"/>
      <c r="D230" s="183"/>
      <c r="E230" s="99" t="n">
        <f aca="false">E167</f>
        <v>622.246307034202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26.93088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8.97696</v>
      </c>
      <c r="B236" s="99" t="n">
        <f aca="false">E233+A236</f>
        <v>35.90784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B188</f>
        <v>228.515625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2245.17729166666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274.21875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-174.227083333333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274.21875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-174.227083333333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9" colorId="64" zoomScale="85" zoomScaleNormal="8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379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247</v>
      </c>
      <c r="I36" s="0"/>
      <c r="J36" s="44" t="s">
        <v>51</v>
      </c>
      <c r="K36" s="52" t="n">
        <f aca="false">K32-K34</f>
        <v>21458.33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17000.3240017612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146.25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21458.33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5181.83177930431</v>
      </c>
      <c r="C86" s="130" t="n">
        <f aca="false">(B82/((1+B84)^(B85+1)))</f>
        <v>5181.83177930431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16276.4982206957</v>
      </c>
      <c r="C88" s="130" t="n">
        <f aca="false">B81-B86</f>
        <v>16276.4982206957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1591.02945470556</v>
      </c>
      <c r="C89" s="130" t="n">
        <f aca="false">(B88/B87)</f>
        <v>1591.02945470556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17501.3240017612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17501.3240017612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1591.02945470556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1591.02945470556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26949.996</v>
      </c>
      <c r="C121" s="117" t="n">
        <v>24375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26949.996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22458.33</v>
      </c>
      <c r="H135" s="150" t="n">
        <f aca="false">C125+E125+G125+H128</f>
        <v>24375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1597.225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29250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1591.02945470556</v>
      </c>
      <c r="B167" s="174" t="n">
        <f aca="false">B94</f>
        <v>0</v>
      </c>
      <c r="C167" s="171"/>
      <c r="D167" s="171"/>
      <c r="E167" s="174" t="n">
        <f aca="false">B96</f>
        <v>1591.02945470556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29250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29250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-5748.67599823882</v>
      </c>
      <c r="B182" s="99" t="str">
        <f aca="false">B114</f>
        <v>199.99</v>
      </c>
      <c r="C182" s="99"/>
      <c r="D182" s="23"/>
      <c r="E182" s="99" t="n">
        <f aca="false">E179+A182+B182+A185</f>
        <v>23711.3140017612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121.875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221.865</v>
      </c>
      <c r="C191" s="130"/>
      <c r="D191" s="130"/>
      <c r="E191" s="99" t="n">
        <f aca="false">H148</f>
        <v>1916.67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1591.02945470556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1591.02945470556</v>
      </c>
      <c r="B212" s="174" t="n">
        <f aca="false">B167</f>
        <v>0</v>
      </c>
      <c r="C212" s="171"/>
      <c r="D212" s="171"/>
      <c r="E212" s="174" t="n">
        <f aca="false">E167</f>
        <v>1591.02945470556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-5748.67599823882</v>
      </c>
      <c r="B224" s="99" t="str">
        <f aca="false">B182</f>
        <v>199.99</v>
      </c>
      <c r="C224" s="99"/>
      <c r="D224" s="109"/>
      <c r="E224" s="99" t="n">
        <f aca="false">E182</f>
        <v>23711.3140017612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1591.02945470556</v>
      </c>
      <c r="B230" s="99" t="n">
        <f aca="false">B167</f>
        <v>0</v>
      </c>
      <c r="C230" s="183"/>
      <c r="D230" s="183"/>
      <c r="E230" s="99" t="n">
        <f aca="false">E167</f>
        <v>1591.02945470556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22.4424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7.4808</v>
      </c>
      <c r="B236" s="99" t="n">
        <f aca="false">E233+A236</f>
        <v>29.9232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B188</f>
        <v>121.875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2138.535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146.25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-46.26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0.1475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146.25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-46.26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8" colorId="64" zoomScale="85" zoomScaleNormal="8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379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21458.33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16693.3272688712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146.25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21458.33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130" t="n">
        <f aca="false">(B82/((1+B84)^(B85+1)))</f>
        <v>5295.78483323301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16162.545166767</v>
      </c>
      <c r="C88" s="130" t="n">
        <f aca="false">B81-B86</f>
        <v>16162.545166767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1563.12066080648</v>
      </c>
      <c r="C89" s="130" t="n">
        <f aca="false">(B88/B87)</f>
        <v>1563.12066080648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17194.3272688712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17194.3272688712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1563.12066080648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1563.12066080648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270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26949.996</v>
      </c>
      <c r="C121" s="117" t="n">
        <v>24375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26949.996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22458.33</v>
      </c>
      <c r="H135" s="150" t="n">
        <f aca="false">C125+E125+G125+H128</f>
        <v>24375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1597.225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29250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1563.12066080648</v>
      </c>
      <c r="B167" s="174" t="str">
        <f aca="false">B94</f>
        <v>0</v>
      </c>
      <c r="C167" s="171"/>
      <c r="D167" s="171"/>
      <c r="E167" s="174" t="n">
        <f aca="false">B96</f>
        <v>1563.12066080648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29250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-6055.67273112877</v>
      </c>
      <c r="B182" s="99" t="str">
        <f aca="false">B114</f>
        <v>239.99</v>
      </c>
      <c r="C182" s="99"/>
      <c r="D182" s="23"/>
      <c r="E182" s="99" t="n">
        <f aca="false">E179+A182+B182+A185</f>
        <v>23444.3172688712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121.875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221.866666666667</v>
      </c>
      <c r="C191" s="130"/>
      <c r="D191" s="130"/>
      <c r="E191" s="99" t="n">
        <f aca="false">H148</f>
        <v>1916.67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1563.12066080648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1563.12066080648</v>
      </c>
      <c r="B212" s="174" t="str">
        <f aca="false">B167</f>
        <v>0</v>
      </c>
      <c r="C212" s="171"/>
      <c r="D212" s="171"/>
      <c r="E212" s="174" t="n">
        <f aca="false">E167</f>
        <v>1563.12066080648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-6055.67273112877</v>
      </c>
      <c r="B224" s="99" t="str">
        <f aca="false">B182</f>
        <v>239.99</v>
      </c>
      <c r="C224" s="99"/>
      <c r="D224" s="109"/>
      <c r="E224" s="99" t="n">
        <f aca="false">E182</f>
        <v>23444.3172688712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1563.12066080648</v>
      </c>
      <c r="B230" s="99" t="str">
        <f aca="false">B167</f>
        <v>0</v>
      </c>
      <c r="C230" s="183"/>
      <c r="D230" s="183"/>
      <c r="E230" s="99" t="n">
        <f aca="false">E167</f>
        <v>1563.12066080648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8.97696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B188</f>
        <v>121.875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2138.53666666666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146.25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-46.2583333333333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146.25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-46.2583333333333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88" activeCellId="0" sqref="E18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262" t="s">
        <v>379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21458.33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16693.3272688712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146.25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21458.33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130" t="n">
        <f aca="false">(B82/((1+B84)^(B85+1)))</f>
        <v>5295.78483323301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16162.545166767</v>
      </c>
      <c r="C88" s="130" t="n">
        <f aca="false">B81-B86</f>
        <v>16162.545166767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1563.12066080648</v>
      </c>
      <c r="C89" s="130" t="n">
        <f aca="false">(B88/B87)</f>
        <v>1563.12066080648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17194.3272688712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17194.3272688712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1563.12066080648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1563.12066080648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26949.996</v>
      </c>
      <c r="C121" s="117" t="n">
        <v>24375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26949.996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22458.33</v>
      </c>
      <c r="H135" s="150" t="n">
        <f aca="false">C125+E125+G125+H128</f>
        <v>24375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1597.225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29250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1563.12066080648</v>
      </c>
      <c r="B167" s="174" t="str">
        <f aca="false">B94</f>
        <v>0</v>
      </c>
      <c r="C167" s="171"/>
      <c r="D167" s="171"/>
      <c r="E167" s="174" t="n">
        <f aca="false">B96</f>
        <v>1563.12066080648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29250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-6055.67273112877</v>
      </c>
      <c r="B182" s="99" t="str">
        <f aca="false">B114</f>
        <v>199.99</v>
      </c>
      <c r="C182" s="99"/>
      <c r="D182" s="23"/>
      <c r="E182" s="99" t="n">
        <f aca="false">E179+A182+B182+A185</f>
        <v>23404.3172688712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121.875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221.865</v>
      </c>
      <c r="C191" s="130"/>
      <c r="D191" s="130"/>
      <c r="E191" s="99" t="n">
        <f aca="false">H148</f>
        <v>1916.67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1563.12066080648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1563.12066080648</v>
      </c>
      <c r="B212" s="174" t="str">
        <f aca="false">B167</f>
        <v>0</v>
      </c>
      <c r="C212" s="171"/>
      <c r="D212" s="171"/>
      <c r="E212" s="174" t="n">
        <f aca="false">E167</f>
        <v>1563.12066080648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-6055.67273112877</v>
      </c>
      <c r="B224" s="99" t="str">
        <f aca="false">B182</f>
        <v>199.99</v>
      </c>
      <c r="C224" s="99"/>
      <c r="D224" s="109"/>
      <c r="E224" s="99" t="n">
        <f aca="false">E182</f>
        <v>23404.3172688712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1563.12066080648</v>
      </c>
      <c r="B230" s="99" t="str">
        <f aca="false">B167</f>
        <v>0</v>
      </c>
      <c r="C230" s="183"/>
      <c r="D230" s="183"/>
      <c r="E230" s="99" t="n">
        <f aca="false">E167</f>
        <v>1563.12066080648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7.4808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B188</f>
        <v>121.875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2138.535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146.25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-46.26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146.25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-46.26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45120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4491.666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290.972166666667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259.027833333333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261.6945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211.6945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261.6945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261.6945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2618.28</v>
      </c>
      <c r="C70" s="316" t="n">
        <v>10000</v>
      </c>
      <c r="D70" s="32" t="n">
        <f aca="false">B70-A149</f>
        <v>2618.28</v>
      </c>
      <c r="E70" s="317" t="n">
        <f aca="false">D70/12</f>
        <v>218.19</v>
      </c>
      <c r="F70" s="387"/>
      <c r="G70" s="365" t="s">
        <v>90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90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316"/>
      <c r="D73" s="32"/>
      <c r="E73" s="317"/>
      <c r="F73" s="387"/>
      <c r="G73" s="365" t="s">
        <v>93</v>
      </c>
      <c r="H73" s="65" t="n">
        <f aca="false">H67*H72</f>
        <v>187.02</v>
      </c>
      <c r="I73" s="316"/>
      <c r="J73" s="32"/>
      <c r="K73" s="317"/>
      <c r="L73" s="387"/>
      <c r="M73" s="365" t="s">
        <v>93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165</v>
      </c>
      <c r="C80" s="316"/>
      <c r="D80" s="316"/>
      <c r="E80" s="403" t="n">
        <f aca="false">E79+D82</f>
        <v>838.75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69.8958333333333</v>
      </c>
      <c r="F81" s="387"/>
      <c r="G81" s="400" t="s">
        <v>278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178.75</v>
      </c>
      <c r="C82" s="316"/>
      <c r="D82" s="32" t="n">
        <f aca="false">IF(A50="YES", 0, B82)</f>
        <v>178.75</v>
      </c>
      <c r="E82" s="317"/>
      <c r="F82" s="387"/>
      <c r="G82" s="365" t="s">
        <v>279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4123.69666666667</v>
      </c>
      <c r="C87" s="316"/>
      <c r="D87" s="316"/>
      <c r="E87" s="317"/>
      <c r="F87" s="387"/>
      <c r="G87" s="411" t="s">
        <v>102</v>
      </c>
      <c r="H87" s="412" t="n">
        <f aca="false">SUM(J70:J86)</f>
        <v>5744.78</v>
      </c>
      <c r="I87" s="316"/>
      <c r="J87" s="316"/>
      <c r="K87" s="317"/>
      <c r="L87" s="387"/>
      <c r="M87" s="411" t="s">
        <v>102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343.641388888889</v>
      </c>
      <c r="C88" s="316"/>
      <c r="D88" s="316"/>
      <c r="E88" s="317"/>
      <c r="F88" s="387"/>
      <c r="G88" s="315" t="s">
        <v>103</v>
      </c>
      <c r="H88" s="33" t="n">
        <f aca="false">H87/H29</f>
        <v>478.731666666667</v>
      </c>
      <c r="I88" s="316"/>
      <c r="J88" s="316"/>
      <c r="K88" s="317"/>
      <c r="L88" s="387"/>
      <c r="M88" s="315" t="s">
        <v>103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211.6945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7996.8368</v>
      </c>
      <c r="C91" s="316"/>
      <c r="D91" s="316"/>
      <c r="E91" s="317"/>
      <c r="F91" s="387"/>
      <c r="G91" s="395" t="s">
        <v>114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114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56.452054860831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115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8053.28885486083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78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671.107404571736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749.107404571736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671.107404571736</v>
      </c>
      <c r="B134" s="320" t="n">
        <f aca="false">IF(A111="YES", B95, 0)</f>
        <v>78</v>
      </c>
      <c r="C134" s="324"/>
      <c r="D134" s="320" t="n">
        <f aca="false">B97</f>
        <v>749.107404571736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671.107404571736</v>
      </c>
      <c r="C137" s="316"/>
      <c r="D137" s="38" t="n">
        <f aca="false">IF(A111="YES", B95*B63, 0)</f>
        <v>78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749.107404571736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671.107404571736</v>
      </c>
      <c r="B143" s="38" t="n">
        <f aca="false">IF(A111="YES", B95, 0)</f>
        <v>78</v>
      </c>
      <c r="C143" s="316"/>
      <c r="D143" s="38" t="n">
        <f aca="false">B97</f>
        <v>749.107404571736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4491.666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892.031666666667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749.107404571736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671.107404571736</v>
      </c>
      <c r="B177" s="354" t="n">
        <f aca="false">IF(A111="YES", B95, 0)</f>
        <v>78</v>
      </c>
      <c r="C177" s="356"/>
      <c r="D177" s="354" t="n">
        <f aca="false">A177+B177</f>
        <v>749.107404571736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671.107404571736</v>
      </c>
      <c r="C180" s="352"/>
      <c r="D180" s="99" t="n">
        <f aca="false">IF(A111="YES", B95*B63, 0)</f>
        <v>78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749.107404571736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671.107404571736</v>
      </c>
      <c r="B186" s="99" t="n">
        <f aca="false">IF(A111="YES", B95, 0)</f>
        <v>78</v>
      </c>
      <c r="C186" s="352"/>
      <c r="D186" s="99" t="n">
        <f aca="false">B97</f>
        <v>749.107404571736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892.031666666667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2618.28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519.991666666667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2764.23166666667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2618.28</v>
      </c>
      <c r="C217" s="374" t="s">
        <v>218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2764.23166666667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56.452054860831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45120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4491.666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290.972166666667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259.027833333333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261.6945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211.6945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261.6945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2618.28</v>
      </c>
      <c r="C70" s="316" t="n">
        <v>10000</v>
      </c>
      <c r="D70" s="32" t="n">
        <f aca="false">B70-A149</f>
        <v>2618.28</v>
      </c>
      <c r="E70" s="317" t="n">
        <f aca="false">D70/12</f>
        <v>218.19</v>
      </c>
      <c r="F70" s="387"/>
      <c r="G70" s="365" t="s">
        <v>90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90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316"/>
      <c r="D73" s="32"/>
      <c r="E73" s="317"/>
      <c r="F73" s="387"/>
      <c r="G73" s="365" t="s">
        <v>93</v>
      </c>
      <c r="H73" s="65" t="n">
        <f aca="false">H67*H72</f>
        <v>187.02</v>
      </c>
      <c r="I73" s="316"/>
      <c r="J73" s="32"/>
      <c r="K73" s="317"/>
      <c r="L73" s="387"/>
      <c r="M73" s="365" t="s">
        <v>93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165</v>
      </c>
      <c r="C80" s="316"/>
      <c r="D80" s="316"/>
      <c r="E80" s="403" t="n">
        <f aca="false">E79+D82</f>
        <v>838.75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69.8958333333333</v>
      </c>
      <c r="F81" s="387"/>
      <c r="G81" s="400" t="s">
        <v>278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178.75</v>
      </c>
      <c r="C82" s="316"/>
      <c r="D82" s="32" t="n">
        <f aca="false">IF(A50="YES", 0, B82)</f>
        <v>178.75</v>
      </c>
      <c r="E82" s="317"/>
      <c r="F82" s="387"/>
      <c r="G82" s="365" t="s">
        <v>279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4123.69666666667</v>
      </c>
      <c r="C87" s="316"/>
      <c r="D87" s="316"/>
      <c r="E87" s="317"/>
      <c r="F87" s="387"/>
      <c r="G87" s="411" t="s">
        <v>102</v>
      </c>
      <c r="H87" s="412" t="n">
        <f aca="false">SUM(J70:J86)</f>
        <v>5744.78</v>
      </c>
      <c r="I87" s="316"/>
      <c r="J87" s="316"/>
      <c r="K87" s="317"/>
      <c r="L87" s="387"/>
      <c r="M87" s="411" t="s">
        <v>102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343.641388888889</v>
      </c>
      <c r="C88" s="316"/>
      <c r="D88" s="316"/>
      <c r="E88" s="317"/>
      <c r="F88" s="387"/>
      <c r="G88" s="315" t="s">
        <v>103</v>
      </c>
      <c r="H88" s="33" t="n">
        <f aca="false">H87/H29</f>
        <v>478.731666666667</v>
      </c>
      <c r="I88" s="316"/>
      <c r="J88" s="316"/>
      <c r="K88" s="317"/>
      <c r="L88" s="387"/>
      <c r="M88" s="315" t="s">
        <v>103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211.6945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6664.03066666667</v>
      </c>
      <c r="C91" s="316"/>
      <c r="D91" s="316"/>
      <c r="E91" s="317"/>
      <c r="F91" s="387"/>
      <c r="G91" s="395" t="s">
        <v>114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114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56.452054860831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115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6720.4827215275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60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560.040226793958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560.040226793958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19</v>
      </c>
      <c r="B111" s="311" t="n">
        <v>20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560.040226793958</v>
      </c>
      <c r="B134" s="320" t="n">
        <f aca="false">IF(A111="YES", B95, 0)</f>
        <v>0</v>
      </c>
      <c r="C134" s="325"/>
      <c r="D134" s="320" t="n">
        <f aca="false">B97</f>
        <v>560.040226793958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560.040226793958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560.040226793958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560.040226793958</v>
      </c>
      <c r="B143" s="38" t="n">
        <f aca="false">IF(A111="YES", B95, 0)</f>
        <v>0</v>
      </c>
      <c r="C143" s="316"/>
      <c r="D143" s="38" t="n">
        <f aca="false">B97</f>
        <v>560.040226793958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374.04</v>
      </c>
      <c r="B154" s="99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4491.666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560.040226793958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560.040226793958</v>
      </c>
      <c r="B177" s="354" t="n">
        <f aca="false">IF(A111="YES", B95, 0)</f>
        <v>0</v>
      </c>
      <c r="C177" s="357"/>
      <c r="D177" s="354" t="n">
        <f aca="false">B91</f>
        <v>6664.03066666667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560.040226793958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560.040226793958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560.040226793958</v>
      </c>
      <c r="B186" s="99" t="n">
        <f aca="false">IF(A111="YES", B95, 0)</f>
        <v>0</v>
      </c>
      <c r="C186" s="352"/>
      <c r="D186" s="99" t="n">
        <f aca="false">B97</f>
        <v>560.040226793958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2618.28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2584.23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2618.28</v>
      </c>
      <c r="C217" s="374" t="s">
        <v>218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2584.23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56.452054860831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str">
        <f aca="false">IF(B38="YES", D38+A41, D38)</f>
        <v>500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346</v>
      </c>
      <c r="E44" s="100"/>
      <c r="F44" s="63"/>
      <c r="G44" s="63" t="s">
        <v>255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3213.16638666667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267.763865555556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9225.16638666667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78.1478394997983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9303.31422616647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775.276185513872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775.276185513872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348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3" t="n">
        <v>0</v>
      </c>
      <c r="C111" s="313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775.276185513872</v>
      </c>
      <c r="B134" s="320" t="n">
        <f aca="false">IF(A111="YES", B95, 0)</f>
        <v>0</v>
      </c>
      <c r="C134" s="325"/>
      <c r="D134" s="320" t="n">
        <f aca="false">B97</f>
        <v>775.276185513872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6977.48566962485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6977.48566962485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775.276185513872</v>
      </c>
      <c r="B143" s="38" t="n">
        <f aca="false">IF(A111="YES", B95, 0)</f>
        <v>0</v>
      </c>
      <c r="C143" s="316"/>
      <c r="D143" s="38" t="n">
        <f aca="false">B97</f>
        <v>775.276185513872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99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775.276185513872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775.276185513872</v>
      </c>
      <c r="B177" s="354" t="n">
        <f aca="false">IF(A111="YES", B95, 0)</f>
        <v>0</v>
      </c>
      <c r="C177" s="357"/>
      <c r="D177" s="354" t="n">
        <f aca="false">B91</f>
        <v>9225.16638666667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6977.48566962485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6977.48566962485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775.276185513872</v>
      </c>
      <c r="B186" s="99" t="n">
        <f aca="false">IF(A111="YES", B95, 0)</f>
        <v>0</v>
      </c>
      <c r="C186" s="352"/>
      <c r="D186" s="99" t="n">
        <f aca="false">B97</f>
        <v>775.276185513872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1852.44972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1852.44972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78.1478394997983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str">
        <f aca="false">IF(B38="YES", D38+A41, D38)</f>
        <v>500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346</v>
      </c>
      <c r="E44" s="100"/>
      <c r="F44" s="63"/>
      <c r="G44" s="63" t="s">
        <v>255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3391.91638666667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282.659698888889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11284.699664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79.6620589431223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11364.3617229431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947.030143578594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947.030143578594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947.030143578594</v>
      </c>
      <c r="B134" s="320" t="n">
        <f aca="false">IF(A111="YES", B95, 0)</f>
        <v>0</v>
      </c>
      <c r="C134" s="325"/>
      <c r="D134" s="320" t="n">
        <f aca="false">B97</f>
        <v>947.030143578594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947.030143578594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947.030143578594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947.030143578594</v>
      </c>
      <c r="B143" s="38" t="n">
        <f aca="false">IF(A111="YES", B95, 0)</f>
        <v>0</v>
      </c>
      <c r="C143" s="316"/>
      <c r="D143" s="38" t="n">
        <f aca="false">B97</f>
        <v>947.030143578594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874.031666666667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947.030143578594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947.030143578594</v>
      </c>
      <c r="B177" s="354" t="n">
        <f aca="false">IF(A111="YES", B95, 0)</f>
        <v>0</v>
      </c>
      <c r="C177" s="357"/>
      <c r="D177" s="354" t="n">
        <f aca="false">B97</f>
        <v>947.030143578594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947.030143578594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947.030143578594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947.030143578594</v>
      </c>
      <c r="B186" s="99" t="n">
        <f aca="false">IF(A111="YES", B95, 0)</f>
        <v>0</v>
      </c>
      <c r="C186" s="352"/>
      <c r="D186" s="99" t="n">
        <f aca="false">B97</f>
        <v>947.030143578594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874.031666666667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1852.45138666667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1852.45138666667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79.6620589431223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3391.91638666667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282.659698888889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9403.91638666667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79.6620589431223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9483.57844560979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790.298203800816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790.298203800816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790.298203800816</v>
      </c>
      <c r="B134" s="320" t="n">
        <f aca="false">IF(A111="YES", B95, 0)</f>
        <v>0</v>
      </c>
      <c r="C134" s="325"/>
      <c r="D134" s="320" t="n">
        <f aca="false">B97</f>
        <v>790.298203800816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790.298203800816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790.298203800816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790.298203800816</v>
      </c>
      <c r="B143" s="38" t="n">
        <f aca="false">IF(A111="YES", B95, 0)</f>
        <v>0</v>
      </c>
      <c r="C143" s="316"/>
      <c r="D143" s="38" t="n">
        <f aca="false">B97</f>
        <v>790.298203800816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790.298203800816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790.298203800816</v>
      </c>
      <c r="B177" s="354" t="n">
        <f aca="false">IF(A111="YES", B95, 0)</f>
        <v>0</v>
      </c>
      <c r="C177" s="357"/>
      <c r="D177" s="354" t="n">
        <f aca="false">B91</f>
        <v>9403.91638666667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790.298203800816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790.298203800816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790.298203800816</v>
      </c>
      <c r="B186" s="99" t="n">
        <f aca="false">IF(A111="YES", B95, 0)</f>
        <v>0</v>
      </c>
      <c r="C186" s="352"/>
      <c r="D186" s="99" t="n">
        <f aca="false">B97</f>
        <v>790.298203800816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B154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1852.44972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1852.44972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79.6620589431223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241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247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2546.49972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212.20831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8558.49972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72.5004010165389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8631.00012101654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719.250010084712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719.250010084712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719.250010084712</v>
      </c>
      <c r="B134" s="320" t="n">
        <f aca="false">IF(A111="YES", B95, 0)</f>
        <v>0</v>
      </c>
      <c r="C134" s="325"/>
      <c r="D134" s="320" t="n">
        <f aca="false">B97</f>
        <v>719.250010084712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719.250010084712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719.250010084712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719.250010084712</v>
      </c>
      <c r="B143" s="38" t="n">
        <f aca="false">IF(A111="YES", B95, 0)</f>
        <v>0</v>
      </c>
      <c r="C143" s="316"/>
      <c r="D143" s="38" t="n">
        <f aca="false">B97</f>
        <v>719.250010084712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474.03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719.250010084712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719.250010084712</v>
      </c>
      <c r="B177" s="354" t="n">
        <f aca="false">IF(A111="YES", B95, 0)</f>
        <v>0</v>
      </c>
      <c r="C177" s="357"/>
      <c r="D177" s="354" t="n">
        <f aca="false">B91</f>
        <v>8558.49972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719.250010084712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719.250010084712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719.250010084712</v>
      </c>
      <c r="B186" s="99" t="n">
        <f aca="false">IF(A111="YES", B95, 0)</f>
        <v>0</v>
      </c>
      <c r="C186" s="352"/>
      <c r="D186" s="99" t="n">
        <f aca="false">B97</f>
        <v>719.250010084712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474.03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1612.44972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1612.44972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72.5004010165389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241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247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3391.91638666667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282.659698888889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11284.699664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79.6620589431223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11364.3617229431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947.030143578594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947.030143578594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947.030143578594</v>
      </c>
      <c r="B134" s="320" t="n">
        <f aca="false">IF(A111="YES", B95, 0)</f>
        <v>0</v>
      </c>
      <c r="C134" s="325"/>
      <c r="D134" s="320" t="n">
        <f aca="false">B97</f>
        <v>947.030143578594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947.030143578594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947.030143578594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947.030143578594</v>
      </c>
      <c r="B143" s="38" t="n">
        <f aca="false">IF(A111="YES", B95, 0)</f>
        <v>0</v>
      </c>
      <c r="C143" s="316"/>
      <c r="D143" s="38" t="n">
        <f aca="false">B97</f>
        <v>947.030143578594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874.031666666667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947.030143578594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947.030143578594</v>
      </c>
      <c r="B177" s="354" t="n">
        <f aca="false">IF(A111="YES", B95, 0)</f>
        <v>0</v>
      </c>
      <c r="C177" s="357"/>
      <c r="D177" s="354" t="n">
        <f aca="false">B91</f>
        <v>11284.699664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947.030143578594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947.030143578594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947.030143578594</v>
      </c>
      <c r="B186" s="99" t="n">
        <f aca="false">IF(A111="YES", B95, 0)</f>
        <v>0</v>
      </c>
      <c r="C186" s="352"/>
      <c r="D186" s="99" t="n">
        <f aca="false">B97</f>
        <v>947.030143578594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874.031666666667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1852.45138666667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1852.45138666667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79.6620589431223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241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247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72000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5040</v>
      </c>
      <c r="C70" s="211" t="n">
        <v>10000</v>
      </c>
      <c r="D70" s="290" t="n">
        <f aca="false">B70-A149</f>
        <v>5040</v>
      </c>
      <c r="E70" s="212" t="n">
        <f aca="false">D70/12</f>
        <v>420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6545.41666666667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545.451388888889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12557.4166666667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106.375857200484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12663.7925238672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1055.3160436556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1055.3160436556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1055.3160436556</v>
      </c>
      <c r="B134" s="320" t="n">
        <f aca="false">IF(A111="YES", B95, 0)</f>
        <v>0</v>
      </c>
      <c r="C134" s="325"/>
      <c r="D134" s="320" t="n">
        <f aca="false">B97</f>
        <v>1055.3160436556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1055.3160436556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1055.3160436556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1055.3160436556</v>
      </c>
      <c r="B143" s="38" t="n">
        <f aca="false">IF(A111="YES", B95, 0)</f>
        <v>0</v>
      </c>
      <c r="C143" s="316"/>
      <c r="D143" s="38" t="n">
        <f aca="false">B97</f>
        <v>1055.3160436556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1055.3160436556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1055.3160436556</v>
      </c>
      <c r="B177" s="354" t="n">
        <f aca="false">IF(A111="YES", B95, 0)</f>
        <v>0</v>
      </c>
      <c r="C177" s="357"/>
      <c r="D177" s="354" t="n">
        <f aca="false">B91</f>
        <v>12557.4166666667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1055.3160436556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1055.3160436556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1055.3160436556</v>
      </c>
      <c r="B186" s="99" t="n">
        <f aca="false">IF(A111="YES", B95, 0)</f>
        <v>0</v>
      </c>
      <c r="C186" s="352"/>
      <c r="D186" s="99" t="n">
        <f aca="false">B97</f>
        <v>1055.3160436556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5040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5005.95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5040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5005.95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106.375857200484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80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17950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312.925143136561</v>
      </c>
      <c r="F33" s="228"/>
      <c r="G33" s="228"/>
      <c r="H33" s="47"/>
      <c r="I33" s="2"/>
      <c r="J33" s="34" t="s">
        <v>352</v>
      </c>
      <c r="K33" s="48" t="n">
        <f aca="false">E21</f>
        <v>22458.33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312.925143136561</v>
      </c>
      <c r="B36" s="228" t="str">
        <f aca="false">IF(B26="YES", K42, "0.00")</f>
        <v>0.00</v>
      </c>
      <c r="C36" s="228"/>
      <c r="D36" s="228"/>
      <c r="E36" s="228" t="n">
        <f aca="false">K31</f>
        <v>17950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22458.33</v>
      </c>
      <c r="L39" s="2" t="n">
        <f aca="false">(L47*K46)+K44</f>
        <v>38350.3594675147</v>
      </c>
      <c r="N39" s="1" t="n">
        <f aca="false">K39-L39</f>
        <v>-15892.0294675147</v>
      </c>
      <c r="P39" s="208"/>
    </row>
    <row r="40" customFormat="false" ht="17.35" hidden="false" customHeight="false" outlineLevel="0" collapsed="false">
      <c r="A40" s="103" t="n">
        <f aca="false">E36*A45/100</f>
        <v>17950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14958.3333333333</v>
      </c>
      <c r="L40" s="2" t="n">
        <f aca="false">K39-L39</f>
        <v>-15892.0294675147</v>
      </c>
      <c r="N40" s="1" t="n">
        <f aca="false">N38-N39</f>
        <v>18803.7094675147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12248.3683775163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10209.9616224837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312.925143136561</v>
      </c>
      <c r="L47" s="2" t="n">
        <f aca="false">L49-K42</f>
        <v>800</v>
      </c>
      <c r="M47" s="1" t="n">
        <f aca="false">K47-L47</f>
        <v>-487.074856863439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312.925143136561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312.925143136561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5356.91212371935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236.25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312.925143136561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312.925143136561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312.925143136561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312.925143136561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28350</v>
      </c>
      <c r="C81" s="130"/>
      <c r="D81" s="130"/>
      <c r="E81" s="109"/>
      <c r="F81" s="25" t="s">
        <v>105</v>
      </c>
      <c r="G81" s="27" t="n">
        <f aca="false">G158</f>
        <v>28350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17950</v>
      </c>
      <c r="C82" s="130"/>
      <c r="D82" s="130"/>
      <c r="E82" s="109"/>
      <c r="F82" s="31" t="s">
        <v>106</v>
      </c>
      <c r="G82" s="33" t="n">
        <f aca="false">IF(A111 = "Yes", A40, 0)</f>
        <v>17950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17950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17950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130"/>
      <c r="D85" s="130"/>
      <c r="E85" s="109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13757.37950458</v>
      </c>
      <c r="C86" s="130"/>
      <c r="D86" s="130"/>
      <c r="E86" s="109"/>
      <c r="F86" s="31" t="s">
        <v>110</v>
      </c>
      <c r="G86" s="33" t="n">
        <f aca="false">(G82/((1+G84)^(G85+1)))</f>
        <v>14777.6564474734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12142.5978649176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12142.5978649176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14592.62049542</v>
      </c>
      <c r="C88" s="130"/>
      <c r="D88" s="130"/>
      <c r="E88" s="109"/>
      <c r="F88" s="31" t="s">
        <v>112</v>
      </c>
      <c r="G88" s="33" t="n">
        <f aca="false">G81-G86</f>
        <v>13572.3435525266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474.920493618158</v>
      </c>
      <c r="C89" s="130"/>
      <c r="D89" s="130"/>
      <c r="E89" s="109"/>
      <c r="F89" s="31" t="s">
        <v>113</v>
      </c>
      <c r="G89" s="33" t="n">
        <f aca="false">(G88/G87)</f>
        <v>426.746610535822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16622.2172766355</v>
      </c>
      <c r="C90" s="130"/>
      <c r="D90" s="130"/>
      <c r="E90" s="109"/>
      <c r="F90" s="31" t="s">
        <v>114</v>
      </c>
      <c r="G90" s="33" t="n">
        <f aca="false">((G89*(G85))+G77)</f>
        <v>14936.1313687538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16622.2172766355</v>
      </c>
      <c r="C92" s="130"/>
      <c r="D92" s="130"/>
      <c r="E92" s="109"/>
      <c r="F92" s="56" t="s">
        <v>116</v>
      </c>
      <c r="G92" s="65" t="n">
        <f aca="false">(G90+G91)</f>
        <v>14936.1313687538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IF(B26="YES",((E40/B85)*(1+A108)*1.2*(C45/100)),"0")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474.920493618158</v>
      </c>
      <c r="C95" s="130"/>
      <c r="D95" s="130"/>
      <c r="E95" s="109"/>
      <c r="F95" s="91" t="s">
        <v>118</v>
      </c>
      <c r="G95" s="92" t="n">
        <f aca="false">G92/(G85)</f>
        <v>426.746610535822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474.920493618158</v>
      </c>
      <c r="C96" s="130"/>
      <c r="D96" s="130"/>
      <c r="E96" s="109"/>
      <c r="F96" s="93" t="s">
        <v>119</v>
      </c>
      <c r="G96" s="94" t="n">
        <f aca="false">G94+G95</f>
        <v>426.746610535822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200</v>
      </c>
      <c r="C111" s="103"/>
      <c r="D111" s="103"/>
      <c r="E111" s="103" t="n">
        <v>200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400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22458.33</v>
      </c>
      <c r="C121" s="117" t="n">
        <v>24375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26949.996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26949.996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26949.996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22458.33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22458.33</v>
      </c>
      <c r="H135" s="150" t="n">
        <f aca="false">C125+E125+G125+H128</f>
        <v>24375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-22027.775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400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28350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474.920493618158</v>
      </c>
      <c r="B167" s="174" t="str">
        <f aca="false">B94</f>
        <v>0</v>
      </c>
      <c r="C167" s="171"/>
      <c r="D167" s="171"/>
      <c r="E167" s="174" t="n">
        <f aca="false">B96</f>
        <v>474.920493618158</v>
      </c>
      <c r="F167" s="23"/>
      <c r="G167" s="23" t="n">
        <f aca="false">ROUND(G95, 2)</f>
        <v>426.75</v>
      </c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17950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17950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17950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17950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200</v>
      </c>
      <c r="C176" s="99"/>
      <c r="D176" s="23"/>
      <c r="E176" s="99" t="n">
        <f aca="false">E111</f>
        <v>200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400</v>
      </c>
      <c r="B179" s="99" t="n">
        <f aca="false">G154</f>
        <v>500</v>
      </c>
      <c r="C179" s="99"/>
      <c r="D179" s="23"/>
      <c r="E179" s="99" t="n">
        <f aca="false">A176-A179-B179</f>
        <v>28350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6222.21727663554</v>
      </c>
      <c r="B182" s="99" t="str">
        <f aca="false">B114</f>
        <v>239.99</v>
      </c>
      <c r="C182" s="99"/>
      <c r="D182" s="23"/>
      <c r="E182" s="99" t="n">
        <f aca="false">E179+A182+B182+A185</f>
        <v>34822.2072766355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639.99</v>
      </c>
      <c r="C185" s="99"/>
      <c r="D185" s="23"/>
      <c r="E185" s="99" t="n">
        <f aca="false">IF(A40=0,(E167),(E170+A185))</f>
        <v>17960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17970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17960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17960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236.25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336.241666666667</v>
      </c>
      <c r="C191" s="130"/>
      <c r="D191" s="130"/>
      <c r="E191" s="99" t="n">
        <f aca="false">H148</f>
        <v>1916.67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474.920493618158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4536.25</v>
      </c>
      <c r="B201" s="183" t="n">
        <f aca="false">E179+A201+B182+A185</f>
        <v>33136.24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474.920493618158</v>
      </c>
      <c r="B212" s="174" t="str">
        <f aca="false">B167</f>
        <v>0</v>
      </c>
      <c r="C212" s="171"/>
      <c r="D212" s="171"/>
      <c r="E212" s="174" t="n">
        <f aca="false">E167</f>
        <v>474.920493618158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200</v>
      </c>
      <c r="C218" s="99"/>
      <c r="D218" s="109"/>
      <c r="E218" s="99" t="n">
        <f aca="false">E176</f>
        <v>200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400</v>
      </c>
      <c r="B221" s="99" t="n">
        <f aca="false">B179</f>
        <v>500</v>
      </c>
      <c r="C221" s="99"/>
      <c r="D221" s="109"/>
      <c r="E221" s="99" t="n">
        <f aca="false">E179</f>
        <v>28350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6222.21727663554</v>
      </c>
      <c r="B224" s="99" t="str">
        <f aca="false">B182</f>
        <v>239.99</v>
      </c>
      <c r="C224" s="99"/>
      <c r="D224" s="109"/>
      <c r="E224" s="99" t="n">
        <f aca="false">E182</f>
        <v>34822.2072766355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639.99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474.920493618158</v>
      </c>
      <c r="B230" s="99" t="str">
        <f aca="false">B167</f>
        <v>0</v>
      </c>
      <c r="C230" s="183"/>
      <c r="D230" s="183"/>
      <c r="E230" s="99" t="n">
        <f aca="false">E167</f>
        <v>474.920493618158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17950</v>
      </c>
      <c r="B233" s="99" t="n">
        <f aca="false">E185</f>
        <v>17960</v>
      </c>
      <c r="C233" s="130"/>
      <c r="D233" s="130"/>
      <c r="E233" s="99" t="n">
        <f aca="false">J18*0.000006*100*1.2</f>
        <v>26.9316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0</v>
      </c>
      <c r="B236" s="99" t="n">
        <f aca="false">E233+A236</f>
        <v>26.9316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B68</f>
        <v>236.25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2252.91166666666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1695.96727663554</v>
      </c>
      <c r="C254" s="194"/>
      <c r="D254" s="195" t="s">
        <v>213</v>
      </c>
      <c r="E254" s="195"/>
      <c r="F254" s="196" t="n">
        <f aca="false">F261+F267+F269+B270+B271</f>
        <v>283.5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1512.4589433022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B254</f>
        <v>1695.96727663554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283.5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1512.4589433022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22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17950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312.925143136561</v>
      </c>
      <c r="F33" s="228"/>
      <c r="G33" s="228"/>
      <c r="H33" s="47"/>
      <c r="I33" s="2"/>
      <c r="J33" s="34" t="s">
        <v>352</v>
      </c>
      <c r="K33" s="48" t="n">
        <f aca="false">E21</f>
        <v>22458.33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312.925143136561</v>
      </c>
      <c r="B36" s="228" t="str">
        <f aca="false">IF(B26="YES", K42, "0.00")</f>
        <v>0.00</v>
      </c>
      <c r="C36" s="228"/>
      <c r="D36" s="228"/>
      <c r="E36" s="228" t="n">
        <f aca="false">K31</f>
        <v>17950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22458.33</v>
      </c>
      <c r="L39" s="2" t="n">
        <f aca="false">(L47*K46)+K44</f>
        <v>38350.3594675147</v>
      </c>
      <c r="N39" s="1" t="n">
        <f aca="false">K39-L39</f>
        <v>-15892.0294675147</v>
      </c>
      <c r="P39" s="208"/>
    </row>
    <row r="40" customFormat="false" ht="17.35" hidden="false" customHeight="false" outlineLevel="0" collapsed="false">
      <c r="A40" s="103" t="n">
        <f aca="false">E36*A45/100</f>
        <v>17950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14958.3333333333</v>
      </c>
      <c r="L40" s="2" t="n">
        <f aca="false">K39-L39</f>
        <v>-15892.0294675147</v>
      </c>
      <c r="N40" s="1" t="n">
        <f aca="false">N38-N39</f>
        <v>18803.7094675147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12248.3683775163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10209.9616224837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312.925143136561</v>
      </c>
      <c r="L47" s="2" t="n">
        <f aca="false">L49-K42</f>
        <v>800</v>
      </c>
      <c r="M47" s="1" t="n">
        <f aca="false">K47-L47</f>
        <v>-487.074856863439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312.925143136561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312.925143136561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3534.37807981928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222.916666666667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312.925143136561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312.925143136561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312.925143136561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312.925143136561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26750</v>
      </c>
      <c r="C81" s="130"/>
      <c r="D81" s="130"/>
      <c r="E81" s="109"/>
      <c r="F81" s="25" t="s">
        <v>105</v>
      </c>
      <c r="G81" s="27" t="n">
        <f aca="false">G158</f>
        <v>26750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17950</v>
      </c>
      <c r="C82" s="130"/>
      <c r="D82" s="130"/>
      <c r="E82" s="109"/>
      <c r="F82" s="31" t="s">
        <v>106</v>
      </c>
      <c r="G82" s="33" t="n">
        <f aca="false">IF(A111 = "Yes", A40, 0)</f>
        <v>17950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17950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17950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130"/>
      <c r="D85" s="130"/>
      <c r="E85" s="109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13757.37950458</v>
      </c>
      <c r="C86" s="130"/>
      <c r="D86" s="130"/>
      <c r="E86" s="109"/>
      <c r="F86" s="31" t="s">
        <v>110</v>
      </c>
      <c r="G86" s="33" t="n">
        <f aca="false">(G82/((1+G84)^(G85+1)))</f>
        <v>14777.6564474734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12142.5978649176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12142.5978649176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12992.62049542</v>
      </c>
      <c r="C88" s="130"/>
      <c r="D88" s="130"/>
      <c r="E88" s="109"/>
      <c r="F88" s="31" t="s">
        <v>112</v>
      </c>
      <c r="G88" s="33" t="n">
        <f aca="false">G81-G86</f>
        <v>11972.3435525266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422.848092363871</v>
      </c>
      <c r="C89" s="130"/>
      <c r="D89" s="130"/>
      <c r="E89" s="109"/>
      <c r="F89" s="31" t="s">
        <v>113</v>
      </c>
      <c r="G89" s="33" t="n">
        <f aca="false">(G88/G87)</f>
        <v>376.43882292237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14799.6832327355</v>
      </c>
      <c r="C90" s="130"/>
      <c r="D90" s="130"/>
      <c r="E90" s="109"/>
      <c r="F90" s="31" t="s">
        <v>114</v>
      </c>
      <c r="G90" s="33" t="n">
        <f aca="false">((G89*(G85))+G77)</f>
        <v>13175.3588022829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14799.6832327355</v>
      </c>
      <c r="C92" s="130"/>
      <c r="D92" s="130"/>
      <c r="E92" s="109"/>
      <c r="F92" s="56" t="s">
        <v>116</v>
      </c>
      <c r="G92" s="65" t="n">
        <f aca="false">(G90+G91)</f>
        <v>13175.3588022829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422.848092363871</v>
      </c>
      <c r="C95" s="130"/>
      <c r="D95" s="130"/>
      <c r="E95" s="109"/>
      <c r="F95" s="91" t="s">
        <v>118</v>
      </c>
      <c r="G95" s="92" t="n">
        <f aca="false">G92/(G85)</f>
        <v>376.43882292237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422.848092363871</v>
      </c>
      <c r="C96" s="130"/>
      <c r="D96" s="130"/>
      <c r="E96" s="109"/>
      <c r="F96" s="93" t="s">
        <v>119</v>
      </c>
      <c r="G96" s="94" t="n">
        <f aca="false">G94+G95</f>
        <v>376.43882292237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22458.33</v>
      </c>
      <c r="C121" s="117" t="n">
        <v>24375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26949.996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26949.996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26949.996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22458.33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22458.33</v>
      </c>
      <c r="H135" s="150" t="n">
        <f aca="false">C125+E125+G125+H128</f>
        <v>24375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-20694.4416666667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26750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422.848092363871</v>
      </c>
      <c r="B167" s="174" t="str">
        <f aca="false">B94</f>
        <v>0</v>
      </c>
      <c r="C167" s="171"/>
      <c r="D167" s="171"/>
      <c r="E167" s="174" t="n">
        <f aca="false">B96</f>
        <v>422.848092363871</v>
      </c>
      <c r="F167" s="23"/>
      <c r="G167" s="23" t="n">
        <f aca="false">ROUND(G95, 2)</f>
        <v>376.44</v>
      </c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17950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17950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17950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17950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26750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5999.68323273547</v>
      </c>
      <c r="B182" s="99" t="str">
        <f aca="false">B114</f>
        <v>199.99</v>
      </c>
      <c r="C182" s="99"/>
      <c r="D182" s="23"/>
      <c r="E182" s="99" t="n">
        <f aca="false">E179+A182+B182+A185</f>
        <v>32959.6732327355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IF(A40=0,(E167),(E170+A185))</f>
        <v>17960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17970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17960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17960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222.916666666667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322.906666666667</v>
      </c>
      <c r="C191" s="130"/>
      <c r="D191" s="130"/>
      <c r="E191" s="99" t="n">
        <f aca="false">H148</f>
        <v>1916.67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422.848092363871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4375.4</v>
      </c>
      <c r="B201" s="183" t="n">
        <f aca="false">E179+A201+(B182*1.2)+A185</f>
        <v>31375.388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422.848092363871</v>
      </c>
      <c r="B212" s="174" t="str">
        <f aca="false">B167</f>
        <v>0</v>
      </c>
      <c r="C212" s="171"/>
      <c r="D212" s="171"/>
      <c r="E212" s="174" t="n">
        <f aca="false">E167</f>
        <v>422.848092363871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26750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5999.68323273547</v>
      </c>
      <c r="B224" s="99" t="str">
        <f aca="false">B182</f>
        <v>199.99</v>
      </c>
      <c r="C224" s="99"/>
      <c r="D224" s="109"/>
      <c r="E224" s="99" t="n">
        <f aca="false">E182</f>
        <v>32959.6732327355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422.848092363871</v>
      </c>
      <c r="B230" s="99" t="str">
        <f aca="false">B167</f>
        <v>0</v>
      </c>
      <c r="C230" s="183"/>
      <c r="D230" s="183"/>
      <c r="E230" s="99" t="n">
        <f aca="false">E167</f>
        <v>422.848092363871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17950</v>
      </c>
      <c r="B233" s="99" t="n">
        <f aca="false">E185</f>
        <v>17960</v>
      </c>
      <c r="C233" s="130"/>
      <c r="D233" s="130"/>
      <c r="E233" s="99" t="n">
        <f aca="false">J18*0.000006*100</f>
        <v>22.443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22.443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B68</f>
        <v>222.916666666667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2239.57666666666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1594.28523273547</v>
      </c>
      <c r="C254" s="194"/>
      <c r="D254" s="195" t="s">
        <v>213</v>
      </c>
      <c r="E254" s="195"/>
      <c r="F254" s="196" t="n">
        <f aca="false">F261+F267+F269+B270+B271</f>
        <v>267.5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1426.77523273547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B254</f>
        <v>1594.28523273547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267.5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1426.77523273547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72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50000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4500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320.052130927544</v>
      </c>
      <c r="F33" s="228"/>
      <c r="G33" s="228"/>
      <c r="H33" s="47"/>
      <c r="I33" s="2"/>
      <c r="J33" s="34" t="s">
        <v>352</v>
      </c>
      <c r="K33" s="48" t="n">
        <f aca="false">E21</f>
        <v>22458.33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270.052130927544</v>
      </c>
      <c r="B36" s="228" t="n">
        <f aca="false">IF(B26="YES", K42, "0.00")</f>
        <v>50</v>
      </c>
      <c r="C36" s="228"/>
      <c r="D36" s="228"/>
      <c r="E36" s="228" t="n">
        <f aca="false">K31</f>
        <v>50000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22458.33</v>
      </c>
      <c r="L39" s="2" t="n">
        <f aca="false">(L47*K46)+K44</f>
        <v>38117.8237527412</v>
      </c>
      <c r="N39" s="1" t="n">
        <f aca="false">K39-L39</f>
        <v>-15659.4937527412</v>
      </c>
      <c r="P39" s="208"/>
    </row>
    <row r="40" customFormat="false" ht="17.35" hidden="false" customHeight="false" outlineLevel="0" collapsed="false">
      <c r="A40" s="103" t="n">
        <f aca="false">E36*A45/100</f>
        <v>20000</v>
      </c>
      <c r="B40" s="103" t="n">
        <f aca="false">IF(B26="YES", K42, "0.00")</f>
        <v>50</v>
      </c>
      <c r="C40" s="103"/>
      <c r="D40" s="103"/>
      <c r="E40" s="179" t="n">
        <f aca="false">K32</f>
        <v>4500</v>
      </c>
      <c r="F40" s="183"/>
      <c r="G40" s="183"/>
      <c r="H40" s="47"/>
      <c r="J40" s="2" t="s">
        <v>106</v>
      </c>
      <c r="K40" s="2" t="n">
        <f aca="false">(A40)/1.2</f>
        <v>16666.6666666667</v>
      </c>
      <c r="L40" s="2" t="n">
        <f aca="false">K39-L39</f>
        <v>-15659.4937527412</v>
      </c>
      <c r="N40" s="1" t="n">
        <f aca="false">N38-N39</f>
        <v>18571.1737527412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50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13647.2071058677</v>
      </c>
      <c r="L44" s="2"/>
      <c r="P44" s="208"/>
    </row>
    <row r="45" customFormat="false" ht="17.35" hidden="false" customHeight="false" outlineLevel="0" collapsed="false">
      <c r="A45" s="449" t="n">
        <v>40</v>
      </c>
      <c r="B45" s="130"/>
      <c r="C45" s="62" t="n">
        <v>40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8811.1228941323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270.052130927544</v>
      </c>
      <c r="L47" s="2" t="n">
        <f aca="false">L49-K42</f>
        <v>750</v>
      </c>
      <c r="M47" s="1" t="n">
        <f aca="false">K47-L47</f>
        <v>-479.947869072456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320.052130927544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320.052130927544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6135.81367780551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243.75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270.052130927544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270.052130927544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320.052130927544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320.052130927544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29250</v>
      </c>
      <c r="C81" s="130"/>
      <c r="D81" s="130"/>
      <c r="E81" s="109"/>
      <c r="F81" s="25" t="s">
        <v>105</v>
      </c>
      <c r="G81" s="27" t="n">
        <f aca="false">G158</f>
        <v>29250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20000</v>
      </c>
      <c r="C82" s="130"/>
      <c r="D82" s="130"/>
      <c r="E82" s="109"/>
      <c r="F82" s="31" t="s">
        <v>106</v>
      </c>
      <c r="G82" s="33" t="n">
        <f aca="false">IF(A111 = "Yes", A40, 0)</f>
        <v>20000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20000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20000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130"/>
      <c r="D85" s="130"/>
      <c r="E85" s="109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15328.5565510641</v>
      </c>
      <c r="C86" s="130"/>
      <c r="D86" s="130"/>
      <c r="E86" s="109"/>
      <c r="F86" s="31" t="s">
        <v>110</v>
      </c>
      <c r="G86" s="33" t="n">
        <f aca="false">(G82/((1+G84)^(G85+1)))</f>
        <v>16465.3553732294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13529.3569525544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13529.3569525544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13921.4434489359</v>
      </c>
      <c r="C88" s="130"/>
      <c r="D88" s="130"/>
      <c r="E88" s="109"/>
      <c r="F88" s="31" t="s">
        <v>112</v>
      </c>
      <c r="G88" s="33" t="n">
        <f aca="false">G81-G86</f>
        <v>12784.6446267706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453.076868319917</v>
      </c>
      <c r="C89" s="130"/>
      <c r="D89" s="130"/>
      <c r="E89" s="109"/>
      <c r="F89" s="31" t="s">
        <v>113</v>
      </c>
      <c r="G89" s="33" t="n">
        <f aca="false">(G88/G87)</f>
        <v>401.979491623148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15857.6903911971</v>
      </c>
      <c r="C90" s="130"/>
      <c r="D90" s="130"/>
      <c r="E90" s="109"/>
      <c r="F90" s="31" t="s">
        <v>114</v>
      </c>
      <c r="G90" s="33" t="n">
        <f aca="false">((G89*(G85))+G77)</f>
        <v>14069.2822068102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15857.6903911971</v>
      </c>
      <c r="C92" s="130"/>
      <c r="D92" s="130"/>
      <c r="E92" s="109"/>
      <c r="F92" s="56" t="s">
        <v>116</v>
      </c>
      <c r="G92" s="65" t="n">
        <f aca="false">(G90+G91)</f>
        <v>14069.2822068102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IF(B26="YES",((E40/B85)*(1+A108)*1.2*(C45/100)),"0")</f>
        <v>74.0571428571429</v>
      </c>
      <c r="C94" s="130"/>
      <c r="D94" s="130"/>
      <c r="E94" s="109"/>
      <c r="F94" s="88" t="s">
        <v>117</v>
      </c>
      <c r="G94" s="259" t="n">
        <f aca="false">IF(B26="YES",((E40/B85)*(1+A108)*(C45/100)),"0")</f>
        <v>61.7142857142857</v>
      </c>
      <c r="H94" s="33"/>
      <c r="J94" s="88" t="s">
        <v>117</v>
      </c>
      <c r="K94" s="89" t="n">
        <f aca="false">((E40/K85)*(1+J108))*1.2</f>
        <v>195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154.285714285714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185.142857142857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453.076868319917</v>
      </c>
      <c r="C95" s="130"/>
      <c r="D95" s="130"/>
      <c r="E95" s="109"/>
      <c r="F95" s="91" t="s">
        <v>118</v>
      </c>
      <c r="G95" s="92" t="n">
        <f aca="false">G92/(G85)</f>
        <v>401.979491623148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527.13401117706</v>
      </c>
      <c r="C96" s="130"/>
      <c r="D96" s="130"/>
      <c r="E96" s="109"/>
      <c r="F96" s="93" t="s">
        <v>119</v>
      </c>
      <c r="G96" s="94" t="n">
        <f aca="false">G94+G95</f>
        <v>463.693777337434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22458.33</v>
      </c>
      <c r="C121" s="117" t="n">
        <v>24375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26949.996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26949.996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26949.996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22458.33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22458.33</v>
      </c>
      <c r="H135" s="150" t="n">
        <f aca="false">C125+E125+G125+H128</f>
        <v>24375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-22777.775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29250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453.076868319917</v>
      </c>
      <c r="B167" s="174" t="n">
        <f aca="false">B94</f>
        <v>74.0571428571429</v>
      </c>
      <c r="C167" s="171"/>
      <c r="D167" s="171"/>
      <c r="E167" s="174" t="n">
        <f aca="false">B96</f>
        <v>527.13401117706</v>
      </c>
      <c r="F167" s="23"/>
      <c r="G167" s="23" t="n">
        <f aca="false">ROUND(G95, 2)</f>
        <v>401.98</v>
      </c>
      <c r="H167" s="33"/>
      <c r="J167" s="173" t="e">
        <f aca="false">K95</f>
        <v>#VALUE!</v>
      </c>
      <c r="K167" s="174" t="n">
        <f aca="false">K94</f>
        <v>195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154.285714285714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185.142857142857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20000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20000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20000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29250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6607.6903911971</v>
      </c>
      <c r="B182" s="99" t="str">
        <f aca="false">B114</f>
        <v>239.99</v>
      </c>
      <c r="C182" s="99"/>
      <c r="D182" s="23"/>
      <c r="E182" s="99" t="n">
        <f aca="false">E179+A182+B182+A185</f>
        <v>36107.6803911971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239.99</v>
      </c>
      <c r="C185" s="99"/>
      <c r="D185" s="23"/>
      <c r="E185" s="99" t="n">
        <f aca="false">IF(A40=0,(E167+A185),(E170+A185))</f>
        <v>20010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20020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20010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20010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0)*100*1.2</f>
        <v>8.9772</v>
      </c>
      <c r="B188" s="99" t="n">
        <f aca="false">(G158*B67)/1.2</f>
        <v>243.75</v>
      </c>
      <c r="C188" s="130"/>
      <c r="D188" s="130"/>
      <c r="E188" s="99" t="n">
        <f aca="false">(E40*A108)*0.1*(C45/100)</f>
        <v>36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135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90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90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379.741666666667</v>
      </c>
      <c r="C191" s="130"/>
      <c r="D191" s="130"/>
      <c r="E191" s="99" t="n">
        <f aca="false">H148</f>
        <v>1916.67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527.13401117706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4819.3</v>
      </c>
      <c r="B201" s="183" t="n">
        <f aca="false">E179+A201+B182+A185</f>
        <v>34319.29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453.076868319917</v>
      </c>
      <c r="B212" s="174" t="n">
        <f aca="false">B167</f>
        <v>74.0571428571429</v>
      </c>
      <c r="C212" s="171"/>
      <c r="D212" s="171"/>
      <c r="E212" s="174" t="n">
        <f aca="false">E167</f>
        <v>527.13401117706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6607.6903911971</v>
      </c>
      <c r="B224" s="99" t="str">
        <f aca="false">B182</f>
        <v>239.99</v>
      </c>
      <c r="C224" s="99"/>
      <c r="D224" s="109"/>
      <c r="E224" s="99" t="n">
        <f aca="false">E182</f>
        <v>36107.6803911971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453.076868319917</v>
      </c>
      <c r="B230" s="99" t="n">
        <f aca="false">B167</f>
        <v>74.0571428571429</v>
      </c>
      <c r="C230" s="183"/>
      <c r="D230" s="183"/>
      <c r="E230" s="99" t="n">
        <f aca="false">E167</f>
        <v>527.13401117706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20000</v>
      </c>
      <c r="B233" s="99" t="n">
        <f aca="false">E185</f>
        <v>20010</v>
      </c>
      <c r="C233" s="130"/>
      <c r="D233" s="130"/>
      <c r="E233" s="99" t="n">
        <f aca="false">A188</f>
        <v>8.9772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B68</f>
        <v>243.75</v>
      </c>
      <c r="C240" s="130"/>
      <c r="D240" s="130"/>
      <c r="E240" s="99" t="n">
        <f aca="false">E188</f>
        <v>36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2296.41166666666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1798.39039119709</v>
      </c>
      <c r="C254" s="194"/>
      <c r="D254" s="195" t="s">
        <v>213</v>
      </c>
      <c r="E254" s="195"/>
      <c r="F254" s="196" t="n">
        <f aca="false">F261+F267+F269+B270+B271</f>
        <v>292.5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459.991666666667</v>
      </c>
      <c r="C255" s="194"/>
      <c r="D255" s="195" t="s">
        <v>215</v>
      </c>
      <c r="E255" s="195"/>
      <c r="F255" s="196" t="n">
        <f aca="false">(B254-F254)+B255</f>
        <v>1965.88205786376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B254</f>
        <v>1798.39039119709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292.5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360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1965.88205786376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35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 t="s">
        <v>4</v>
      </c>
      <c r="C3" s="266" t="n">
        <v>0</v>
      </c>
      <c r="D3" s="266" t="s">
        <v>4</v>
      </c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8" t="n">
        <v>0</v>
      </c>
      <c r="D4" s="268" t="n">
        <v>0</v>
      </c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17950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312.925143136561</v>
      </c>
      <c r="F33" s="228"/>
      <c r="G33" s="228"/>
      <c r="H33" s="47"/>
      <c r="I33" s="2"/>
      <c r="J33" s="34" t="s">
        <v>352</v>
      </c>
      <c r="K33" s="48" t="n">
        <f aca="false">E21</f>
        <v>22458.33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312.925143136561</v>
      </c>
      <c r="B36" s="228" t="str">
        <f aca="false">IF(B26="YES", K42, "0.00")</f>
        <v>0.00</v>
      </c>
      <c r="C36" s="228"/>
      <c r="D36" s="228"/>
      <c r="E36" s="228" t="n">
        <f aca="false">K31</f>
        <v>17950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22458.33</v>
      </c>
      <c r="L39" s="2" t="n">
        <f aca="false">(L47*K46)+K44</f>
        <v>38350.3594675147</v>
      </c>
      <c r="N39" s="1" t="n">
        <f aca="false">K39-L39</f>
        <v>-15892.0294675147</v>
      </c>
      <c r="P39" s="208"/>
    </row>
    <row r="40" customFormat="false" ht="17.35" hidden="false" customHeight="false" outlineLevel="0" collapsed="false">
      <c r="A40" s="103" t="n">
        <f aca="false">E36*A45/100</f>
        <v>17950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14958.3333333333</v>
      </c>
      <c r="L40" s="2" t="n">
        <f aca="false">K39-L39</f>
        <v>-15892.0294675147</v>
      </c>
      <c r="N40" s="1" t="n">
        <f aca="false">N38-N39</f>
        <v>18803.7094675147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12248.3683775163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10209.9616224837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312.925143136561</v>
      </c>
      <c r="L47" s="2" t="n">
        <f aca="false">L49-K42</f>
        <v>800</v>
      </c>
      <c r="M47" s="1" t="n">
        <f aca="false">K47-L47</f>
        <v>-487.074856863439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312.925143136561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312.925143136561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3534.37807981928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222.916666666667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312.925143136561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312.925143136561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312.925143136561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312.925143136561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26750</v>
      </c>
      <c r="C81" s="130"/>
      <c r="D81" s="130"/>
      <c r="E81" s="109"/>
      <c r="F81" s="25" t="s">
        <v>105</v>
      </c>
      <c r="G81" s="27" t="n">
        <f aca="false">G158</f>
        <v>26750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17950</v>
      </c>
      <c r="C82" s="130"/>
      <c r="D82" s="130"/>
      <c r="E82" s="109"/>
      <c r="F82" s="31" t="s">
        <v>106</v>
      </c>
      <c r="G82" s="33" t="n">
        <f aca="false">IF(A111 = "Yes", A40, 0)</f>
        <v>17950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17950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17950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130"/>
      <c r="D85" s="130"/>
      <c r="E85" s="109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13757.37950458</v>
      </c>
      <c r="C86" s="130"/>
      <c r="D86" s="130"/>
      <c r="E86" s="109"/>
      <c r="F86" s="31" t="s">
        <v>110</v>
      </c>
      <c r="G86" s="33" t="n">
        <f aca="false">(G82/((1+G84)^(G85+1)))</f>
        <v>14777.6564474734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12142.5978649176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12142.5978649176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12992.62049542</v>
      </c>
      <c r="C88" s="130"/>
      <c r="D88" s="130"/>
      <c r="E88" s="109"/>
      <c r="F88" s="31" t="s">
        <v>112</v>
      </c>
      <c r="G88" s="33" t="n">
        <f aca="false">G81-G86</f>
        <v>11972.3435525266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422.848092363871</v>
      </c>
      <c r="C89" s="130"/>
      <c r="D89" s="130"/>
      <c r="E89" s="109"/>
      <c r="F89" s="31" t="s">
        <v>113</v>
      </c>
      <c r="G89" s="33" t="n">
        <f aca="false">(G88/G87)</f>
        <v>376.43882292237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14799.6832327355</v>
      </c>
      <c r="C90" s="130"/>
      <c r="D90" s="130"/>
      <c r="E90" s="109"/>
      <c r="F90" s="31" t="s">
        <v>114</v>
      </c>
      <c r="G90" s="33" t="n">
        <f aca="false">((G89*(G85))+G77)</f>
        <v>13175.3588022829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14799.6832327355</v>
      </c>
      <c r="C92" s="130"/>
      <c r="D92" s="130"/>
      <c r="E92" s="109"/>
      <c r="F92" s="56" t="s">
        <v>116</v>
      </c>
      <c r="G92" s="65" t="n">
        <f aca="false">(G90+G91)</f>
        <v>13175.3588022829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422.848092363871</v>
      </c>
      <c r="C95" s="130"/>
      <c r="D95" s="130"/>
      <c r="E95" s="109"/>
      <c r="F95" s="91" t="s">
        <v>118</v>
      </c>
      <c r="G95" s="92" t="n">
        <f aca="false">G92/(G85)</f>
        <v>376.43882292237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422.848092363871</v>
      </c>
      <c r="C96" s="130"/>
      <c r="D96" s="130"/>
      <c r="E96" s="109"/>
      <c r="F96" s="93" t="s">
        <v>119</v>
      </c>
      <c r="G96" s="94" t="n">
        <f aca="false">G94+G95</f>
        <v>376.43882292237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22458.33</v>
      </c>
      <c r="C121" s="117" t="n">
        <v>24375</v>
      </c>
      <c r="D121" s="116" t="n"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str">
        <f aca="false">B3</f>
        <v> </v>
      </c>
      <c r="L121" s="117" t="n">
        <v>28629.17</v>
      </c>
      <c r="M121" s="116" t="str">
        <f aca="false">D3</f>
        <v> </v>
      </c>
      <c r="N121" s="117" t="str">
        <f aca="false">M121</f>
        <v> 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str">
        <f aca="false">B3</f>
        <v> </v>
      </c>
      <c r="U121" s="117" t="str">
        <f aca="false">T121</f>
        <v> </v>
      </c>
      <c r="V121" s="116" t="str">
        <f aca="false">D3</f>
        <v> </v>
      </c>
      <c r="W121" s="117" t="str">
        <f aca="false">V121</f>
        <v> 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str">
        <f aca="false">B3</f>
        <v> </v>
      </c>
      <c r="AD121" s="117" t="str">
        <f aca="false">AC121</f>
        <v> </v>
      </c>
      <c r="AE121" s="116" t="str">
        <f aca="false">D3</f>
        <v> </v>
      </c>
      <c r="AF121" s="117" t="str">
        <f aca="false">AE121</f>
        <v> 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26949.996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26949.996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26949.996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e">
        <f aca="false">(K121*K122)+K123</f>
        <v>#VALUE!</v>
      </c>
      <c r="L124" s="127" t="n">
        <f aca="false">(L121*L122)+L123</f>
        <v>0</v>
      </c>
      <c r="M124" s="126" t="e">
        <f aca="false">(M121*M122)+M123</f>
        <v>#VALUE!</v>
      </c>
      <c r="N124" s="127" t="e">
        <f aca="false">(N121*N122)+N123</f>
        <v>#VALUE!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e">
        <f aca="false">(T121*T122)+T123</f>
        <v>#VALUE!</v>
      </c>
      <c r="U124" s="127" t="e">
        <f aca="false">(U121*U122)+U123</f>
        <v>#VALUE!</v>
      </c>
      <c r="V124" s="126" t="e">
        <f aca="false">(V121*V122)+V123</f>
        <v>#VALUE!</v>
      </c>
      <c r="W124" s="127" t="e">
        <f aca="false">(W121*W122)+W123</f>
        <v>#VALUE!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e">
        <f aca="false">(AC121*AC122)+AC123</f>
        <v>#VALUE!</v>
      </c>
      <c r="AD124" s="127" t="e">
        <f aca="false">(AD121*AD122)+AD123</f>
        <v>#VALUE!</v>
      </c>
      <c r="AE124" s="126" t="e">
        <f aca="false">(AE121*AE122)+AE123</f>
        <v>#VALUE!</v>
      </c>
      <c r="AF124" s="127" t="e">
        <f aca="false">(AF121*AF122)+AF123</f>
        <v>#VALUE!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22458.33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e">
        <f aca="false">K121-K124</f>
        <v>#VALUE!</v>
      </c>
      <c r="L125" s="129" t="n">
        <f aca="false">L121-L124</f>
        <v>28629.17</v>
      </c>
      <c r="M125" s="128" t="e">
        <f aca="false">M121-M124</f>
        <v>#VALUE!</v>
      </c>
      <c r="N125" s="129" t="e">
        <f aca="false">N121-N124</f>
        <v>#VALUE!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e">
        <f aca="false">T121-T124</f>
        <v>#VALUE!</v>
      </c>
      <c r="U125" s="129" t="e">
        <f aca="false">U121-U124</f>
        <v>#VALUE!</v>
      </c>
      <c r="V125" s="128" t="e">
        <f aca="false">V121-V124</f>
        <v>#VALUE!</v>
      </c>
      <c r="W125" s="129" t="e">
        <f aca="false">W121-W124</f>
        <v>#VALUE!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e">
        <f aca="false">AC121-AC124</f>
        <v>#VALUE!</v>
      </c>
      <c r="AD125" s="129" t="e">
        <f aca="false">AD121-AD124</f>
        <v>#VALUE!</v>
      </c>
      <c r="AE125" s="128" t="e">
        <f aca="false">AE121-AE124</f>
        <v>#VALUE!</v>
      </c>
      <c r="AF125" s="129" t="e">
        <f aca="false">AF121-AF124</f>
        <v>#VALUE!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22458.33</v>
      </c>
      <c r="H135" s="150" t="n">
        <f aca="false">C125+E125+G125+H128</f>
        <v>24375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-20694.4416666667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26750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422.848092363871</v>
      </c>
      <c r="B167" s="174" t="str">
        <f aca="false">B94</f>
        <v>0</v>
      </c>
      <c r="C167" s="171"/>
      <c r="D167" s="171"/>
      <c r="E167" s="174" t="n">
        <f aca="false">B96</f>
        <v>422.848092363871</v>
      </c>
      <c r="F167" s="23"/>
      <c r="G167" s="23" t="n">
        <f aca="false">ROUND(G95, 2)</f>
        <v>376.44</v>
      </c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17950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17950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17950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17950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26750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5999.68323273547</v>
      </c>
      <c r="B182" s="99" t="str">
        <f aca="false">B114</f>
        <v>199.99</v>
      </c>
      <c r="C182" s="99"/>
      <c r="D182" s="23"/>
      <c r="E182" s="99" t="n">
        <f aca="false">E179+A182+(B182*1.2)+A185</f>
        <v>32999.6712327355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IF(A40=0,(E167+A185),(E170+A185))</f>
        <v>17960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17970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17960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17960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222.916666666667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322.906666666667</v>
      </c>
      <c r="C191" s="130"/>
      <c r="D191" s="130"/>
      <c r="E191" s="99" t="n">
        <f aca="false">H148</f>
        <v>1916.67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422.848092363871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4375.4</v>
      </c>
      <c r="B201" s="183" t="n">
        <f aca="false">E179+A201+(B182*1.2)+A185</f>
        <v>31375.388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422.848092363871</v>
      </c>
      <c r="B212" s="174" t="str">
        <f aca="false">B167</f>
        <v>0</v>
      </c>
      <c r="C212" s="171"/>
      <c r="D212" s="171"/>
      <c r="E212" s="174" t="n">
        <f aca="false">E167</f>
        <v>422.848092363871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26750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5999.68323273547</v>
      </c>
      <c r="B224" s="99" t="str">
        <f aca="false">B182</f>
        <v>199.99</v>
      </c>
      <c r="C224" s="99"/>
      <c r="D224" s="109"/>
      <c r="E224" s="99" t="n">
        <f aca="false">E182</f>
        <v>32999.6712327355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422.848092363871</v>
      </c>
      <c r="B230" s="99" t="str">
        <f aca="false">B167</f>
        <v>0</v>
      </c>
      <c r="C230" s="183"/>
      <c r="D230" s="183"/>
      <c r="E230" s="99" t="n">
        <f aca="false">E167</f>
        <v>422.848092363871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17950</v>
      </c>
      <c r="B233" s="99" t="n">
        <f aca="false">E185</f>
        <v>17960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B68</f>
        <v>222.916666666667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2239.57666666666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1634.28323273547</v>
      </c>
      <c r="C254" s="194"/>
      <c r="D254" s="195" t="s">
        <v>213</v>
      </c>
      <c r="E254" s="195"/>
      <c r="F254" s="196" t="n">
        <f aca="false">F261+F267+F269+B270+B271</f>
        <v>267.5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1466.77323273547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B254</f>
        <v>1634.28323273547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267.5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1466.77323273547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255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26949.996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1886.49972</v>
      </c>
      <c r="C64" s="211" t="n">
        <v>10000</v>
      </c>
      <c r="D64" s="290" t="n">
        <f aca="false">B64</f>
        <v>1886.49972</v>
      </c>
      <c r="E64" s="212"/>
      <c r="F64" s="63"/>
      <c r="G64" s="284" t="s">
        <v>90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374.05</v>
      </c>
      <c r="C67" s="211"/>
      <c r="D67" s="290"/>
      <c r="E67" s="212"/>
      <c r="F67" s="63"/>
      <c r="G67" s="284" t="s">
        <v>93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 t="n">
        <f aca="false">IF(G18&gt;40000, 325, 0)</f>
        <v>0</v>
      </c>
      <c r="D75" s="211"/>
      <c r="E75" s="212"/>
      <c r="F75" s="63"/>
      <c r="G75" s="294" t="s">
        <v>278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3213.16638666667</v>
      </c>
      <c r="C81" s="211"/>
      <c r="D81" s="211"/>
      <c r="E81" s="212"/>
      <c r="F81" s="63"/>
      <c r="G81" s="302" t="s">
        <v>102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267.763865555556</v>
      </c>
      <c r="C82" s="211"/>
      <c r="D82" s="211"/>
      <c r="E82" s="212"/>
      <c r="F82" s="63"/>
      <c r="G82" s="210" t="s">
        <v>103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11070.199664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78.1478394997983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11148.3475034998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72</v>
      </c>
      <c r="C89" s="211"/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929.028958624983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1024.59311617588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1001.02895862498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929.028958624983</v>
      </c>
      <c r="B128" s="320" t="n">
        <f aca="false">IF(A105="YES", B89, 0)</f>
        <v>72</v>
      </c>
      <c r="C128" s="325"/>
      <c r="D128" s="320" t="n">
        <f aca="false">B91</f>
        <v>1001.02895862498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1024.59311617588</v>
      </c>
      <c r="H130" s="174" t="n">
        <f aca="false">IF(G105="YES", H89*H57, 0)</f>
        <v>72</v>
      </c>
      <c r="I130" s="174"/>
      <c r="J130" s="333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8361.26062762485</v>
      </c>
      <c r="C131" s="316"/>
      <c r="D131" s="38" t="n">
        <f aca="false">IF(A105="YES", B89*B57, 0)</f>
        <v>648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9009.26062762485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929.028958624983</v>
      </c>
      <c r="B137" s="38" t="n">
        <f aca="false">IF(A105="YES", B89, 0)</f>
        <v>72</v>
      </c>
      <c r="C137" s="316"/>
      <c r="D137" s="38" t="n">
        <f aca="false">B91</f>
        <v>1001.02895862498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374.05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886.04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1001.02895862498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929.028958624983</v>
      </c>
      <c r="B171" s="354" t="n">
        <f aca="false">IF(A105="YES", B89, 0)</f>
        <v>72</v>
      </c>
      <c r="C171" s="357"/>
      <c r="D171" s="354" t="n">
        <f aca="false">B91</f>
        <v>1001.02895862498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8361.26062762485</v>
      </c>
      <c r="C174" s="352"/>
      <c r="D174" s="99" t="n">
        <f aca="false">IF(A105="YES", B89*B57, 0)</f>
        <v>648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9009.26062762485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929.028958624983</v>
      </c>
      <c r="B180" s="99" t="n">
        <f aca="false">IF(A105="YES", B89, 0)</f>
        <v>72</v>
      </c>
      <c r="C180" s="352"/>
      <c r="D180" s="99" t="n">
        <f aca="false">B91</f>
        <v>1001.02895862498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374.05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886.04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1886.49972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374.05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1972.43972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1886.49972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374.05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1972.43972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78.1478394997983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255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26949.996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1886.49972</v>
      </c>
      <c r="C64" s="211"/>
      <c r="D64" s="290" t="n">
        <f aca="false">B64</f>
        <v>1886.49972</v>
      </c>
      <c r="E64" s="212"/>
      <c r="F64" s="63"/>
      <c r="G64" s="284" t="s">
        <v>90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374.05</v>
      </c>
      <c r="C67" s="211"/>
      <c r="D67" s="290"/>
      <c r="E67" s="212"/>
      <c r="F67" s="63"/>
      <c r="G67" s="284" t="s">
        <v>93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3213.16638666667</v>
      </c>
      <c r="C81" s="211"/>
      <c r="D81" s="211"/>
      <c r="E81" s="212"/>
      <c r="F81" s="63"/>
      <c r="G81" s="302" t="s">
        <v>102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267.763865555556</v>
      </c>
      <c r="C82" s="211"/>
      <c r="D82" s="211"/>
      <c r="E82" s="212"/>
      <c r="F82" s="63"/>
      <c r="G82" s="210" t="s">
        <v>103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9225.16638666667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78.1478394997983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9303.31422616647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775.276185513872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1024.59311617588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835.276185513872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-3760.012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775.276185513872</v>
      </c>
      <c r="B128" s="320" t="n">
        <f aca="false">IF(A105="YES", B89, 0)</f>
        <v>60</v>
      </c>
      <c r="C128" s="325"/>
      <c r="D128" s="320" t="n">
        <f aca="false">B91</f>
        <v>835.276185513872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1024.59311617588</v>
      </c>
      <c r="H130" s="174" t="n">
        <f aca="false">IF(G105="YES", H89*H57, 0)</f>
        <v>72</v>
      </c>
      <c r="I130" s="174"/>
      <c r="J130" s="333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6977.48566962485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7517.48566962485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775.276185513872</v>
      </c>
      <c r="B137" s="38" t="n">
        <f aca="false">IF(A105="YES", B89, 0)</f>
        <v>60</v>
      </c>
      <c r="C137" s="316"/>
      <c r="D137" s="38" t="n">
        <f aca="false">B91</f>
        <v>835.276185513872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374.05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886.04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835.276185513872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775.276185513872</v>
      </c>
      <c r="B171" s="354" t="n">
        <f aca="false">IF(A105="YES", B89, 0)</f>
        <v>60</v>
      </c>
      <c r="C171" s="357"/>
      <c r="D171" s="354" t="n">
        <f aca="false">B91</f>
        <v>835.276185513872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6977.48566962485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7517.48566962485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775.276185513872</v>
      </c>
      <c r="B180" s="99" t="n">
        <f aca="false">IF(A105="YES", B89, 0)</f>
        <v>60</v>
      </c>
      <c r="C180" s="352"/>
      <c r="D180" s="99" t="n">
        <f aca="false">B91</f>
        <v>835.276185513872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374.05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886.04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H29</f>
        <v>12</v>
      </c>
      <c r="C203" s="320" t="s">
        <v>212</v>
      </c>
      <c r="D203" s="369" t="n">
        <f aca="false">D64</f>
        <v>1886.49972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374.05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1972.43972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1886.49972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374.05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1972.43972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78.1478394997983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36</v>
      </c>
      <c r="I29" s="386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9" t="n">
        <f aca="false">H48</f>
        <v>260.031269124388</v>
      </c>
      <c r="E33" s="212"/>
      <c r="F33" s="63"/>
      <c r="G33" s="215" t="s">
        <v>352</v>
      </c>
      <c r="H33" s="460" t="n">
        <f aca="false">E21-E11</f>
        <v>20500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210.031269124388</v>
      </c>
      <c r="B36" s="99" t="n">
        <f aca="false">IF(B26="YES", H42, "")</f>
        <v>50</v>
      </c>
      <c r="C36" s="217"/>
      <c r="D36" s="181" t="n">
        <f aca="false">H31</f>
        <v>66666.6666666667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20500</v>
      </c>
      <c r="I39" s="234" t="n">
        <f aca="false">(I48*H46)+H44</f>
        <v>57694.31707024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20000</v>
      </c>
      <c r="B40" s="103" t="n">
        <f aca="false">IF(B26="YES",H42,"0")</f>
        <v>50</v>
      </c>
      <c r="C40" s="103"/>
      <c r="D40" s="181" t="n">
        <f aca="false">I32</f>
        <v>6000</v>
      </c>
      <c r="E40" s="212"/>
      <c r="F40" s="63"/>
      <c r="G40" s="63" t="s">
        <v>106</v>
      </c>
      <c r="H40" s="234" t="n">
        <f aca="false">A40/1.2</f>
        <v>16666.6666666667</v>
      </c>
      <c r="I40" s="234" t="n">
        <f aca="false">H39-I39</f>
        <v>-37194.31707024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50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13647.2071058677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1"/>
      <c r="C45" s="463" t="n">
        <v>30</v>
      </c>
      <c r="D45" s="463"/>
      <c r="E45" s="212"/>
      <c r="F45" s="63"/>
      <c r="G45" s="63" t="s">
        <v>373</v>
      </c>
      <c r="H45" s="234" t="n">
        <f aca="false">(H39-H44)</f>
        <v>6852.79289413229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210.031269124388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260.031269124388</v>
      </c>
      <c r="I48" s="234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260.031269124388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375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2583</v>
      </c>
      <c r="C64" s="465" t="n">
        <v>10000</v>
      </c>
      <c r="D64" s="290" t="n">
        <f aca="false">B64</f>
        <v>2583</v>
      </c>
      <c r="E64" s="466" t="n">
        <f aca="false">D64/(B58+B57)</f>
        <v>71.75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748.08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472" t="n">
        <f aca="false">B73+B71</f>
        <v>380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0</v>
      </c>
      <c r="C77" s="473"/>
      <c r="D77" s="290" t="n">
        <f aca="false">B77</f>
        <v>0</v>
      </c>
      <c r="E77" s="466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473"/>
      <c r="D78" s="290" t="n">
        <f aca="false">B78</f>
        <v>0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21.6666666666667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3363</v>
      </c>
      <c r="C81" s="473"/>
      <c r="D81" s="474"/>
      <c r="E81" s="466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93.4166666666667</v>
      </c>
      <c r="C82" s="473"/>
      <c r="D82" s="211"/>
      <c r="E82" s="466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210.031269124388</v>
      </c>
      <c r="C83" s="473"/>
      <c r="D83" s="211"/>
      <c r="E83" s="466" t="n">
        <f aca="false">B83+E80+E77+E64</f>
        <v>303.447935791055</v>
      </c>
      <c r="F83" s="63"/>
      <c r="G83" s="304" t="s">
        <v>104</v>
      </c>
      <c r="H83" s="305" t="n">
        <f aca="false">H47</f>
        <v>210.031269124388</v>
      </c>
      <c r="I83" s="211"/>
      <c r="J83" s="211"/>
      <c r="K83" s="212"/>
      <c r="L83" s="63"/>
      <c r="M83" s="304" t="s">
        <v>104</v>
      </c>
      <c r="N83" s="305" t="n">
        <f aca="false">H47</f>
        <v>210.031269124388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10924.125688478</v>
      </c>
      <c r="C85" s="473"/>
      <c r="D85" s="473"/>
      <c r="E85" s="466" t="n">
        <f aca="false">B85/(B58+B57)</f>
        <v>303.447935791055</v>
      </c>
      <c r="F85" s="63"/>
      <c r="G85" s="287" t="s">
        <v>114</v>
      </c>
      <c r="H85" s="127" t="n">
        <f aca="false">((H83*H29)+H81)*1.2</f>
        <v>10352.2508261736</v>
      </c>
      <c r="I85" s="211"/>
      <c r="J85" s="211"/>
      <c r="K85" s="212"/>
      <c r="L85" s="63"/>
      <c r="M85" s="287" t="s">
        <v>114</v>
      </c>
      <c r="N85" s="127" t="n">
        <f aca="false">((N83*H29)+N81)</f>
        <v>8283.12568847797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92.5399917136093</v>
      </c>
      <c r="C86" s="473" t="s">
        <v>227</v>
      </c>
      <c r="D86" s="211"/>
      <c r="E86" s="466" t="n">
        <f aca="false">B86/(B58+B57)</f>
        <v>2.57055532537803</v>
      </c>
      <c r="F86" s="63"/>
      <c r="G86" s="210" t="s">
        <v>115</v>
      </c>
      <c r="H86" s="299" t="n">
        <f aca="false">((((H83*H29)+H81))/(1-H70))*H70</f>
        <v>73.0796246301078</v>
      </c>
      <c r="I86" s="211"/>
      <c r="J86" s="211"/>
      <c r="K86" s="212"/>
      <c r="L86" s="63"/>
      <c r="M86" s="210" t="s">
        <v>115</v>
      </c>
      <c r="N86" s="299" t="n">
        <f aca="false">(N85/(1-N70))*N70</f>
        <v>70.1676641621772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11016.6656801916</v>
      </c>
      <c r="C87" s="473"/>
      <c r="D87" s="475"/>
      <c r="E87" s="466" t="n">
        <f aca="false">E86+E85</f>
        <v>306.018491116433</v>
      </c>
      <c r="F87" s="63"/>
      <c r="G87" s="284" t="s">
        <v>116</v>
      </c>
      <c r="H87" s="129" t="n">
        <f aca="false">IF(H110="YES",((H85+H86)-K114),(H85+H86))</f>
        <v>10425.3304508037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8353.29335264015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65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210.731707317073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175.609756097561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306.018491116433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254.276352458626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203.738862259516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371.018491116433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465.008059775699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379.348618357077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376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377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0</v>
      </c>
      <c r="C102" s="103"/>
      <c r="D102" s="103" t="n">
        <v>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254.276352458626</v>
      </c>
      <c r="H127" s="174" t="n">
        <f aca="false">IF(G105="YES", H89*H57, 0)</f>
        <v>1264.39024390244</v>
      </c>
      <c r="I127" s="174"/>
      <c r="J127" s="333" t="n">
        <f aca="false">H91</f>
        <v>465.008059775699</v>
      </c>
      <c r="K127" s="212"/>
      <c r="L127" s="63"/>
      <c r="M127" s="332" t="n">
        <f aca="false">N90</f>
        <v>203.738862259516</v>
      </c>
      <c r="N127" s="174" t="n">
        <f aca="false">IF(M105="YES", N89*N57, 0)</f>
        <v>1053.65853658537</v>
      </c>
      <c r="O127" s="174"/>
      <c r="P127" s="174" t="n">
        <f aca="false">N91</f>
        <v>379.348618357077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306.018491116433</v>
      </c>
      <c r="B128" s="320" t="n">
        <f aca="false">IF(A105="YES", B89, 0)</f>
        <v>65</v>
      </c>
      <c r="C128" s="324"/>
      <c r="D128" s="320" t="n">
        <f aca="false">B91</f>
        <v>371.018491116433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306.018491116433</v>
      </c>
      <c r="C131" s="316"/>
      <c r="D131" s="38" t="n">
        <f aca="false">IF(A105="YES", B89*B57, 0)</f>
        <v>65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1525.65811475176</v>
      </c>
      <c r="H133" s="99" t="n">
        <f aca="false">IF(G105="YES", H89*H57, 0)</f>
        <v>1264.39024390244</v>
      </c>
      <c r="I133" s="217"/>
      <c r="J133" s="181" t="n">
        <f aca="false">H91*H57</f>
        <v>2790.0483586542</v>
      </c>
      <c r="K133" s="212"/>
      <c r="L133" s="63"/>
      <c r="M133" s="182" t="n">
        <f aca="false">N90*N57</f>
        <v>1222.43317355709</v>
      </c>
      <c r="N133" s="99" t="n">
        <f aca="false">IF(M105="YES", N89*N57, 0)</f>
        <v>1053.65853658537</v>
      </c>
      <c r="O133" s="217"/>
      <c r="P133" s="181" t="n">
        <f aca="false">N91*N57</f>
        <v>2276.09171014246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371.018491116433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306.018491116433</v>
      </c>
      <c r="B137" s="38" t="n">
        <f aca="false">IF(A105="YES", B89, 0)</f>
        <v>65</v>
      </c>
      <c r="C137" s="316"/>
      <c r="D137" s="38" t="n">
        <f aca="false">B91</f>
        <v>371.018491116433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36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36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748.08</v>
      </c>
      <c r="B148" s="99" t="n">
        <f aca="false">B102</f>
        <v>0</v>
      </c>
      <c r="C148" s="38"/>
      <c r="D148" s="38" t="n">
        <f aca="false">IF(A105="YES", (B40*B105)*B125, 0)*0.1</f>
        <v>54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902.07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465.008059775699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379.348618357077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371.018491116433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306.018491116433</v>
      </c>
      <c r="B177" s="354" t="n">
        <f aca="false">IF(A105="YES", B89, 0)</f>
        <v>65</v>
      </c>
      <c r="C177" s="356"/>
      <c r="D177" s="354" t="n">
        <f aca="false">B91</f>
        <v>371.018491116433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306.018491116433</v>
      </c>
      <c r="C180" s="352"/>
      <c r="D180" s="99" t="n">
        <f aca="false">IF(A105="YES", B89*B57, 0)</f>
        <v>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371.018491116433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306.018491116433</v>
      </c>
      <c r="B186" s="99" t="n">
        <f aca="false">IF(A105="YES", B89, 0)</f>
        <v>65</v>
      </c>
      <c r="C186" s="352"/>
      <c r="D186" s="99" t="n">
        <f aca="false">B91</f>
        <v>371.018491116433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748.08</v>
      </c>
      <c r="B197" s="99" t="n">
        <f aca="false">B102</f>
        <v>0</v>
      </c>
      <c r="C197" s="99"/>
      <c r="D197" s="99" t="n">
        <f aca="false">IF(A105="YES", (B40*B105)*B125, 0)*0.1</f>
        <v>54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902.07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2583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748.08</v>
      </c>
      <c r="C211" s="319" t="s">
        <v>214</v>
      </c>
      <c r="D211" s="369" t="n">
        <f aca="false">B225+E221+B221+B223</f>
        <v>639.99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2474.91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2583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748.08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2474.91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540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92.5399917136093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35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9" t="n">
        <f aca="false">H48</f>
        <v>706.143059870511</v>
      </c>
      <c r="E33" s="212"/>
      <c r="F33" s="63"/>
      <c r="G33" s="215" t="s">
        <v>352</v>
      </c>
      <c r="H33" s="460" t="n">
        <f aca="false">E21-E11</f>
        <v>22458.33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706.143059870511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22458.33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0</v>
      </c>
      <c r="I40" s="234" t="n">
        <f aca="false">H39-I39</f>
        <v>-22067.5795313712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1"/>
      <c r="C45" s="463" t="n">
        <v>100</v>
      </c>
      <c r="D45" s="463"/>
      <c r="E45" s="212"/>
      <c r="F45" s="63"/>
      <c r="G45" s="63" t="s">
        <v>373</v>
      </c>
      <c r="H45" s="234" t="n">
        <f aca="false">(H39-H44)</f>
        <v>22458.33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706.143059870511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706.143059870511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706.143059870511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375</v>
      </c>
      <c r="B60" s="211" t="n">
        <f aca="false">E19</f>
        <v>26949.996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2790.4475025</v>
      </c>
      <c r="C64" s="465" t="n">
        <v>10000</v>
      </c>
      <c r="D64" s="290" t="n">
        <f aca="false">B64</f>
        <v>2790.4475025</v>
      </c>
      <c r="E64" s="466" t="n">
        <f aca="false">D64/(B58+B57)</f>
        <v>79.7270715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0.0195833333333333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732.495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175</v>
      </c>
      <c r="C73" s="211"/>
      <c r="D73" s="472" t="n">
        <f aca="false">B73+B71</f>
        <v>375</v>
      </c>
      <c r="E73" s="212" t="s">
        <v>224</v>
      </c>
      <c r="F73" s="63"/>
      <c r="G73" s="284" t="s">
        <v>99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99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495</v>
      </c>
      <c r="C76" s="211"/>
      <c r="D76" s="290" t="n">
        <f aca="false">B76</f>
        <v>495</v>
      </c>
      <c r="E76" s="212"/>
      <c r="F76" s="63"/>
      <c r="G76" s="284" t="s">
        <v>279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3"/>
      <c r="D77" s="290" t="n">
        <f aca="false">B77</f>
        <v>444.444444444444</v>
      </c>
      <c r="E77" s="466" t="n">
        <f aca="false">D77/(B58+B57)</f>
        <v>12.6984126984127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3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36.2857142857143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4727.11416916667</v>
      </c>
      <c r="C81" s="473"/>
      <c r="D81" s="474"/>
      <c r="E81" s="466"/>
      <c r="F81" s="63"/>
      <c r="G81" s="302" t="s">
        <v>102</v>
      </c>
      <c r="H81" s="303" t="n">
        <f aca="false">SUM(J64:J80)</f>
        <v>1047.5</v>
      </c>
      <c r="I81" s="211"/>
      <c r="J81" s="211"/>
      <c r="K81" s="212"/>
      <c r="L81" s="63"/>
      <c r="M81" s="302" t="s">
        <v>102</v>
      </c>
      <c r="N81" s="30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135.060404833333</v>
      </c>
      <c r="C82" s="473"/>
      <c r="D82" s="211"/>
      <c r="E82" s="466"/>
      <c r="F82" s="63"/>
      <c r="G82" s="210" t="s">
        <v>103</v>
      </c>
      <c r="H82" s="299" t="n">
        <f aca="false">H81/H29</f>
        <v>29.9285714285714</v>
      </c>
      <c r="I82" s="211"/>
      <c r="J82" s="211"/>
      <c r="K82" s="212"/>
      <c r="L82" s="63"/>
      <c r="M82" s="210" t="s">
        <v>103</v>
      </c>
      <c r="N82" s="29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706.143059870511</v>
      </c>
      <c r="C83" s="473"/>
      <c r="D83" s="211"/>
      <c r="E83" s="466" t="n">
        <f aca="false">B83+E80+E77+E64</f>
        <v>834.854258354638</v>
      </c>
      <c r="F83" s="63"/>
      <c r="G83" s="304" t="s">
        <v>104</v>
      </c>
      <c r="H83" s="305" t="n">
        <f aca="false">H47</f>
        <v>706.143059870511</v>
      </c>
      <c r="I83" s="211"/>
      <c r="J83" s="211"/>
      <c r="K83" s="212"/>
      <c r="L83" s="63"/>
      <c r="M83" s="304" t="s">
        <v>104</v>
      </c>
      <c r="N83" s="305" t="n">
        <f aca="false">H47</f>
        <v>706.143059870511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35330.5455175615</v>
      </c>
      <c r="C85" s="473"/>
      <c r="D85" s="473"/>
      <c r="E85" s="466" t="n">
        <f aca="false">B85/(B58+B57)</f>
        <v>1009.44415764461</v>
      </c>
      <c r="F85" s="63"/>
      <c r="G85" s="287" t="s">
        <v>114</v>
      </c>
      <c r="H85" s="127" t="n">
        <f aca="false">((H83*H29)+H81)*1.2</f>
        <v>30915.0085145615</v>
      </c>
      <c r="I85" s="211"/>
      <c r="J85" s="211"/>
      <c r="K85" s="212"/>
      <c r="L85" s="63"/>
      <c r="M85" s="287" t="s">
        <v>114</v>
      </c>
      <c r="N85" s="127" t="n">
        <f aca="false">((N83*H29)+N81)</f>
        <v>25432.5070954679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249.40885298803</v>
      </c>
      <c r="C86" s="473" t="s">
        <v>227</v>
      </c>
      <c r="D86" s="211"/>
      <c r="E86" s="466" t="n">
        <f aca="false">B86/(B58+B57)</f>
        <v>7.12596722822942</v>
      </c>
      <c r="F86" s="63"/>
      <c r="G86" s="210" t="s">
        <v>115</v>
      </c>
      <c r="H86" s="299" t="n">
        <f aca="false">((((H83*H29)+H81))/(1-H70))*H70</f>
        <v>218.238260994282</v>
      </c>
      <c r="I86" s="211"/>
      <c r="J86" s="211"/>
      <c r="K86" s="212"/>
      <c r="L86" s="63"/>
      <c r="M86" s="210" t="s">
        <v>115</v>
      </c>
      <c r="N86" s="299" t="n">
        <f aca="false">(N85/(1-N70))*N70</f>
        <v>215.442778945069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35579.9543705495</v>
      </c>
      <c r="C87" s="473"/>
      <c r="D87" s="475"/>
      <c r="E87" s="466" t="n">
        <f aca="false">E86+E85</f>
        <v>1016.57012487284</v>
      </c>
      <c r="F87" s="63"/>
      <c r="G87" s="284" t="s">
        <v>116</v>
      </c>
      <c r="H87" s="129" t="n">
        <f aca="false">IF(H110="YES",((H85+H86)-K114),(H85+H86))</f>
        <v>31133.2467755557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25647.949874413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(I32+(I32*B105))/(B57+B58))*(C45/100)*1.2</f>
        <v>0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1016.57012487284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778.331169388894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641.198746860324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1016.57012487284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778.331169388894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641.198746860324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376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377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((E118)+E117)-E114</f>
        <v>-2760.01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778.331169388894</v>
      </c>
      <c r="H127" s="174" t="n">
        <f aca="false">IF(G105="YES", H89*H57, 0)</f>
        <v>0</v>
      </c>
      <c r="I127" s="174"/>
      <c r="J127" s="333" t="n">
        <f aca="false">H91</f>
        <v>778.331169388894</v>
      </c>
      <c r="K127" s="212"/>
      <c r="L127" s="63"/>
      <c r="M127" s="332" t="n">
        <f aca="false">N90</f>
        <v>641.198746860324</v>
      </c>
      <c r="N127" s="174" t="n">
        <f aca="false">IF(M105="YES", N89*N57, 0)</f>
        <v>0</v>
      </c>
      <c r="O127" s="174"/>
      <c r="P127" s="174" t="n">
        <f aca="false">N91</f>
        <v>641.198746860324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1016.57012487284</v>
      </c>
      <c r="B128" s="320" t="n">
        <f aca="false">IF(A105="YES", B89, 0)</f>
        <v>0</v>
      </c>
      <c r="C128" s="324"/>
      <c r="D128" s="320" t="n">
        <f aca="false">B91</f>
        <v>1016.57012487284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1016.57012487284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4669.98701633336</v>
      </c>
      <c r="H133" s="99" t="n">
        <f aca="false">IF(G105="YES", H89*H57, 0)</f>
        <v>0</v>
      </c>
      <c r="I133" s="217"/>
      <c r="J133" s="181" t="n">
        <f aca="false">H91*H57</f>
        <v>4669.98701633336</v>
      </c>
      <c r="K133" s="212"/>
      <c r="L133" s="63"/>
      <c r="M133" s="182" t="n">
        <f aca="false">N90*N57</f>
        <v>3847.19248116194</v>
      </c>
      <c r="N133" s="99" t="n">
        <f aca="false">IF(M105="YES", N89*N57, 0)</f>
        <v>0</v>
      </c>
      <c r="O133" s="217"/>
      <c r="P133" s="181" t="n">
        <f aca="false">N91*N57</f>
        <v>3847.19248116194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1016.57012487284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1016.57012487284</v>
      </c>
      <c r="B137" s="38" t="n">
        <f aca="false">IF(A105="YES", B89, 0)</f>
        <v>0</v>
      </c>
      <c r="C137" s="316"/>
      <c r="D137" s="38" t="n">
        <f aca="false">B91</f>
        <v>1016.57012487284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732.495</v>
      </c>
      <c r="B148" s="99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1272.485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778.331169388894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641.198746860324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1016.57012487284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1016.57012487284</v>
      </c>
      <c r="B177" s="354" t="n">
        <f aca="false">IF(A105="YES", B89, 0)</f>
        <v>0</v>
      </c>
      <c r="C177" s="356"/>
      <c r="D177" s="354" t="n">
        <f aca="false">B91</f>
        <v>1016.57012487284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1016.57012487284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1016.57012487284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1016.57012487284</v>
      </c>
      <c r="B186" s="99" t="n">
        <f aca="false">IF(A105="YES", B89, 0)</f>
        <v>0</v>
      </c>
      <c r="C186" s="352"/>
      <c r="D186" s="99" t="n">
        <f aca="false">B91</f>
        <v>1016.57012487284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732.495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139.99</v>
      </c>
      <c r="B200" s="99" t="n">
        <f aca="false">(A148+B148+D148+A151)*(A143/B64)</f>
        <v>0</v>
      </c>
      <c r="C200" s="99"/>
      <c r="D200" s="99" t="n">
        <f aca="false">(A148+B148+D148+A151)-B151</f>
        <v>1272.485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2790.4475025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732.495</v>
      </c>
      <c r="C211" s="319" t="s">
        <v>214</v>
      </c>
      <c r="D211" s="369" t="n">
        <f aca="false">B225+E221+B221+B223</f>
        <v>379.99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2437.9425025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2790.4475025</v>
      </c>
      <c r="C217" s="374" t="s">
        <v>218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732.495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139.99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2437.9425025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249.40885298803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2" t="s">
        <v>143</v>
      </c>
      <c r="C2" s="482" t="s">
        <v>144</v>
      </c>
      <c r="D2" s="482" t="s">
        <v>145</v>
      </c>
      <c r="E2" s="483" t="s">
        <v>146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149</v>
      </c>
      <c r="B3" s="484" t="n">
        <v>46854.17</v>
      </c>
      <c r="C3" s="484" t="n">
        <v>0</v>
      </c>
      <c r="D3" s="484" t="n">
        <v>833.33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150</v>
      </c>
      <c r="B4" s="485" t="n">
        <v>0</v>
      </c>
      <c r="C4" s="485" t="n">
        <v>0</v>
      </c>
      <c r="D4" s="485" t="n">
        <v>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151</v>
      </c>
      <c r="B5" s="484" t="n">
        <v>0</v>
      </c>
      <c r="C5" s="484" t="n">
        <v>0</v>
      </c>
      <c r="D5" s="484" t="n">
        <v>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640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1" t="n">
        <v>550</v>
      </c>
      <c r="F10" s="387"/>
      <c r="G10" s="387"/>
      <c r="H10" s="387"/>
      <c r="I10" s="16" t="s">
        <v>1</v>
      </c>
      <c r="J10" s="14" t="n">
        <f aca="false">E15-E11-J8</f>
        <v>48237.5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1" t="n">
        <v>585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1" t="n">
        <v>55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3" t="n">
        <f aca="false">(E9+E10+E13+E14+E11)-E12</f>
        <v>58525</v>
      </c>
      <c r="F15" s="387"/>
      <c r="G15" s="17" t="n">
        <f aca="false">E15</f>
        <v>58525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1" t="n">
        <v>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4" t="n">
        <v>0</v>
      </c>
      <c r="F18" s="387"/>
      <c r="G18" s="17" t="n">
        <f aca="false">(B3+C3+D3+E3+E10)*1.2</f>
        <v>57885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4" t="n">
        <v>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6" t="n">
        <f aca="false">E15-((E18*1.2)+(E19*1.2)+(E20*1.2)+(E16*1.2))</f>
        <v>58525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45120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48877.5</v>
      </c>
      <c r="B35" s="219" t="s">
        <v>45</v>
      </c>
      <c r="C35" s="219"/>
      <c r="D35" s="278" t="n">
        <f aca="false">A35-B35</f>
        <v>47877.5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E11</f>
        <v>9647.5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720.625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-170.625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-167.958333333333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-217.958333333333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-167.958333333333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-167.958333333333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57885</v>
      </c>
      <c r="C67" s="316"/>
      <c r="D67" s="316"/>
      <c r="E67" s="317"/>
      <c r="F67" s="387"/>
      <c r="G67" s="315" t="s">
        <v>14</v>
      </c>
      <c r="H67" s="32" t="n">
        <f aca="false">G18</f>
        <v>57885</v>
      </c>
      <c r="I67" s="316"/>
      <c r="J67" s="316"/>
      <c r="K67" s="317"/>
      <c r="L67" s="387"/>
      <c r="M67" s="315" t="s">
        <v>14</v>
      </c>
      <c r="N67" s="32" t="n">
        <f aca="false">G18</f>
        <v>57885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275</v>
      </c>
      <c r="B68" s="399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276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90</v>
      </c>
      <c r="B70" s="65" t="n">
        <f aca="false">B67*B69</f>
        <v>4051.95</v>
      </c>
      <c r="C70" s="316" t="n">
        <v>10000</v>
      </c>
      <c r="D70" s="32" t="n">
        <f aca="false">B70-A149</f>
        <v>4051.95</v>
      </c>
      <c r="E70" s="317" t="n">
        <f aca="false">D70/12</f>
        <v>337.6625</v>
      </c>
      <c r="F70" s="387"/>
      <c r="G70" s="365" t="s">
        <v>90</v>
      </c>
      <c r="H70" s="65" t="n">
        <f aca="false">H67*H69</f>
        <v>4051.95</v>
      </c>
      <c r="I70" s="316"/>
      <c r="J70" s="32" t="n">
        <f aca="false">H70-G151</f>
        <v>4051.95</v>
      </c>
      <c r="K70" s="317"/>
      <c r="L70" s="387"/>
      <c r="M70" s="365" t="s">
        <v>90</v>
      </c>
      <c r="N70" s="65" t="n">
        <f aca="false">N67*N69</f>
        <v>4051.95</v>
      </c>
      <c r="O70" s="316"/>
      <c r="P70" s="32" t="n">
        <f aca="false">N70-M151</f>
        <v>4051.95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91</v>
      </c>
      <c r="B71" s="399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92</v>
      </c>
      <c r="B72" s="375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93</v>
      </c>
      <c r="B73" s="65" t="n">
        <f aca="false">B67*B72</f>
        <v>578.85</v>
      </c>
      <c r="C73" s="316"/>
      <c r="D73" s="32"/>
      <c r="E73" s="317"/>
      <c r="F73" s="387"/>
      <c r="G73" s="365" t="s">
        <v>93</v>
      </c>
      <c r="H73" s="65" t="n">
        <f aca="false">H67*H72</f>
        <v>289.425</v>
      </c>
      <c r="I73" s="316"/>
      <c r="J73" s="32"/>
      <c r="K73" s="317"/>
      <c r="L73" s="387"/>
      <c r="M73" s="365" t="s">
        <v>93</v>
      </c>
      <c r="N73" s="65" t="n">
        <f aca="false">N67*N72</f>
        <v>289.425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165</v>
      </c>
      <c r="C80" s="316"/>
      <c r="D80" s="316"/>
      <c r="E80" s="403" t="n">
        <f aca="false">E79+D82</f>
        <v>703.333333333333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355</v>
      </c>
      <c r="C81" s="316"/>
      <c r="D81" s="316"/>
      <c r="E81" s="317" t="n">
        <f aca="false">E80/12</f>
        <v>58.6111111111111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((B80+B81)/12)*(H29-11)</f>
        <v>43.3333333333333</v>
      </c>
      <c r="C82" s="316"/>
      <c r="D82" s="32" t="n">
        <f aca="false">IF(A50="YES", 0, B82)</f>
        <v>43.3333333333333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5421.95</v>
      </c>
      <c r="C87" s="316"/>
      <c r="D87" s="316"/>
      <c r="E87" s="317"/>
      <c r="F87" s="387"/>
      <c r="G87" s="411" t="s">
        <v>102</v>
      </c>
      <c r="H87" s="412" t="n">
        <f aca="false">SUM(J70:J86)</f>
        <v>7205.53333333333</v>
      </c>
      <c r="I87" s="316"/>
      <c r="J87" s="316"/>
      <c r="K87" s="317"/>
      <c r="L87" s="387"/>
      <c r="M87" s="411" t="s">
        <v>102</v>
      </c>
      <c r="N87" s="412" t="n">
        <f aca="false">SUM(P70:P86)</f>
        <v>7165.95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451.829166666667</v>
      </c>
      <c r="C88" s="316"/>
      <c r="D88" s="316"/>
      <c r="E88" s="317"/>
      <c r="F88" s="387"/>
      <c r="G88" s="315" t="s">
        <v>103</v>
      </c>
      <c r="H88" s="33" t="n">
        <f aca="false">H87/H29</f>
        <v>600.461111111111</v>
      </c>
      <c r="I88" s="316"/>
      <c r="J88" s="316"/>
      <c r="K88" s="317"/>
      <c r="L88" s="387"/>
      <c r="M88" s="315" t="s">
        <v>103</v>
      </c>
      <c r="N88" s="33" t="n">
        <f aca="false">N87/H29</f>
        <v>597.1625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-217.958333333333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3367.74</v>
      </c>
      <c r="C91" s="316"/>
      <c r="D91" s="316"/>
      <c r="E91" s="317"/>
      <c r="F91" s="387"/>
      <c r="G91" s="395" t="s">
        <v>114</v>
      </c>
      <c r="H91" s="27" t="n">
        <f aca="false">((H89*H29)+H87)*1.2</f>
        <v>8646.64</v>
      </c>
      <c r="I91" s="316"/>
      <c r="J91" s="316"/>
      <c r="K91" s="317"/>
      <c r="L91" s="387"/>
      <c r="M91" s="395" t="s">
        <v>114</v>
      </c>
      <c r="N91" s="27" t="n">
        <f aca="false">((N89*H29)+N87)</f>
        <v>7165.95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23.7738805970149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61.0392093586123</v>
      </c>
      <c r="I92" s="316"/>
      <c r="J92" s="316"/>
      <c r="K92" s="317"/>
      <c r="L92" s="387"/>
      <c r="M92" s="315" t="s">
        <v>115</v>
      </c>
      <c r="N92" s="33" t="n">
        <f aca="false">(N91/(1-N76))*N76</f>
        <v>60.7038926986688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3391.51388059702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10707.6792093586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9226.65389269867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78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282.626156716418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360.626156716418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s">
        <v>289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282.626156716418</v>
      </c>
      <c r="B134" s="320" t="n">
        <f aca="false">IF(A111="YES", B95, 0)</f>
        <v>78</v>
      </c>
      <c r="C134" s="324"/>
      <c r="D134" s="320" t="n">
        <f aca="false">B97</f>
        <v>360.626156716418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2543.63541044776</v>
      </c>
      <c r="C137" s="316"/>
      <c r="D137" s="38" t="n">
        <f aca="false">IF(A111="YES", B95*B63, 0)</f>
        <v>702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3245.63541044776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0.35115</v>
      </c>
      <c r="H142" s="38" t="n">
        <f aca="false">IF(G111="YES", E15*0.000002, 0)</f>
        <v>0.11705</v>
      </c>
      <c r="I142" s="38"/>
      <c r="J142" s="38" t="n">
        <f aca="false">G142+H142</f>
        <v>0.4682</v>
      </c>
      <c r="K142" s="101"/>
      <c r="L142" s="387"/>
      <c r="M142" s="107" t="n">
        <f aca="false">E15*0.000006</f>
        <v>0.35115</v>
      </c>
      <c r="N142" s="38" t="n">
        <f aca="false">IF(M111="YES", E15*0.000002, 0)</f>
        <v>0.11705</v>
      </c>
      <c r="O142" s="38"/>
      <c r="P142" s="38" t="n">
        <f aca="false">M142+N142</f>
        <v>0.4682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282.626156716418</v>
      </c>
      <c r="B143" s="38" t="n">
        <f aca="false">IF(A111="YES", B95, 0)</f>
        <v>78</v>
      </c>
      <c r="C143" s="316"/>
      <c r="D143" s="38" t="n">
        <f aca="false">B97</f>
        <v>360.626156716418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9647.5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1096.84166666667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360.626156716418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282.626156716418</v>
      </c>
      <c r="B177" s="354" t="n">
        <f aca="false">IF(A111="YES", B95, 0)</f>
        <v>78</v>
      </c>
      <c r="C177" s="356"/>
      <c r="D177" s="354" t="n">
        <f aca="false">A177+B177</f>
        <v>360.626156716418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2543.63541044776</v>
      </c>
      <c r="C180" s="352"/>
      <c r="D180" s="99" t="n">
        <f aca="false">IF(A111="YES", B95*B63, 0)</f>
        <v>702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3245.63541044776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282.626156716418</v>
      </c>
      <c r="B186" s="99" t="n">
        <f aca="false">IF(A111="YES", B95, 0)</f>
        <v>78</v>
      </c>
      <c r="C186" s="352"/>
      <c r="D186" s="99" t="n">
        <f aca="false">B97</f>
        <v>360.626156716418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1096.84166666667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4051.95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578.85</v>
      </c>
      <c r="C211" s="319" t="s">
        <v>214</v>
      </c>
      <c r="D211" s="369" t="n">
        <f aca="false">B225+E221+B221+B223</f>
        <v>519.991666666667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3993.09166666667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578.85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3993.09166666667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23.7738805970149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355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2" t="s">
        <v>143</v>
      </c>
      <c r="C2" s="482" t="s">
        <v>144</v>
      </c>
      <c r="D2" s="482" t="s">
        <v>145</v>
      </c>
      <c r="E2" s="483" t="s">
        <v>146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149</v>
      </c>
      <c r="B3" s="484" t="n">
        <v>16745</v>
      </c>
      <c r="C3" s="484" t="n">
        <v>0</v>
      </c>
      <c r="D3" s="484" t="n">
        <v>0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150</v>
      </c>
      <c r="B4" s="485" t="n">
        <v>0</v>
      </c>
      <c r="C4" s="485" t="n">
        <v>0</v>
      </c>
      <c r="D4" s="485" t="n">
        <v>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151</v>
      </c>
      <c r="B5" s="484" t="n">
        <v>0</v>
      </c>
      <c r="C5" s="484" t="n">
        <v>0</v>
      </c>
      <c r="D5" s="484" t="n">
        <v>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330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1" t="n">
        <v>695</v>
      </c>
      <c r="F10" s="387"/>
      <c r="G10" s="387"/>
      <c r="H10" s="387"/>
      <c r="I10" s="16" t="s">
        <v>1</v>
      </c>
      <c r="J10" s="14" t="n">
        <f aca="false">E15-E11-J8</f>
        <v>17440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1" t="n">
        <v>275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1" t="n">
        <v>55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3" t="n">
        <f aca="false">(E9+E10+E13+E14+E11)-E12</f>
        <v>21258</v>
      </c>
      <c r="F15" s="387"/>
      <c r="G15" s="17" t="n">
        <f aca="false">E15</f>
        <v>21258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1" t="n">
        <v>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4" t="n">
        <v>0</v>
      </c>
      <c r="F18" s="387"/>
      <c r="G18" s="17" t="n">
        <f aca="false">(B3+C3+D3+E3+E10)*1.2</f>
        <v>20928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4" t="n">
        <v>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6" t="n">
        <f aca="false">E15-((E18*1.2)+(E19*1.2)+(E20*1.2)+(E16*1.2))</f>
        <v>21258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45120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17770</v>
      </c>
      <c r="B35" s="219" t="s">
        <v>45</v>
      </c>
      <c r="C35" s="219"/>
      <c r="D35" s="278" t="n">
        <f aca="false">A35-B35</f>
        <v>16770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E11</f>
        <v>3488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207.333333333333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342.666666666667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345.333333333333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295.333333333333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345.333333333333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20928</v>
      </c>
      <c r="C67" s="316"/>
      <c r="D67" s="316"/>
      <c r="E67" s="317"/>
      <c r="F67" s="387"/>
      <c r="G67" s="315" t="s">
        <v>14</v>
      </c>
      <c r="H67" s="32" t="n">
        <f aca="false">G18</f>
        <v>20928</v>
      </c>
      <c r="I67" s="316"/>
      <c r="J67" s="316"/>
      <c r="K67" s="317"/>
      <c r="L67" s="387"/>
      <c r="M67" s="315" t="s">
        <v>14</v>
      </c>
      <c r="N67" s="32" t="n">
        <f aca="false">G18</f>
        <v>20928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275</v>
      </c>
      <c r="B68" s="399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276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90</v>
      </c>
      <c r="B70" s="65" t="n">
        <f aca="false">B67*B69</f>
        <v>1464.96</v>
      </c>
      <c r="C70" s="316" t="n">
        <v>10000</v>
      </c>
      <c r="D70" s="32" t="n">
        <f aca="false">B70-A149</f>
        <v>1464.96</v>
      </c>
      <c r="E70" s="317" t="n">
        <f aca="false">D70/12</f>
        <v>122.08</v>
      </c>
      <c r="F70" s="387"/>
      <c r="G70" s="365" t="s">
        <v>90</v>
      </c>
      <c r="H70" s="65" t="n">
        <f aca="false">H67*H69</f>
        <v>1464.96</v>
      </c>
      <c r="I70" s="316"/>
      <c r="J70" s="32" t="n">
        <f aca="false">H70-G151</f>
        <v>1464.96</v>
      </c>
      <c r="K70" s="317"/>
      <c r="L70" s="387"/>
      <c r="M70" s="365" t="s">
        <v>90</v>
      </c>
      <c r="N70" s="65" t="n">
        <f aca="false">N67*N69</f>
        <v>1464.96</v>
      </c>
      <c r="O70" s="316"/>
      <c r="P70" s="32" t="n">
        <f aca="false">N70-M151</f>
        <v>1464.96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91</v>
      </c>
      <c r="B71" s="399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92</v>
      </c>
      <c r="B72" s="375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93</v>
      </c>
      <c r="B73" s="65" t="n">
        <f aca="false">E15*B72</f>
        <v>212.58</v>
      </c>
      <c r="C73" s="316"/>
      <c r="D73" s="32"/>
      <c r="E73" s="317"/>
      <c r="F73" s="387"/>
      <c r="G73" s="365" t="s">
        <v>93</v>
      </c>
      <c r="H73" s="65" t="n">
        <f aca="false">H67*H72</f>
        <v>104.64</v>
      </c>
      <c r="I73" s="316"/>
      <c r="J73" s="32"/>
      <c r="K73" s="317"/>
      <c r="L73" s="387"/>
      <c r="M73" s="365" t="s">
        <v>93</v>
      </c>
      <c r="N73" s="65" t="n">
        <f aca="false">N67*N72</f>
        <v>104.64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0</v>
      </c>
      <c r="C80" s="316"/>
      <c r="D80" s="316"/>
      <c r="E80" s="403" t="n">
        <f aca="false">E79+D82</f>
        <v>660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55</v>
      </c>
      <c r="F81" s="387"/>
      <c r="G81" s="400" t="s">
        <v>278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((B80+B81)/12)*(H29-11)</f>
        <v>0</v>
      </c>
      <c r="C82" s="316"/>
      <c r="D82" s="32" t="n">
        <f aca="false">IF(A50="YES", 0, B82)</f>
        <v>0</v>
      </c>
      <c r="E82" s="317"/>
      <c r="F82" s="387"/>
      <c r="G82" s="365" t="s">
        <v>279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2791.62666666667</v>
      </c>
      <c r="C87" s="316"/>
      <c r="D87" s="316"/>
      <c r="E87" s="317"/>
      <c r="F87" s="387"/>
      <c r="G87" s="411" t="s">
        <v>102</v>
      </c>
      <c r="H87" s="412" t="n">
        <f aca="false">SUM(J70:J86)</f>
        <v>4591.46</v>
      </c>
      <c r="I87" s="316"/>
      <c r="J87" s="316"/>
      <c r="K87" s="317"/>
      <c r="L87" s="387"/>
      <c r="M87" s="411" t="s">
        <v>102</v>
      </c>
      <c r="N87" s="412" t="n">
        <f aca="false">SUM(P70:P86)</f>
        <v>4578.96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232.635555555556</v>
      </c>
      <c r="C88" s="316"/>
      <c r="D88" s="316"/>
      <c r="E88" s="317"/>
      <c r="F88" s="387"/>
      <c r="G88" s="315" t="s">
        <v>103</v>
      </c>
      <c r="H88" s="33" t="n">
        <f aca="false">H87/H29</f>
        <v>382.621666666667</v>
      </c>
      <c r="I88" s="316"/>
      <c r="J88" s="316"/>
      <c r="K88" s="317"/>
      <c r="L88" s="387"/>
      <c r="M88" s="315" t="s">
        <v>103</v>
      </c>
      <c r="N88" s="33" t="n">
        <f aca="false">N87/H29</f>
        <v>381.58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295.333333333333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6335.62666666667</v>
      </c>
      <c r="C91" s="316"/>
      <c r="D91" s="316"/>
      <c r="E91" s="317"/>
      <c r="F91" s="387"/>
      <c r="G91" s="395" t="s">
        <v>114</v>
      </c>
      <c r="H91" s="27" t="n">
        <f aca="false">((H89*H29)+H87)*1.2</f>
        <v>5509.752</v>
      </c>
      <c r="I91" s="316"/>
      <c r="J91" s="316"/>
      <c r="K91" s="317"/>
      <c r="L91" s="387"/>
      <c r="M91" s="395" t="s">
        <v>114</v>
      </c>
      <c r="N91" s="27" t="n">
        <f aca="false">((N89*H29)+N87)</f>
        <v>4578.96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53.6700927793465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38.8949818475192</v>
      </c>
      <c r="I92" s="316"/>
      <c r="J92" s="316"/>
      <c r="K92" s="317"/>
      <c r="L92" s="387"/>
      <c r="M92" s="315" t="s">
        <v>115</v>
      </c>
      <c r="N92" s="33" t="n">
        <f aca="false">(N91/(1-N76))*N76</f>
        <v>38.789092375958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6389.29675944601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7548.64698184752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6617.74909237596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65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532.441396620501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597.441396620501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s">
        <v>289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532.441396620501</v>
      </c>
      <c r="B134" s="320" t="n">
        <f aca="false">IF(A111="YES", B95, 0)</f>
        <v>65</v>
      </c>
      <c r="C134" s="325"/>
      <c r="D134" s="320" t="n">
        <f aca="false">B97</f>
        <v>597.441396620501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4791.97256958451</v>
      </c>
      <c r="C137" s="316"/>
      <c r="D137" s="38" t="n">
        <f aca="false">IF(A111="YES", B95*B63, 0)</f>
        <v>585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5376.97256958451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0.127548</v>
      </c>
      <c r="H142" s="38" t="n">
        <f aca="false">IF(G111="YES", E15*0.000002, 0)</f>
        <v>0.042516</v>
      </c>
      <c r="I142" s="38"/>
      <c r="J142" s="38" t="n">
        <f aca="false">G142+H142</f>
        <v>0.170064</v>
      </c>
      <c r="K142" s="101"/>
      <c r="L142" s="387"/>
      <c r="M142" s="107" t="n">
        <f aca="false">E15*0.000006</f>
        <v>0.127548</v>
      </c>
      <c r="N142" s="38" t="n">
        <f aca="false">IF(M111="YES", E15*0.000002, 0)</f>
        <v>0.042516</v>
      </c>
      <c r="O142" s="38"/>
      <c r="P142" s="38" t="n">
        <f aca="false">M142+N142</f>
        <v>0.170064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532.441396620501</v>
      </c>
      <c r="B143" s="38" t="n">
        <f aca="false">IF(A111="YES", B95, 0)</f>
        <v>65</v>
      </c>
      <c r="C143" s="316"/>
      <c r="D143" s="38" t="n">
        <f aca="false">B97</f>
        <v>597.441396620501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 *1.2*100</f>
        <v>5.02272</v>
      </c>
      <c r="C146" s="316"/>
      <c r="D146" s="342" t="n">
        <f aca="false">A146+B146</f>
        <v>20.09088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212.58</v>
      </c>
      <c r="B154" s="99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3488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730.57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597.441396620501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532.441396620501</v>
      </c>
      <c r="B177" s="354" t="n">
        <f aca="false">IF(A111="YES", B95, 0)</f>
        <v>65</v>
      </c>
      <c r="C177" s="357"/>
      <c r="D177" s="354" t="n">
        <f aca="false">B91</f>
        <v>6335.62666666667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4791.97256958451</v>
      </c>
      <c r="C180" s="352"/>
      <c r="D180" s="99" t="n">
        <f aca="false">IF(A111="YES", B95*B63, 0)</f>
        <v>585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5376.97256958451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532.441396620501</v>
      </c>
      <c r="B186" s="99" t="n">
        <f aca="false">IF(A111="YES", B95, 0)</f>
        <v>65</v>
      </c>
      <c r="C186" s="352"/>
      <c r="D186" s="99" t="n">
        <f aca="false">B97</f>
        <v>597.441396620501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 *1.2*100</f>
        <v>5.02272</v>
      </c>
      <c r="C189" s="352"/>
      <c r="D189" s="364" t="n">
        <f aca="false">A189+B189</f>
        <v>20.09088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212.58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730.57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1464.96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212.58</v>
      </c>
      <c r="C211" s="319" t="s">
        <v>214</v>
      </c>
      <c r="D211" s="369" t="n">
        <f aca="false">B225+E221+B221+B223</f>
        <v>519.99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1772.37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1464.96</v>
      </c>
      <c r="C217" s="374" t="s">
        <v>218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212.58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1772.37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53.6700927793465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6" colorId="64" zoomScale="85" zoomScaleNormal="8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16745</v>
      </c>
      <c r="C3" s="440"/>
      <c r="D3" s="440" t="n">
        <v>0</v>
      </c>
      <c r="E3" s="440"/>
      <c r="F3" s="440" t="n">
        <v>0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5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/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/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/>
      <c r="F9" s="149"/>
      <c r="G9" s="136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/>
      <c r="F10" s="151"/>
      <c r="G10" s="153"/>
      <c r="H10" s="441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3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/>
      <c r="F13" s="151"/>
      <c r="G13" s="153"/>
      <c r="H13" s="441" t="n">
        <v>275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/>
      <c r="F14" s="151"/>
      <c r="G14" s="153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3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/>
      <c r="F16" s="151"/>
      <c r="G16" s="153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39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246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17770</v>
      </c>
      <c r="B37" s="32"/>
      <c r="C37" s="41" t="s">
        <v>45</v>
      </c>
      <c r="D37" s="41"/>
      <c r="E37" s="32"/>
      <c r="F37" s="43" t="n">
        <f aca="false">A37-C37</f>
        <v>16770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424.606060606061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425.575757575758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425.575757575758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13412.4357430601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199.29375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425.575757575758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425.575757575758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425.575757575758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16770</v>
      </c>
      <c r="C90" s="32"/>
      <c r="D90" s="32"/>
      <c r="E90" s="23"/>
      <c r="F90" s="23"/>
      <c r="G90" s="23"/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11514.1760889046</v>
      </c>
      <c r="C97" s="32"/>
      <c r="D97" s="32"/>
      <c r="E97" s="23"/>
      <c r="F97" s="23"/>
      <c r="G97" s="23"/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419.513616970629</v>
      </c>
      <c r="C98" s="32"/>
      <c r="D98" s="32"/>
      <c r="E98" s="23"/>
      <c r="F98" s="23"/>
      <c r="G98" s="23"/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13424.4357430601</v>
      </c>
      <c r="C99" s="32"/>
      <c r="D99" s="32"/>
      <c r="E99" s="23"/>
      <c r="F99" s="23"/>
      <c r="G99" s="23"/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13424.4357430601</v>
      </c>
      <c r="C101" s="32"/>
      <c r="D101" s="32"/>
      <c r="E101" s="23"/>
      <c r="F101" s="23"/>
      <c r="G101" s="23"/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419.513616970629</v>
      </c>
      <c r="C104" s="32"/>
      <c r="D104" s="32"/>
      <c r="E104" s="23"/>
      <c r="F104" s="23"/>
      <c r="G104" s="23"/>
      <c r="H104" s="33"/>
      <c r="J104" s="91" t="s">
        <v>118</v>
      </c>
      <c r="K104" s="92" t="n">
        <f aca="false">K101/(K94)</f>
        <v>1522.35059507587</v>
      </c>
      <c r="L104" s="32"/>
      <c r="M104" s="32"/>
      <c r="N104" s="23"/>
      <c r="O104" s="23"/>
      <c r="P104" s="23"/>
      <c r="Q104" s="33"/>
      <c r="S104" s="91" t="s">
        <v>118</v>
      </c>
      <c r="T104" s="92" t="n">
        <f aca="false">T101/(T94)</f>
        <v>634.549742547474</v>
      </c>
      <c r="U104" s="32"/>
      <c r="V104" s="32"/>
      <c r="W104" s="23"/>
      <c r="X104" s="23"/>
      <c r="Y104" s="23"/>
      <c r="Z104" s="33"/>
      <c r="AB104" s="91" t="s">
        <v>118</v>
      </c>
      <c r="AC104" s="92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419.513616970629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n">
        <f aca="false">(K103+K104)</f>
        <v>1522.35059507587</v>
      </c>
      <c r="L105" s="32"/>
      <c r="M105" s="32"/>
      <c r="N105" s="23"/>
      <c r="O105" s="23"/>
      <c r="P105" s="23"/>
      <c r="Q105" s="33"/>
      <c r="S105" s="93" t="s">
        <v>119</v>
      </c>
      <c r="T105" s="94" t="n">
        <f aca="false">T103+T104</f>
        <v>634.549742547474</v>
      </c>
      <c r="U105" s="32"/>
      <c r="V105" s="32"/>
      <c r="W105" s="23"/>
      <c r="X105" s="23"/>
      <c r="Y105" s="23"/>
      <c r="Z105" s="33"/>
      <c r="AB105" s="93" t="s">
        <v>119</v>
      </c>
      <c r="AC105" s="94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232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/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233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18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18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18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f aca="false">B4</f>
        <v>0</v>
      </c>
      <c r="C131" s="496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150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150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150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6" t="n">
        <f aca="false">H9</f>
        <v>16745</v>
      </c>
      <c r="H144" s="150" t="n">
        <f aca="false">C134+E134+G134+H137</f>
        <v>16745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16745</v>
      </c>
      <c r="Q144" s="150" t="n">
        <f aca="false">L134+N134+P134+Q137</f>
        <v>28629.17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16745</v>
      </c>
      <c r="Z144" s="150" t="n">
        <f aca="false">U134+W134+Y134+Z137</f>
        <v>12558.75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16745</v>
      </c>
      <c r="AI144" s="150" t="n">
        <f aca="false">AD134+AF134+AH134+AI137</f>
        <v>12558.75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3" t="n">
        <f aca="false">H10</f>
        <v>695</v>
      </c>
      <c r="H145" s="33" t="n">
        <f aca="false">G145</f>
        <v>695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695</v>
      </c>
      <c r="Q145" s="33" t="n">
        <f aca="false">P145</f>
        <v>695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695</v>
      </c>
      <c r="Z145" s="33" t="n">
        <f aca="false">Y145</f>
        <v>695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153" t="n">
        <f aca="false">H11</f>
        <v>3488</v>
      </c>
      <c r="H146" s="33" t="n">
        <f aca="false">(H144+H145)*20%</f>
        <v>3488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3488</v>
      </c>
      <c r="Q146" s="33" t="n">
        <f aca="false">(Q144+Q145)*20%</f>
        <v>5864.834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3488</v>
      </c>
      <c r="Z146" s="33" t="n">
        <f aca="false">(Z144+Z145)*20%</f>
        <v>2650.75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3" t="n">
        <f aca="false">H13</f>
        <v>275</v>
      </c>
      <c r="H148" s="33" t="n">
        <f aca="false">G148</f>
        <v>275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275</v>
      </c>
      <c r="Q148" s="33" t="n">
        <f aca="false">P148</f>
        <v>275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275</v>
      </c>
      <c r="Z148" s="33" t="n">
        <f aca="false">Y148</f>
        <v>275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5" t="n">
        <f aca="false">H15</f>
        <v>21258</v>
      </c>
      <c r="H150" s="154" t="n">
        <f aca="false">(H144+H145+H148+H149+H146)-H147</f>
        <v>21258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21258</v>
      </c>
      <c r="Q150" s="154" t="n">
        <f aca="false">(Q144+Q145+Q148+Q149+Q146)-Q147</f>
        <v>35519.004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21258</v>
      </c>
      <c r="Z150" s="154" t="n">
        <f aca="false">(Z144+Z145+Z148+Z149+Z146)-Z147</f>
        <v>16234.5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21258</v>
      </c>
      <c r="AI150" s="154" t="n">
        <f aca="false">(AI144+AI145+AI148+AI149+AI146)-AI147</f>
        <v>16234.5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170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55" t="n">
        <f aca="false">G150-((G153*1.2)+(G154*1.2)+(G155*1.2)+(G151*1.2))</f>
        <v>21258</v>
      </c>
      <c r="H156" s="161" t="n">
        <f aca="false">H150-((H153*1.2)+(H154*1.2)+(H155*1.2)+(H151*1.2))</f>
        <v>21258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21258</v>
      </c>
      <c r="Q156" s="161" t="n">
        <f aca="false">Q150-((Q153*1.2)+(Q154*1.2)+(Q155*1.2)+(Q151*1.2))</f>
        <v>35519.004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21258</v>
      </c>
      <c r="Z156" s="161" t="n">
        <f aca="false">Z150-((Z153*1.2)+(Z154*1.2)+(Z155*1.2)+(Z151*1.2))</f>
        <v>16234.5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21258</v>
      </c>
      <c r="AI156" s="161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172</v>
      </c>
      <c r="K157" s="151"/>
      <c r="L157" s="151"/>
      <c r="M157" s="151"/>
      <c r="N157" s="151"/>
      <c r="O157" s="151"/>
      <c r="P157" s="153"/>
      <c r="Q157" s="40" t="n">
        <f aca="false">Q156-P156</f>
        <v>14261.004</v>
      </c>
      <c r="S157" s="151" t="s">
        <v>172</v>
      </c>
      <c r="T157" s="151"/>
      <c r="U157" s="151"/>
      <c r="V157" s="151"/>
      <c r="W157" s="151"/>
      <c r="X157" s="151"/>
      <c r="Y157" s="153"/>
      <c r="Z157" s="40" t="n">
        <f aca="false">Z156-Y156</f>
        <v>-5023.5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n">
        <f aca="false">AI156-AH156</f>
        <v>-5023.5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21258</v>
      </c>
      <c r="H167" s="167"/>
      <c r="J167" s="166" t="s">
        <v>179</v>
      </c>
      <c r="K167" s="32"/>
      <c r="L167" s="32"/>
      <c r="M167" s="23"/>
      <c r="N167" s="32"/>
      <c r="O167" s="23"/>
      <c r="P167" s="167" t="n">
        <f aca="false">Q156-P163-P166</f>
        <v>36519.004</v>
      </c>
      <c r="Q167" s="167"/>
      <c r="S167" s="166" t="s">
        <v>179</v>
      </c>
      <c r="T167" s="32"/>
      <c r="U167" s="32"/>
      <c r="V167" s="23"/>
      <c r="W167" s="32"/>
      <c r="X167" s="23"/>
      <c r="Y167" s="167" t="n">
        <f aca="false">Z156-Y163-Y166</f>
        <v>17234.5</v>
      </c>
      <c r="Z167" s="167"/>
      <c r="AB167" s="166" t="s">
        <v>179</v>
      </c>
      <c r="AC167" s="32"/>
      <c r="AD167" s="32"/>
      <c r="AE167" s="23"/>
      <c r="AF167" s="32"/>
      <c r="AG167" s="23"/>
      <c r="AH167" s="167" t="n">
        <f aca="false">AI156-AH163-AH166</f>
        <v>17234.5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419.513616970629</v>
      </c>
      <c r="B176" s="174" t="n">
        <f aca="false">B103</f>
        <v>0</v>
      </c>
      <c r="C176" s="171"/>
      <c r="D176" s="171"/>
      <c r="E176" s="174" t="n">
        <f aca="false">B105</f>
        <v>419.513616970629</v>
      </c>
      <c r="F176" s="23"/>
      <c r="G176" s="23"/>
      <c r="H176" s="33"/>
      <c r="J176" s="173" t="n">
        <f aca="false">K104</f>
        <v>1522.35059507587</v>
      </c>
      <c r="K176" s="175" t="n">
        <f aca="false">K103</f>
        <v>0</v>
      </c>
      <c r="L176" s="172"/>
      <c r="M176" s="172"/>
      <c r="N176" s="175" t="n">
        <f aca="false">K105</f>
        <v>1522.35059507587</v>
      </c>
      <c r="O176" s="23"/>
      <c r="P176" s="23"/>
      <c r="Q176" s="33"/>
      <c r="S176" s="173" t="n">
        <f aca="false">T104</f>
        <v>634.549742547474</v>
      </c>
      <c r="T176" s="175" t="n">
        <f aca="false">T103</f>
        <v>0</v>
      </c>
      <c r="U176" s="172"/>
      <c r="V176" s="172"/>
      <c r="W176" s="175" t="n">
        <f aca="false">T105</f>
        <v>634.549742547474</v>
      </c>
      <c r="X176" s="23"/>
      <c r="Y176" s="23"/>
      <c r="Z176" s="33"/>
      <c r="AB176" s="173" t="n">
        <f aca="false">AC104</f>
        <v>634.549742547474</v>
      </c>
      <c r="AC176" s="175" t="n">
        <f aca="false">AC103</f>
        <v>0</v>
      </c>
      <c r="AD176" s="172"/>
      <c r="AE176" s="172"/>
      <c r="AF176" s="175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33</v>
      </c>
      <c r="B179" s="177" t="str">
        <f aca="false">K30</f>
        <v>5000</v>
      </c>
      <c r="C179" s="178"/>
      <c r="D179" s="23"/>
      <c r="E179" s="179" t="n">
        <f aca="false">B91</f>
        <v>7200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17440</v>
      </c>
      <c r="B182" s="99" t="n">
        <f aca="false">H146</f>
        <v>3488</v>
      </c>
      <c r="C182" s="183"/>
      <c r="D182" s="23"/>
      <c r="E182" s="179" t="n">
        <f aca="false">H148+H149</f>
        <v>330</v>
      </c>
      <c r="F182" s="23"/>
      <c r="G182" s="23"/>
      <c r="H182" s="33"/>
      <c r="J182" s="182" t="n">
        <f aca="false">Q150-Q146-Q148-Q149</f>
        <v>29324.17</v>
      </c>
      <c r="K182" s="38" t="n">
        <f aca="false">Q146</f>
        <v>5864.834</v>
      </c>
      <c r="L182" s="43"/>
      <c r="M182" s="23"/>
      <c r="N182" s="181" t="n">
        <f aca="false">Q148+Q149</f>
        <v>330</v>
      </c>
      <c r="O182" s="23"/>
      <c r="P182" s="23"/>
      <c r="Q182" s="33"/>
      <c r="S182" s="182" t="n">
        <f aca="false">Z150-Z146-Z148-Z149</f>
        <v>13253.75</v>
      </c>
      <c r="T182" s="38" t="n">
        <f aca="false">Z146</f>
        <v>2650.75</v>
      </c>
      <c r="U182" s="43"/>
      <c r="V182" s="23"/>
      <c r="W182" s="181" t="n">
        <f aca="false">Z148+Z149</f>
        <v>330</v>
      </c>
      <c r="X182" s="23"/>
      <c r="Y182" s="23"/>
      <c r="Z182" s="33"/>
      <c r="AB182" s="182" t="n">
        <f aca="false">AI150-AI146-AI148-AI149</f>
        <v>13253.75</v>
      </c>
      <c r="AC182" s="38" t="n">
        <f aca="false">AI146</f>
        <v>2650.75</v>
      </c>
      <c r="AD182" s="43"/>
      <c r="AE182" s="23"/>
      <c r="AF182" s="181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21258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21258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-633.564256939884</v>
      </c>
      <c r="B191" s="99" t="str">
        <f aca="false">B123</f>
        <v>199.99</v>
      </c>
      <c r="C191" s="99"/>
      <c r="D191" s="23"/>
      <c r="E191" s="99" t="n">
        <f aca="false">E188+A191+B191+A194</f>
        <v>20834.4257430601</v>
      </c>
      <c r="F191" s="23"/>
      <c r="G191" s="23"/>
      <c r="H191" s="101"/>
      <c r="J191" s="107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1"/>
      <c r="S191" s="107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1"/>
      <c r="AB191" s="107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7210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4.1856</v>
      </c>
      <c r="B197" s="99" t="n">
        <f aca="false">(G167*B76)/1.2</f>
        <v>166.078125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0.042516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266.068125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14261.004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-5023.5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-5023.5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419.513616970629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419.513616970629</v>
      </c>
      <c r="B221" s="174" t="n">
        <f aca="false">B176</f>
        <v>0</v>
      </c>
      <c r="C221" s="171"/>
      <c r="D221" s="171"/>
      <c r="E221" s="174" t="n">
        <f aca="false">E176</f>
        <v>419.513616970629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17440</v>
      </c>
      <c r="B224" s="99" t="n">
        <f aca="false">B182</f>
        <v>3488</v>
      </c>
      <c r="C224" s="183"/>
      <c r="D224" s="109"/>
      <c r="E224" s="179" t="n">
        <f aca="false">E182</f>
        <v>330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21258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21258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-633.564256939884</v>
      </c>
      <c r="B233" s="99" t="str">
        <f aca="false">B191</f>
        <v>199.99</v>
      </c>
      <c r="C233" s="99"/>
      <c r="D233" s="109"/>
      <c r="E233" s="99" t="n">
        <f aca="false">E191</f>
        <v>20834.4257430601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419.513616970629</v>
      </c>
      <c r="B239" s="99" t="n">
        <f aca="false">B176</f>
        <v>0</v>
      </c>
      <c r="C239" s="183"/>
      <c r="D239" s="183"/>
      <c r="E239" s="99" t="n">
        <f aca="false">E176</f>
        <v>419.513616970629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7200</v>
      </c>
      <c r="B242" s="99" t="n">
        <f aca="false">E194</f>
        <v>7210</v>
      </c>
      <c r="C242" s="130"/>
      <c r="D242" s="130"/>
      <c r="E242" s="99" t="n">
        <f aca="false">J18*0.000006*100</f>
        <v>12.5568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4.1856</v>
      </c>
      <c r="B245" s="99" t="n">
        <f aca="false">E242+A245</f>
        <v>16.7424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166.078125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266.068125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199.29375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</v>
      </c>
      <c r="C264" s="194"/>
      <c r="D264" s="195" t="s">
        <v>215</v>
      </c>
      <c r="E264" s="195"/>
      <c r="F264" s="196" t="n">
        <f aca="false">(B263-F263)+B264</f>
        <v>-99.30375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0.115</v>
      </c>
      <c r="C269" s="43"/>
      <c r="D269" s="163" t="s">
        <v>212</v>
      </c>
      <c r="E269" s="163"/>
      <c r="F269" s="143" t="n">
        <f aca="false">(B98*B68)-(C98*B68)</f>
        <v>13424.4357430601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0.009375</v>
      </c>
      <c r="C270" s="32"/>
      <c r="D270" s="163" t="s">
        <v>218</v>
      </c>
      <c r="E270" s="163"/>
      <c r="F270" s="148" t="n">
        <f aca="false">B77</f>
        <v>199.29375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-99.30375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29" colorId="64" zoomScale="85" zoomScaleNormal="8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16745</v>
      </c>
      <c r="C3" s="440"/>
      <c r="D3" s="440" t="n">
        <v>0</v>
      </c>
      <c r="E3" s="440"/>
      <c r="F3" s="440" t="n">
        <v>0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5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/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/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 t="n">
        <v>23125</v>
      </c>
      <c r="C9" s="149"/>
      <c r="D9" s="149"/>
      <c r="E9" s="149"/>
      <c r="F9" s="149"/>
      <c r="G9" s="136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/>
      <c r="F10" s="151"/>
      <c r="G10" s="153"/>
      <c r="H10" s="441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 t="n">
        <v>0</v>
      </c>
      <c r="C11" s="151"/>
      <c r="D11" s="151"/>
      <c r="E11" s="151"/>
      <c r="F11" s="151"/>
      <c r="G11" s="153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 t="n">
        <v>0</v>
      </c>
      <c r="C13" s="151"/>
      <c r="D13" s="151"/>
      <c r="E13" s="151"/>
      <c r="F13" s="151"/>
      <c r="G13" s="153"/>
      <c r="H13" s="441" t="n">
        <v>275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/>
      <c r="F14" s="151"/>
      <c r="G14" s="153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3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/>
      <c r="F16" s="151"/>
      <c r="G16" s="153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39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246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17770</v>
      </c>
      <c r="B37" s="32"/>
      <c r="C37" s="41" t="s">
        <v>45</v>
      </c>
      <c r="D37" s="41"/>
      <c r="E37" s="32"/>
      <c r="F37" s="43" t="n">
        <f aca="false">A37-C37</f>
        <v>16770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474.606060606061</v>
      </c>
      <c r="L45" s="2"/>
    </row>
    <row r="46" customFormat="false" ht="17.35" hidden="false" customHeight="false" outlineLevel="0" collapsed="false">
      <c r="A46" s="40" t="s">
        <v>230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475.575757575758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475.575757575758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13412.4357430601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199.29375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475.575757575758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475.575757575758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475.575757575758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16770</v>
      </c>
      <c r="C90" s="32"/>
      <c r="D90" s="32"/>
      <c r="E90" s="23"/>
      <c r="F90" s="23"/>
      <c r="G90" s="23"/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11514.1760889046</v>
      </c>
      <c r="C97" s="32"/>
      <c r="D97" s="32"/>
      <c r="E97" s="23"/>
      <c r="F97" s="23"/>
      <c r="G97" s="23"/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419.513616970629</v>
      </c>
      <c r="C98" s="32"/>
      <c r="D98" s="32"/>
      <c r="E98" s="23"/>
      <c r="F98" s="23"/>
      <c r="G98" s="23"/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13424.4357430601</v>
      </c>
      <c r="C99" s="32"/>
      <c r="D99" s="32"/>
      <c r="E99" s="23"/>
      <c r="F99" s="23"/>
      <c r="G99" s="23"/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13424.4357430601</v>
      </c>
      <c r="C101" s="32"/>
      <c r="D101" s="32"/>
      <c r="E101" s="23"/>
      <c r="F101" s="23"/>
      <c r="G101" s="23"/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80.4375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419.513616970629</v>
      </c>
      <c r="C104" s="32"/>
      <c r="D104" s="32"/>
      <c r="E104" s="23"/>
      <c r="F104" s="23"/>
      <c r="G104" s="23"/>
      <c r="H104" s="33"/>
      <c r="J104" s="91" t="s">
        <v>118</v>
      </c>
      <c r="K104" s="92" t="n">
        <f aca="false">K101/(K94)</f>
        <v>1522.35059507587</v>
      </c>
      <c r="L104" s="32"/>
      <c r="M104" s="32"/>
      <c r="N104" s="23"/>
      <c r="O104" s="23"/>
      <c r="P104" s="23"/>
      <c r="Q104" s="33"/>
      <c r="S104" s="91" t="s">
        <v>118</v>
      </c>
      <c r="T104" s="92" t="n">
        <f aca="false">T101/(T94)</f>
        <v>634.549742547474</v>
      </c>
      <c r="U104" s="32"/>
      <c r="V104" s="32"/>
      <c r="W104" s="23"/>
      <c r="X104" s="23"/>
      <c r="Y104" s="23"/>
      <c r="Z104" s="33"/>
      <c r="AB104" s="91" t="s">
        <v>118</v>
      </c>
      <c r="AC104" s="92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499.951116970629</v>
      </c>
      <c r="C105" s="32"/>
      <c r="D105" s="32"/>
      <c r="E105" s="23" t="s">
        <v>19</v>
      </c>
      <c r="F105" s="23"/>
      <c r="G105" s="23"/>
      <c r="H105" s="33"/>
      <c r="J105" s="93" t="s">
        <v>119</v>
      </c>
      <c r="K105" s="94" t="n">
        <f aca="false">(K103+K104)</f>
        <v>1522.35059507587</v>
      </c>
      <c r="L105" s="32"/>
      <c r="M105" s="32"/>
      <c r="N105" s="23"/>
      <c r="O105" s="23"/>
      <c r="P105" s="23"/>
      <c r="Q105" s="33"/>
      <c r="S105" s="93" t="s">
        <v>119</v>
      </c>
      <c r="T105" s="94" t="n">
        <f aca="false">T103+T104</f>
        <v>634.549742547474</v>
      </c>
      <c r="U105" s="32"/>
      <c r="V105" s="32"/>
      <c r="W105" s="23"/>
      <c r="X105" s="23"/>
      <c r="Y105" s="23"/>
      <c r="Z105" s="33"/>
      <c r="AB105" s="93" t="s">
        <v>119</v>
      </c>
      <c r="AC105" s="94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18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0.3</v>
      </c>
      <c r="B117" s="103" t="s">
        <v>132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141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18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18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18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f aca="false">B4</f>
        <v>0</v>
      </c>
      <c r="C131" s="496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150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150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150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6" t="n">
        <f aca="false">H9</f>
        <v>16745</v>
      </c>
      <c r="H144" s="150" t="n">
        <f aca="false">C134+E134+G134+H137</f>
        <v>16745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16745</v>
      </c>
      <c r="Q144" s="150" t="n">
        <f aca="false">L134+N134+P134+Q137</f>
        <v>28629.17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16745</v>
      </c>
      <c r="Z144" s="150" t="n">
        <f aca="false">U134+W134+Y134+Z137</f>
        <v>12558.75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16745</v>
      </c>
      <c r="AI144" s="150" t="n">
        <f aca="false">AD134+AF134+AH134+AI137</f>
        <v>12558.75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3" t="n">
        <f aca="false">H10</f>
        <v>695</v>
      </c>
      <c r="H145" s="33" t="n">
        <f aca="false">G145</f>
        <v>695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695</v>
      </c>
      <c r="Q145" s="33" t="n">
        <f aca="false">P145</f>
        <v>695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695</v>
      </c>
      <c r="Z145" s="33" t="n">
        <f aca="false">Y145</f>
        <v>695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153" t="n">
        <f aca="false">H11</f>
        <v>3488</v>
      </c>
      <c r="H146" s="33" t="n">
        <f aca="false">(H144+H145)*20%</f>
        <v>3488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3488</v>
      </c>
      <c r="Q146" s="33" t="n">
        <f aca="false">(Q144+Q145)*20%</f>
        <v>5864.834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3488</v>
      </c>
      <c r="Z146" s="33" t="n">
        <f aca="false">(Z144+Z145)*20%</f>
        <v>2650.75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3" t="n">
        <f aca="false">H13</f>
        <v>275</v>
      </c>
      <c r="H148" s="33" t="n">
        <f aca="false">G148</f>
        <v>275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275</v>
      </c>
      <c r="Q148" s="33" t="n">
        <f aca="false">P148</f>
        <v>275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275</v>
      </c>
      <c r="Z148" s="33" t="n">
        <f aca="false">Y148</f>
        <v>275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5" t="n">
        <f aca="false">H15</f>
        <v>21258</v>
      </c>
      <c r="H150" s="154" t="n">
        <f aca="false">(H144+H145+H148+H149+H146)-H147</f>
        <v>21258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21258</v>
      </c>
      <c r="Q150" s="154" t="n">
        <f aca="false">(Q144+Q145+Q148+Q149+Q146)-Q147</f>
        <v>35519.004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21258</v>
      </c>
      <c r="Z150" s="154" t="n">
        <f aca="false">(Z144+Z145+Z148+Z149+Z146)-Z147</f>
        <v>16234.5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21258</v>
      </c>
      <c r="AI150" s="154" t="n">
        <f aca="false">(AI144+AI145+AI148+AI149+AI146)-AI147</f>
        <v>16234.5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170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55" t="n">
        <f aca="false">G150-((G153*1.2)+(G154*1.2)+(G155*1.2)+(G151*1.2))</f>
        <v>21258</v>
      </c>
      <c r="H156" s="161" t="n">
        <f aca="false">H150-((H153*1.2)+(H154*1.2)+(H155*1.2)+(H151*1.2))</f>
        <v>21258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21258</v>
      </c>
      <c r="Q156" s="161" t="n">
        <f aca="false">Q150-((Q153*1.2)+(Q154*1.2)+(Q155*1.2)+(Q151*1.2))</f>
        <v>35519.004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21258</v>
      </c>
      <c r="Z156" s="161" t="n">
        <f aca="false">Z150-((Z153*1.2)+(Z154*1.2)+(Z155*1.2)+(Z151*1.2))</f>
        <v>16234.5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21258</v>
      </c>
      <c r="AI156" s="161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172</v>
      </c>
      <c r="K157" s="151"/>
      <c r="L157" s="151"/>
      <c r="M157" s="151"/>
      <c r="N157" s="151"/>
      <c r="O157" s="151"/>
      <c r="P157" s="153"/>
      <c r="Q157" s="40" t="n">
        <f aca="false">Q156-P156</f>
        <v>14261.004</v>
      </c>
      <c r="S157" s="151" t="s">
        <v>172</v>
      </c>
      <c r="T157" s="151"/>
      <c r="U157" s="151"/>
      <c r="V157" s="151"/>
      <c r="W157" s="151"/>
      <c r="X157" s="151"/>
      <c r="Y157" s="153"/>
      <c r="Z157" s="40" t="n">
        <f aca="false">Z156-Y156</f>
        <v>-5023.5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n">
        <f aca="false">AI156-AH156</f>
        <v>-5023.5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21258</v>
      </c>
      <c r="H167" s="167"/>
      <c r="J167" s="166" t="s">
        <v>179</v>
      </c>
      <c r="K167" s="32"/>
      <c r="L167" s="32"/>
      <c r="M167" s="23"/>
      <c r="N167" s="32"/>
      <c r="O167" s="23"/>
      <c r="P167" s="167" t="n">
        <f aca="false">Q156-P163-P166</f>
        <v>36519.004</v>
      </c>
      <c r="Q167" s="167"/>
      <c r="S167" s="166" t="s">
        <v>179</v>
      </c>
      <c r="T167" s="32"/>
      <c r="U167" s="32"/>
      <c r="V167" s="23"/>
      <c r="W167" s="32"/>
      <c r="X167" s="23"/>
      <c r="Y167" s="167" t="n">
        <f aca="false">Z156-Y163-Y166</f>
        <v>17234.5</v>
      </c>
      <c r="Z167" s="167"/>
      <c r="AB167" s="166" t="s">
        <v>179</v>
      </c>
      <c r="AC167" s="32"/>
      <c r="AD167" s="32"/>
      <c r="AE167" s="23"/>
      <c r="AF167" s="32"/>
      <c r="AG167" s="23"/>
      <c r="AH167" s="167" t="n">
        <f aca="false">AI156-AH163-AH166</f>
        <v>17234.5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419.513616970629</v>
      </c>
      <c r="B176" s="174" t="n">
        <f aca="false">B103</f>
        <v>80.4375</v>
      </c>
      <c r="C176" s="171"/>
      <c r="D176" s="171"/>
      <c r="E176" s="174" t="n">
        <f aca="false">B105</f>
        <v>499.951116970629</v>
      </c>
      <c r="F176" s="23"/>
      <c r="G176" s="23"/>
      <c r="H176" s="33"/>
      <c r="J176" s="173" t="n">
        <f aca="false">K104</f>
        <v>1522.35059507587</v>
      </c>
      <c r="K176" s="175" t="n">
        <f aca="false">K103</f>
        <v>0</v>
      </c>
      <c r="L176" s="172"/>
      <c r="M176" s="172"/>
      <c r="N176" s="175" t="n">
        <f aca="false">K105</f>
        <v>1522.35059507587</v>
      </c>
      <c r="O176" s="23"/>
      <c r="P176" s="23"/>
      <c r="Q176" s="33"/>
      <c r="S176" s="173" t="n">
        <f aca="false">T104</f>
        <v>634.549742547474</v>
      </c>
      <c r="T176" s="175" t="n">
        <f aca="false">T103</f>
        <v>0</v>
      </c>
      <c r="U176" s="172"/>
      <c r="V176" s="172"/>
      <c r="W176" s="175" t="n">
        <f aca="false">T105</f>
        <v>634.549742547474</v>
      </c>
      <c r="X176" s="23"/>
      <c r="Y176" s="23"/>
      <c r="Z176" s="33"/>
      <c r="AB176" s="173" t="n">
        <f aca="false">AC104</f>
        <v>634.549742547474</v>
      </c>
      <c r="AC176" s="175" t="n">
        <f aca="false">AC103</f>
        <v>0</v>
      </c>
      <c r="AD176" s="172"/>
      <c r="AE176" s="172"/>
      <c r="AF176" s="175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f aca="false">B91</f>
        <v>7200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17440</v>
      </c>
      <c r="B182" s="99" t="n">
        <f aca="false">H146</f>
        <v>3488</v>
      </c>
      <c r="C182" s="183"/>
      <c r="D182" s="23"/>
      <c r="E182" s="179" t="n">
        <f aca="false">H148+H149</f>
        <v>330</v>
      </c>
      <c r="F182" s="23"/>
      <c r="G182" s="23"/>
      <c r="H182" s="33"/>
      <c r="J182" s="182" t="n">
        <f aca="false">Q150-Q146-Q148-Q149</f>
        <v>29324.17</v>
      </c>
      <c r="K182" s="38" t="n">
        <f aca="false">Q146</f>
        <v>5864.834</v>
      </c>
      <c r="L182" s="43"/>
      <c r="M182" s="23"/>
      <c r="N182" s="181" t="n">
        <f aca="false">Q148+Q149</f>
        <v>330</v>
      </c>
      <c r="O182" s="23"/>
      <c r="P182" s="23"/>
      <c r="Q182" s="33"/>
      <c r="S182" s="182" t="n">
        <f aca="false">Z150-Z146-Z148-Z149</f>
        <v>13253.75</v>
      </c>
      <c r="T182" s="38" t="n">
        <f aca="false">Z146</f>
        <v>2650.75</v>
      </c>
      <c r="U182" s="43"/>
      <c r="V182" s="23"/>
      <c r="W182" s="181" t="n">
        <f aca="false">Z148+Z149</f>
        <v>330</v>
      </c>
      <c r="X182" s="23"/>
      <c r="Y182" s="23"/>
      <c r="Z182" s="33"/>
      <c r="AB182" s="182" t="n">
        <f aca="false">AI150-AI146-AI148-AI149</f>
        <v>13253.75</v>
      </c>
      <c r="AC182" s="38" t="n">
        <f aca="false">AI146</f>
        <v>2650.75</v>
      </c>
      <c r="AD182" s="43"/>
      <c r="AE182" s="23"/>
      <c r="AF182" s="181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21258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21258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-633.564256939884</v>
      </c>
      <c r="B191" s="99" t="str">
        <f aca="false">B123</f>
        <v>239.99</v>
      </c>
      <c r="C191" s="99"/>
      <c r="D191" s="23"/>
      <c r="E191" s="99" t="n">
        <f aca="false">E188+A191+B191+A194</f>
        <v>20874.4257430601</v>
      </c>
      <c r="F191" s="23"/>
      <c r="G191" s="23"/>
      <c r="H191" s="101"/>
      <c r="J191" s="107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1"/>
      <c r="S191" s="107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1"/>
      <c r="AB191" s="107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7210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5.02272</v>
      </c>
      <c r="B197" s="99" t="n">
        <f aca="false">(G167*B76)/1.2</f>
        <v>166.078125</v>
      </c>
      <c r="C197" s="130"/>
      <c r="D197" s="130"/>
      <c r="E197" s="99" t="n">
        <f aca="false">IF(E114="YES",(K55*A117*0.1), 0)</f>
        <v>49.5</v>
      </c>
      <c r="F197" s="23"/>
      <c r="G197" s="23"/>
      <c r="H197" s="33"/>
      <c r="J197" s="107" t="n">
        <f aca="false">IF(N114="YES", H15*0.000002, 0)</f>
        <v>0.042516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315.569791666667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14261.004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-5023.5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-5023.5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499.951116970629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419.513616970629</v>
      </c>
      <c r="B221" s="174" t="n">
        <f aca="false">B176</f>
        <v>80.4375</v>
      </c>
      <c r="C221" s="171"/>
      <c r="D221" s="171"/>
      <c r="E221" s="174" t="n">
        <f aca="false">E176</f>
        <v>499.951116970629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17440</v>
      </c>
      <c r="B224" s="99" t="n">
        <f aca="false">B182</f>
        <v>3488</v>
      </c>
      <c r="C224" s="183"/>
      <c r="D224" s="109"/>
      <c r="E224" s="179" t="n">
        <f aca="false">E182</f>
        <v>330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21258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21258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-633.564256939884</v>
      </c>
      <c r="B233" s="99" t="str">
        <f aca="false">B191</f>
        <v>239.99</v>
      </c>
      <c r="C233" s="99"/>
      <c r="D233" s="109"/>
      <c r="E233" s="99" t="n">
        <f aca="false">E191</f>
        <v>20874.4257430601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419.513616970629</v>
      </c>
      <c r="B239" s="99" t="n">
        <f aca="false">B176</f>
        <v>80.4375</v>
      </c>
      <c r="C239" s="183"/>
      <c r="D239" s="183"/>
      <c r="E239" s="99" t="n">
        <f aca="false">E176</f>
        <v>499.951116970629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7200</v>
      </c>
      <c r="B242" s="99" t="n">
        <f aca="false">E194</f>
        <v>7210</v>
      </c>
      <c r="C242" s="130"/>
      <c r="D242" s="130"/>
      <c r="E242" s="99" t="n">
        <f aca="false">J18*0.000006*100*1.2</f>
        <v>15.06816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5.02272</v>
      </c>
      <c r="B245" s="99" t="n">
        <f aca="false">E242+A245</f>
        <v>20.09088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166.078125</v>
      </c>
      <c r="C249" s="130"/>
      <c r="D249" s="130"/>
      <c r="E249" s="99" t="n">
        <f aca="false">E197</f>
        <v>49.5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315.569791666667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199.29375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594.991666666667</v>
      </c>
      <c r="C264" s="194"/>
      <c r="D264" s="195" t="s">
        <v>215</v>
      </c>
      <c r="E264" s="195"/>
      <c r="F264" s="196" t="n">
        <f aca="false">(B263-F263)+B264</f>
        <v>395.697916666667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0.115</v>
      </c>
      <c r="C269" s="43"/>
      <c r="D269" s="163" t="s">
        <v>212</v>
      </c>
      <c r="E269" s="163"/>
      <c r="F269" s="143" t="n">
        <f aca="false">(B98*B68)-(C98*B68)</f>
        <v>13424.4357430601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0.009375</v>
      </c>
      <c r="C270" s="32"/>
      <c r="D270" s="163" t="s">
        <v>218</v>
      </c>
      <c r="E270" s="163"/>
      <c r="F270" s="148" t="n">
        <f aca="false">B77</f>
        <v>199.29375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0.3</v>
      </c>
      <c r="C271" s="32"/>
      <c r="D271" s="163" t="s">
        <v>219</v>
      </c>
      <c r="E271" s="163"/>
      <c r="F271" s="143" t="n">
        <f aca="false">E249*10</f>
        <v>495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99.9916666666667</v>
      </c>
      <c r="C272" s="32"/>
      <c r="D272" s="39" t="s">
        <v>215</v>
      </c>
      <c r="E272" s="39"/>
      <c r="F272" s="143" t="n">
        <f aca="false">(B263-F263)+B264</f>
        <v>395.697916666667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60000.0</v>
      </c>
      <c r="C9" s="14" t="n">
        <f aca="false">B9*0.2</f>
        <v>12000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387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36.0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388</v>
      </c>
      <c r="C30" s="169"/>
      <c r="D30" s="211"/>
      <c r="E30" s="212"/>
      <c r="F30" s="63"/>
      <c r="G30" s="214" t="s">
        <v>32</v>
      </c>
      <c r="H30" s="457" t="n">
        <v>10000.0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66666.66666666667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6000.0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9" t="n">
        <f aca="false">H48</f>
        <v>1470.66688274653</v>
      </c>
      <c r="E33" s="212"/>
      <c r="F33" s="63"/>
      <c r="G33" s="215" t="s">
        <v>352</v>
      </c>
      <c r="H33" s="460" t="n">
        <f aca="false">E21-E11</f>
        <v>60000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1420.66688274653</v>
      </c>
      <c r="B36" s="99" t="n">
        <f aca="false">IF(B26="YES", H42, "")</f>
        <v>50</v>
      </c>
      <c r="C36" s="217"/>
      <c r="D36" s="181" t="n">
        <f aca="false">H31</f>
        <v>20000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60000</v>
      </c>
      <c r="I39" s="234" t="n">
        <f aca="false">(I48*H46)+H44</f>
        <v>57694.31707024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20000</v>
      </c>
      <c r="B40" s="103" t="n">
        <f aca="false">IF(B26="YES",H42,"0")</f>
        <v>50</v>
      </c>
      <c r="C40" s="103"/>
      <c r="D40" s="181" t="n">
        <f aca="false">I32</f>
        <v>1800</v>
      </c>
      <c r="E40" s="212"/>
      <c r="F40" s="63"/>
      <c r="G40" s="63" t="s">
        <v>106</v>
      </c>
      <c r="H40" s="234" t="n">
        <f aca="false">A40/1.2</f>
        <v>16666.6666666667</v>
      </c>
      <c r="I40" s="234" t="n">
        <f aca="false">H39-I39</f>
        <v>2305.68292975996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50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13647.2071058677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1"/>
      <c r="C45" s="463" t="n">
        <v>30.0</v>
      </c>
      <c r="D45" s="463"/>
      <c r="E45" s="212"/>
      <c r="F45" s="63"/>
      <c r="G45" s="63" t="s">
        <v>373</v>
      </c>
      <c r="H45" s="234" t="n">
        <f aca="false">(H39-H44)</f>
        <v>46352.7928941323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1420.66688274653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1470.66688274653</v>
      </c>
      <c r="I48" s="234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1470.66688274653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375</v>
      </c>
      <c r="B60" s="211" t="n">
        <f aca="false">E19</f>
        <v>72000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37405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7560</v>
      </c>
      <c r="C64" s="465" t="n">
        <v>10000.0</v>
      </c>
      <c r="D64" s="290" t="n">
        <f aca="false">B64</f>
        <v>7560</v>
      </c>
      <c r="E64" s="466" t="n">
        <f aca="false">D64/(B58+B57)</f>
        <v>210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748.1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472" t="n">
        <f aca="false">B73+B71</f>
        <v>380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165.0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0.0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508.75</v>
      </c>
      <c r="C76" s="211"/>
      <c r="D76" s="290" t="n">
        <f aca="false">B76</f>
        <v>508.75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0</v>
      </c>
      <c r="C77" s="473"/>
      <c r="D77" s="290" t="n">
        <f aca="false">B77</f>
        <v>0</v>
      </c>
      <c r="E77" s="466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473"/>
      <c r="D78" s="290" t="n">
        <f aca="false">B78</f>
        <v>0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473"/>
      <c r="D80" s="290" t="n">
        <f aca="false">B80</f>
        <v>200</v>
      </c>
      <c r="E80" s="466" t="n">
        <f aca="false">(D73+D76+D79+D80)/(B58+B57)</f>
        <v>35.7986111111111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8848.75</v>
      </c>
      <c r="C81" s="473"/>
      <c r="D81" s="474"/>
      <c r="E81" s="466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245.798611111111</v>
      </c>
      <c r="C82" s="473"/>
      <c r="D82" s="211"/>
      <c r="E82" s="466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1420.66688274653</v>
      </c>
      <c r="C83" s="473"/>
      <c r="D83" s="211"/>
      <c r="E83" s="466" t="n">
        <f aca="false">B83+E80+E77+E64</f>
        <v>1666.46549385764</v>
      </c>
      <c r="F83" s="63"/>
      <c r="G83" s="304" t="s">
        <v>104</v>
      </c>
      <c r="H83" s="305" t="n">
        <f aca="false">H47</f>
        <v>1420.66688274653</v>
      </c>
      <c r="I83" s="211"/>
      <c r="J83" s="211"/>
      <c r="K83" s="212"/>
      <c r="L83" s="63"/>
      <c r="M83" s="304" t="s">
        <v>104</v>
      </c>
      <c r="N83" s="305" t="n">
        <f aca="false">H47</f>
        <v>1420.66688274653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59992.7577788752</v>
      </c>
      <c r="C85" s="473"/>
      <c r="D85" s="473"/>
      <c r="E85" s="466" t="n">
        <f aca="false">B85/(B58+B57)</f>
        <v>1666.46549385764</v>
      </c>
      <c r="F85" s="63"/>
      <c r="G85" s="287" t="s">
        <v>114</v>
      </c>
      <c r="H85" s="127" t="n">
        <f aca="false">((H83*H29)+H81)*1.2</f>
        <v>62651.7093346502</v>
      </c>
      <c r="I85" s="211"/>
      <c r="J85" s="211"/>
      <c r="K85" s="212"/>
      <c r="L85" s="63"/>
      <c r="M85" s="287" t="s">
        <v>114</v>
      </c>
      <c r="N85" s="127" t="n">
        <f aca="false">((N83*H29)+N81)</f>
        <v>51866.0077788752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508.208113495917</v>
      </c>
      <c r="C86" s="473" t="s">
        <v>227</v>
      </c>
      <c r="D86" s="211"/>
      <c r="E86" s="466" t="n">
        <f aca="false">B86/(B58+B57)</f>
        <v>14.1168920415533</v>
      </c>
      <c r="F86" s="63"/>
      <c r="G86" s="210" t="s">
        <v>115</v>
      </c>
      <c r="H86" s="299" t="n">
        <f aca="false">((((H83*H29)+H81))/(1-H70))*H70</f>
        <v>442.277092923106</v>
      </c>
      <c r="I86" s="211"/>
      <c r="J86" s="211"/>
      <c r="K86" s="212"/>
      <c r="L86" s="63"/>
      <c r="M86" s="210" t="s">
        <v>115</v>
      </c>
      <c r="N86" s="299" t="n">
        <f aca="false">(N85/(1-N70))*N70</f>
        <v>439.365132455175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60500.9658923711</v>
      </c>
      <c r="C87" s="473"/>
      <c r="D87" s="475"/>
      <c r="E87" s="466" t="n">
        <f aca="false">E86+E85</f>
        <v>1680.5823858992</v>
      </c>
      <c r="F87" s="63"/>
      <c r="G87" s="284" t="s">
        <v>116</v>
      </c>
      <c r="H87" s="129" t="n">
        <f aca="false">IF(H110="YES",((H85+H86)-K114),(H85+H86))</f>
        <v>63093.9864275733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52305.3729113304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65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63.2195121951219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52.6829268292683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1680.5823858992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1538.87771774569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1275.74080271537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1745.5823858992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1602.09722994081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1328.42372954464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376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1000.0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377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400.0</v>
      </c>
      <c r="C102" s="103"/>
      <c r="D102" s="103" t="n">
        <v>200.0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387</v>
      </c>
      <c r="B105" s="313" t="n">
        <v>0.3</v>
      </c>
      <c r="C105" s="313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390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0.0</v>
      </c>
      <c r="E112" s="103" t="n">
        <v>6000.0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1538.87771774569</v>
      </c>
      <c r="H127" s="174" t="n">
        <f aca="false">IF(G105="YES", H89*H57, 0)</f>
        <v>379.317073170732</v>
      </c>
      <c r="I127" s="174"/>
      <c r="J127" s="333" t="n">
        <f aca="false">H91</f>
        <v>1602.09722994081</v>
      </c>
      <c r="K127" s="212"/>
      <c r="L127" s="63"/>
      <c r="M127" s="332" t="n">
        <f aca="false">N90</f>
        <v>1275.74080271537</v>
      </c>
      <c r="N127" s="174" t="n">
        <f aca="false">IF(M105="YES", N89*N57, 0)</f>
        <v>316.09756097561</v>
      </c>
      <c r="O127" s="174"/>
      <c r="P127" s="174" t="n">
        <f aca="false">N91</f>
        <v>1328.42372954464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1680.5823858992</v>
      </c>
      <c r="B128" s="320" t="n">
        <f aca="false">IF(A105="YES", B89, 0)</f>
        <v>65</v>
      </c>
      <c r="C128" s="324"/>
      <c r="D128" s="320" t="n">
        <f aca="false">B91</f>
        <v>1745.5823858992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1680.5823858992</v>
      </c>
      <c r="C131" s="316"/>
      <c r="D131" s="38" t="n">
        <f aca="false">IF(A105="YES", B89*B57, 0)</f>
        <v>65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9233.26630647415</v>
      </c>
      <c r="H133" s="99" t="n">
        <f aca="false">IF(G105="YES", H89*H57, 0)</f>
        <v>379.317073170732</v>
      </c>
      <c r="I133" s="217"/>
      <c r="J133" s="181" t="n">
        <f aca="false">H91*H57</f>
        <v>9612.58337964488</v>
      </c>
      <c r="K133" s="212"/>
      <c r="L133" s="63"/>
      <c r="M133" s="182" t="n">
        <f aca="false">N90*N57</f>
        <v>7654.44481629225</v>
      </c>
      <c r="N133" s="99" t="n">
        <f aca="false">IF(M105="YES", N89*N57, 0)</f>
        <v>316.09756097561</v>
      </c>
      <c r="O133" s="217"/>
      <c r="P133" s="181" t="n">
        <f aca="false">N91*N57</f>
        <v>7970.54237726786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1745.5823858992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1680.5823858992</v>
      </c>
      <c r="B137" s="38" t="n">
        <f aca="false">IF(A105="YES", B89, 0)</f>
        <v>65</v>
      </c>
      <c r="C137" s="316"/>
      <c r="D137" s="38" t="n">
        <f aca="false">B91</f>
        <v>1745.5823858992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26.9316</v>
      </c>
      <c r="B140" s="342" t="n">
        <f aca="false">IF(A105="YES", B61*0.000002, 0)*1.2*100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36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36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748.1</v>
      </c>
      <c r="B148" s="99" t="n">
        <f aca="false">B102</f>
        <v>0</v>
      </c>
      <c r="C148" s="38"/>
      <c r="D148" s="38" t="n">
        <f aca="false">IF(A105="YES", (B40*B105)*B125, 0)*0.1</f>
        <v>54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902.09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1602.09722994081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1328.42372954464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1745.5823858992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1680.5823858992</v>
      </c>
      <c r="B177" s="354" t="n">
        <f aca="false">IF(A105="YES", B89, 0)</f>
        <v>65</v>
      </c>
      <c r="C177" s="356"/>
      <c r="D177" s="354" t="n">
        <f aca="false">B91</f>
        <v>1745.5823858992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1680.5823858992</v>
      </c>
      <c r="C180" s="352"/>
      <c r="D180" s="99" t="n">
        <f aca="false">IF(A105="YES", B89*B57, 0)</f>
        <v>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1745.5823858992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1680.5823858992</v>
      </c>
      <c r="B186" s="99" t="n">
        <f aca="false">IF(A105="YES", B89, 0)</f>
        <v>65</v>
      </c>
      <c r="C186" s="352"/>
      <c r="D186" s="99" t="n">
        <f aca="false">B91</f>
        <v>1745.5823858992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26.9316</v>
      </c>
      <c r="B189" s="364" t="n">
        <f aca="false">B140</f>
        <v>8.9772</v>
      </c>
      <c r="C189" s="352"/>
      <c r="D189" s="364" t="n">
        <f aca="false">A189+B189</f>
        <v>35.9088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748.1</v>
      </c>
      <c r="B197" s="99" t="n">
        <f aca="false">B102</f>
        <v>0</v>
      </c>
      <c r="C197" s="99"/>
      <c r="D197" s="99" t="n">
        <f aca="false">IF(A105="YES", (B40*B105)*B125, 0)*0.1</f>
        <v>54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902.09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7560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748.1</v>
      </c>
      <c r="C211" s="319" t="s">
        <v>214</v>
      </c>
      <c r="D211" s="369" t="n">
        <f aca="false">B225+E221+B221+B223</f>
        <v>639.99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7451.89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7560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748.1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7451.89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540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508.208113495917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2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 t="n">
        <v>23125</v>
      </c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 t="n">
        <v>0</v>
      </c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 t="n">
        <v>0</v>
      </c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8.96969696969697</v>
      </c>
      <c r="E32" s="222"/>
      <c r="F32" s="63"/>
      <c r="G32" s="223" t="s">
        <v>241</v>
      </c>
      <c r="H32" s="221" t="n">
        <f aca="false">A41</f>
        <v>8.96969696969697</v>
      </c>
      <c r="I32" s="0"/>
      <c r="J32" s="44" t="s">
        <v>37</v>
      </c>
      <c r="K32" s="45" t="n">
        <v>48877.5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n">
        <v>1000.0</v>
      </c>
      <c r="P34" s="208"/>
    </row>
    <row r="35" customFormat="false" ht="17.35" hidden="false" customHeight="false" outlineLevel="0" collapsed="false">
      <c r="A35" s="222" t="n">
        <f aca="false">B32+D32</f>
        <v>508.969696969697</v>
      </c>
      <c r="B35" s="219" t="n">
        <v>33.0</v>
      </c>
      <c r="C35" s="219"/>
      <c r="D35" s="219" t="n">
        <v>5000.0</v>
      </c>
      <c r="E35" s="219"/>
      <c r="F35" s="63"/>
      <c r="G35" s="229"/>
      <c r="H35" s="230"/>
      <c r="I35" s="0"/>
      <c r="J35" s="44"/>
      <c r="K35" s="12" t="n">
        <v>0.07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469.92</v>
      </c>
      <c r="I36" s="0"/>
      <c r="J36" s="44" t="s">
        <v>51</v>
      </c>
      <c r="K36" s="52" t="n">
        <f aca="false">K32-K34</f>
        <v>16770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394</v>
      </c>
      <c r="C38" s="219"/>
      <c r="D38" s="100" t="n">
        <v>500.0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8.96969696969697</v>
      </c>
      <c r="B41" s="237" t="n">
        <f aca="false">IF(B38="YES", D38+A41, D38)</f>
        <v>508.969696969697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n">
        <v>12.0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8.96969696969697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509.333333333333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509.333333333333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12915.1024097268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199.29375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16770</v>
      </c>
      <c r="C81" s="130"/>
      <c r="D81" s="130"/>
      <c r="E81" s="109"/>
      <c r="F81" s="25" t="s">
        <v>105</v>
      </c>
      <c r="G81" s="27" t="n">
        <f aca="false">G158</f>
        <v>21258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7200</v>
      </c>
      <c r="C82" s="130"/>
      <c r="D82" s="130"/>
      <c r="E82" s="109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130" t="n">
        <f aca="false">(B82/((1+B84)^(B85+1)))</f>
        <v>5255.82391109543</v>
      </c>
      <c r="D86" s="130"/>
      <c r="E86" s="109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11514.1760889046</v>
      </c>
      <c r="C88" s="130" t="n">
        <f aca="false">B81-B86</f>
        <v>11514.1760889046</v>
      </c>
      <c r="D88" s="130"/>
      <c r="E88" s="109"/>
      <c r="F88" s="31" t="s">
        <v>112</v>
      </c>
      <c r="G88" s="33" t="n">
        <f aca="false">G81-G86</f>
        <v>15233.6270487143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419.513616970629</v>
      </c>
      <c r="C89" s="130" t="n">
        <f aca="false">(B88/B87)</f>
        <v>419.513616970629</v>
      </c>
      <c r="D89" s="130"/>
      <c r="E89" s="109"/>
      <c r="F89" s="31" t="s">
        <v>113</v>
      </c>
      <c r="G89" s="33" t="n">
        <f aca="false">(G88/G87)</f>
        <v>519.784811004422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13424.4357430601</v>
      </c>
      <c r="C90" s="130"/>
      <c r="D90" s="130"/>
      <c r="E90" s="109"/>
      <c r="F90" s="31" t="s">
        <v>114</v>
      </c>
      <c r="G90" s="33" t="n">
        <f aca="false">((G89*(G85))+G77)</f>
        <v>16633.1139521415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13424.4357430601</v>
      </c>
      <c r="C92" s="130"/>
      <c r="D92" s="130"/>
      <c r="E92" s="109"/>
      <c r="F92" s="56" t="s">
        <v>116</v>
      </c>
      <c r="G92" s="65" t="n">
        <f aca="false">(G90+G91)</f>
        <v>16633.1139521415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14.43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419.513616970629</v>
      </c>
      <c r="C95" s="130"/>
      <c r="D95" s="130"/>
      <c r="E95" s="109"/>
      <c r="F95" s="91" t="s">
        <v>118</v>
      </c>
      <c r="G95" s="92" t="n">
        <f aca="false">G92/(G85)</f>
        <v>519.784811004422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433.943616970629</v>
      </c>
      <c r="C96" s="130"/>
      <c r="D96" s="130"/>
      <c r="E96" s="109"/>
      <c r="F96" s="93" t="s">
        <v>119</v>
      </c>
      <c r="G96" s="94" t="n">
        <f aca="false">G94+G95</f>
        <v>519.784811004422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394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392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387</v>
      </c>
      <c r="B111" s="103" t="n">
        <v>5000.0</v>
      </c>
      <c r="C111" s="103"/>
      <c r="D111" s="103"/>
      <c r="E111" s="103" t="n">
        <v>4000.0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393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16745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16745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3488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275</v>
      </c>
      <c r="H139" s="33" t="n">
        <f aca="false">G139</f>
        <v>275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21258</v>
      </c>
      <c r="H141" s="154" t="n">
        <f aca="false">(H135+H136+H139+H140+H137)-H138</f>
        <v>21258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21258</v>
      </c>
      <c r="H147" s="161" t="n">
        <f aca="false">H141-((H144*1.2)+(H145*1.2)+(H146*1.2)+(H142*1.2))</f>
        <v>21258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-17715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21258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419.513616970629</v>
      </c>
      <c r="B167" s="174" t="n">
        <f aca="false">B94</f>
        <v>14.43</v>
      </c>
      <c r="C167" s="171"/>
      <c r="D167" s="171"/>
      <c r="E167" s="174" t="n">
        <f aca="false">B96</f>
        <v>433.943616970629</v>
      </c>
      <c r="F167" s="23"/>
      <c r="G167" s="23" t="n">
        <f aca="false">ROUND(G95, 2)</f>
        <v>519.78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17440</v>
      </c>
      <c r="B173" s="99" t="n">
        <f aca="false">H137</f>
        <v>3488</v>
      </c>
      <c r="C173" s="183"/>
      <c r="D173" s="23"/>
      <c r="E173" s="179" t="n">
        <f aca="false">H139+H140</f>
        <v>330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21258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21258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-633.564256939884</v>
      </c>
      <c r="B182" s="99" t="str">
        <f aca="false">B114</f>
        <v>239.99</v>
      </c>
      <c r="C182" s="99"/>
      <c r="D182" s="23"/>
      <c r="E182" s="99" t="n">
        <f aca="false">E179+A182+B182+A185</f>
        <v>20874.4257430601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5.02272</v>
      </c>
      <c r="B188" s="99" t="n">
        <f aca="false">(G158*B67)/1.2</f>
        <v>166.078125</v>
      </c>
      <c r="C188" s="130"/>
      <c r="D188" s="130"/>
      <c r="E188" s="99" t="n">
        <f aca="false">IF(E105 = "YES" , (H36*A108)*0.1 , 0)</f>
        <v>8.88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274.949791666667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433.943616970629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2574.96</v>
      </c>
      <c r="B201" s="183" t="n">
        <f aca="false">E179+A201+B182+A185</f>
        <v>24082.95</v>
      </c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419.513616970629</v>
      </c>
      <c r="B212" s="174" t="n">
        <f aca="false">B167</f>
        <v>14.43</v>
      </c>
      <c r="C212" s="171"/>
      <c r="D212" s="171"/>
      <c r="E212" s="174" t="n">
        <f aca="false">E167</f>
        <v>433.943616970629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17440</v>
      </c>
      <c r="B215" s="99" t="n">
        <f aca="false">B173</f>
        <v>3488</v>
      </c>
      <c r="C215" s="183"/>
      <c r="D215" s="109"/>
      <c r="E215" s="179" t="n">
        <f aca="false">E173</f>
        <v>330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21258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21258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-633.564256939884</v>
      </c>
      <c r="B224" s="99" t="str">
        <f aca="false">B182</f>
        <v>239.99</v>
      </c>
      <c r="C224" s="99"/>
      <c r="D224" s="109"/>
      <c r="E224" s="99" t="n">
        <f aca="false">E182</f>
        <v>20874.4257430601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419.513616970629</v>
      </c>
      <c r="B230" s="99" t="n">
        <f aca="false">B167</f>
        <v>14.43</v>
      </c>
      <c r="C230" s="183"/>
      <c r="D230" s="183"/>
      <c r="E230" s="99" t="n">
        <f aca="false">E167</f>
        <v>433.943616970629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J18*0.000006*100*1.2</f>
        <v>15.06816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5.02272</v>
      </c>
      <c r="B236" s="99" t="n">
        <f aca="false">E233+A236</f>
        <v>20.09088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166.078125</v>
      </c>
      <c r="C240" s="130"/>
      <c r="D240" s="130"/>
      <c r="E240" s="99" t="n">
        <f aca="false">IF(E105 = "YES" , (H36*A108)*0.1 , 0)</f>
        <v>8.88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274.949791666667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-3198.52425693988</v>
      </c>
      <c r="C254" s="194"/>
      <c r="D254" s="195" t="s">
        <v>213</v>
      </c>
      <c r="E254" s="195"/>
      <c r="F254" s="196" t="n">
        <f aca="false">F261+F267+F269+B270+B271</f>
        <v>199.29375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188.791666666667</v>
      </c>
      <c r="C255" s="194"/>
      <c r="D255" s="195" t="s">
        <v>215</v>
      </c>
      <c r="E255" s="195"/>
      <c r="F255" s="196" t="n">
        <f aca="false">(B254-F254)+B255</f>
        <v>-3209.02634027322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-3198.52425693988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199.29375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88.8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-3209.02634027322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4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n">
        <v>48877.5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n">
        <v>1000.0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n">
        <v>33.0</v>
      </c>
      <c r="C35" s="219"/>
      <c r="D35" s="219" t="n">
        <v>5000.0</v>
      </c>
      <c r="E35" s="219"/>
      <c r="F35" s="63"/>
      <c r="G35" s="229"/>
      <c r="H35" s="230"/>
      <c r="I35" s="0"/>
      <c r="J35" s="44"/>
      <c r="K35" s="12" t="n">
        <v>0.07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16770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390</v>
      </c>
      <c r="C38" s="219"/>
      <c r="D38" s="100" t="n">
        <v>500.0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n">
        <v>12.0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0.07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13676.0741093692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199.29375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16770</v>
      </c>
      <c r="C81" s="130"/>
      <c r="D81" s="130"/>
      <c r="E81" s="109"/>
      <c r="F81" s="25" t="s">
        <v>105</v>
      </c>
      <c r="G81" s="27" t="n">
        <f aca="false">G158</f>
        <v>21258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7200</v>
      </c>
      <c r="C82" s="130"/>
      <c r="D82" s="130"/>
      <c r="E82" s="109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0.137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0.0114166666666667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4950.38529500718</v>
      </c>
      <c r="C86" s="130" t="n">
        <f aca="false">(B82/((1+B84)^(B85+1)))</f>
        <v>4950.38529500718</v>
      </c>
      <c r="D86" s="130"/>
      <c r="E86" s="109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130" t="n">
        <f aca="false">((1-(1/((1+B84)^B85)))/B84)</f>
        <v>26.6800219733353</v>
      </c>
      <c r="D87" s="130"/>
      <c r="E87" s="109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11819.6147049928</v>
      </c>
      <c r="C88" s="130" t="n">
        <f aca="false">B81-B86</f>
        <v>11819.6147049928</v>
      </c>
      <c r="D88" s="130"/>
      <c r="E88" s="109"/>
      <c r="F88" s="31" t="s">
        <v>112</v>
      </c>
      <c r="G88" s="33" t="n">
        <f aca="false">G81-G86</f>
        <v>15233.6270487143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443.01367955415</v>
      </c>
      <c r="C89" s="130" t="n">
        <f aca="false">(B88/B87)</f>
        <v>443.01367955415</v>
      </c>
      <c r="D89" s="130"/>
      <c r="E89" s="109"/>
      <c r="F89" s="31" t="s">
        <v>113</v>
      </c>
      <c r="G89" s="33" t="n">
        <f aca="false">(G88/G87)</f>
        <v>519.784811004422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14176.4377457328</v>
      </c>
      <c r="C90" s="130"/>
      <c r="D90" s="130"/>
      <c r="E90" s="109"/>
      <c r="F90" s="31" t="s">
        <v>114</v>
      </c>
      <c r="G90" s="33" t="n">
        <f aca="false">((G89*(G85))+G77)</f>
        <v>16633.1139521415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14176.4377457328</v>
      </c>
      <c r="C92" s="130"/>
      <c r="D92" s="130"/>
      <c r="E92" s="109"/>
      <c r="F92" s="56" t="s">
        <v>116</v>
      </c>
      <c r="G92" s="65" t="n">
        <f aca="false">(G90+G91)</f>
        <v>16633.1139521415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443.01367955415</v>
      </c>
      <c r="C95" s="130"/>
      <c r="D95" s="130"/>
      <c r="E95" s="109"/>
      <c r="F95" s="91" t="s">
        <v>118</v>
      </c>
      <c r="G95" s="92" t="n">
        <f aca="false">G92/(G85)</f>
        <v>519.784811004422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443.01367955415</v>
      </c>
      <c r="C96" s="130"/>
      <c r="D96" s="130"/>
      <c r="E96" s="109"/>
      <c r="F96" s="93" t="s">
        <v>119</v>
      </c>
      <c r="G96" s="94" t="n">
        <f aca="false">G94+G95</f>
        <v>519.784811004422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390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392</v>
      </c>
      <c r="C108" s="103"/>
      <c r="D108" s="103"/>
      <c r="E108" s="104" t="n">
        <f aca="false">B83</f>
        <v>0.137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387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391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 t="s">
        <v>18</v>
      </c>
      <c r="B120" s="112" t="n">
        <v>0</v>
      </c>
      <c r="C120" s="113" t="s">
        <v>148</v>
      </c>
      <c r="D120" s="112" t="s">
        <v>147</v>
      </c>
      <c r="E120" s="114" t="n">
        <v>0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16745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16745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3488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275</v>
      </c>
      <c r="H139" s="33" t="n">
        <f aca="false">G139</f>
        <v>275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21258</v>
      </c>
      <c r="H141" s="154" t="n">
        <f aca="false">(H135+H136+H139+H140+H137)-H138</f>
        <v>21258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21258</v>
      </c>
      <c r="H147" s="161" t="n">
        <f aca="false">H141-((H144*1.2)+(H145*1.2)+(H146*1.2)+(H142*1.2))</f>
        <v>21258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-17715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21258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443.01367955415</v>
      </c>
      <c r="B167" s="174" t="str">
        <f aca="false">B94</f>
        <v>0</v>
      </c>
      <c r="C167" s="171"/>
      <c r="D167" s="171"/>
      <c r="E167" s="174" t="n">
        <f aca="false">B96</f>
        <v>443.01367955415</v>
      </c>
      <c r="F167" s="23"/>
      <c r="G167" s="23" t="n">
        <f aca="false">ROUND(G95, 2)</f>
        <v>519.78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177" t="str">
        <f aca="false">H30</f>
        <v>5000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17440</v>
      </c>
      <c r="B173" s="99" t="n">
        <f aca="false">H137</f>
        <v>3488</v>
      </c>
      <c r="C173" s="183"/>
      <c r="D173" s="23"/>
      <c r="E173" s="179" t="n">
        <f aca="false">H139+H140</f>
        <v>330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21258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21258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118.437745732797</v>
      </c>
      <c r="B182" s="99" t="str">
        <f aca="false">B114</f>
        <v>199.99</v>
      </c>
      <c r="C182" s="99"/>
      <c r="D182" s="23"/>
      <c r="E182" s="99" t="n">
        <f aca="false">E179+A182+(B182*1.2)+A185</f>
        <v>21626.4257457328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4.1856</v>
      </c>
      <c r="B188" s="99" t="n">
        <f aca="false">(G158*B67)/1.2</f>
        <v>166.078125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266.068125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443.01367955415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2574.96</v>
      </c>
      <c r="B201" s="183" t="n">
        <f aca="false">E179+A201+(B182*1.2)+A185</f>
        <v>24082.948</v>
      </c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443.01367955415</v>
      </c>
      <c r="B212" s="174" t="str">
        <f aca="false">B167</f>
        <v>0</v>
      </c>
      <c r="C212" s="171"/>
      <c r="D212" s="171"/>
      <c r="E212" s="174" t="n">
        <f aca="false">E167</f>
        <v>443.01367955415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17440</v>
      </c>
      <c r="B215" s="99" t="n">
        <f aca="false">B173</f>
        <v>3488</v>
      </c>
      <c r="C215" s="183"/>
      <c r="D215" s="109"/>
      <c r="E215" s="179" t="n">
        <f aca="false">E173</f>
        <v>330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21258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21258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118.437745732797</v>
      </c>
      <c r="B224" s="99" t="str">
        <f aca="false">B182</f>
        <v>199.99</v>
      </c>
      <c r="C224" s="99"/>
      <c r="D224" s="109"/>
      <c r="E224" s="99" t="n">
        <f aca="false">E182</f>
        <v>21626.4257457328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443.01367955415</v>
      </c>
      <c r="B230" s="99" t="str">
        <f aca="false">B167</f>
        <v>0</v>
      </c>
      <c r="C230" s="183"/>
      <c r="D230" s="183"/>
      <c r="E230" s="99" t="n">
        <f aca="false">E167</f>
        <v>443.01367955415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</f>
        <v>12.5568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4.1856</v>
      </c>
      <c r="B236" s="99" t="n">
        <f aca="false">E233+A236</f>
        <v>16.7424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166.078125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266.068125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-2446.5222542672</v>
      </c>
      <c r="C254" s="194"/>
      <c r="D254" s="195" t="s">
        <v>213</v>
      </c>
      <c r="E254" s="195"/>
      <c r="F254" s="196" t="n">
        <f aca="false">F261+F267+F269+B270+B271</f>
        <v>199.29375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-2545.8260042672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0.137</v>
      </c>
      <c r="C260" s="43"/>
      <c r="D260" s="163" t="s">
        <v>212</v>
      </c>
      <c r="E260" s="163"/>
      <c r="F260" s="143" t="n">
        <f aca="false">B254</f>
        <v>-2446.5222542672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199.29375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-2545.8260042672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2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16745</v>
      </c>
      <c r="C3" s="440" t="n">
        <v>0</v>
      </c>
      <c r="D3" s="440" t="n">
        <v>0</v>
      </c>
      <c r="E3" s="440"/>
      <c r="F3" s="440" t="n">
        <v>0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275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8.96969696969697</v>
      </c>
      <c r="E32" s="222"/>
      <c r="F32" s="63"/>
      <c r="G32" s="223" t="s">
        <v>241</v>
      </c>
      <c r="H32" s="221" t="n">
        <f aca="false">A41</f>
        <v>8.96969696969697</v>
      </c>
      <c r="I32" s="0"/>
      <c r="J32" s="44" t="s">
        <v>37</v>
      </c>
      <c r="K32" s="45" t="s">
        <v>382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508.969696969697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381</v>
      </c>
      <c r="I36" s="0"/>
      <c r="J36" s="44" t="s">
        <v>51</v>
      </c>
      <c r="K36" s="52" t="n">
        <f aca="false">K32-K34</f>
        <v>16770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8.96969696969697</v>
      </c>
      <c r="B41" s="237" t="n">
        <f aca="false">IF(B38="YES", D38+A41, D38)</f>
        <v>508.969696969697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8.96969696969697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509.333333333333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509.333333333333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12915.1024097268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199.29375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16770</v>
      </c>
      <c r="C81" s="130"/>
      <c r="D81" s="130"/>
      <c r="E81" s="109"/>
      <c r="F81" s="25" t="s">
        <v>105</v>
      </c>
      <c r="G81" s="27" t="n">
        <f aca="false">G158</f>
        <v>21258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130" t="n">
        <f aca="false">(B82/((1+B84)^(B85+1)))</f>
        <v>5255.82391109543</v>
      </c>
      <c r="D86" s="130"/>
      <c r="E86" s="109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11514.1760889046</v>
      </c>
      <c r="C88" s="130" t="n">
        <f aca="false">B81-B86</f>
        <v>11514.1760889046</v>
      </c>
      <c r="D88" s="130"/>
      <c r="E88" s="109"/>
      <c r="F88" s="31" t="s">
        <v>112</v>
      </c>
      <c r="G88" s="33" t="n">
        <f aca="false">G81-G86</f>
        <v>15233.6270487143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419.513616970629</v>
      </c>
      <c r="C89" s="130" t="n">
        <f aca="false">(B88/B87)</f>
        <v>419.513616970629</v>
      </c>
      <c r="D89" s="130"/>
      <c r="E89" s="109"/>
      <c r="F89" s="31" t="s">
        <v>113</v>
      </c>
      <c r="G89" s="33" t="n">
        <f aca="false">(G88/G87)</f>
        <v>519.784811004422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13424.4357430601</v>
      </c>
      <c r="C90" s="130"/>
      <c r="D90" s="130"/>
      <c r="E90" s="109"/>
      <c r="F90" s="31" t="s">
        <v>114</v>
      </c>
      <c r="G90" s="33" t="n">
        <f aca="false">((G89*(G85))+G77)</f>
        <v>16633.1139521415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13424.4357430601</v>
      </c>
      <c r="C92" s="130"/>
      <c r="D92" s="130"/>
      <c r="E92" s="109"/>
      <c r="F92" s="56" t="s">
        <v>116</v>
      </c>
      <c r="G92" s="65" t="n">
        <f aca="false">(G90+G91)</f>
        <v>16633.1139521415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14.43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419.513616970629</v>
      </c>
      <c r="C95" s="130"/>
      <c r="D95" s="130"/>
      <c r="E95" s="109"/>
      <c r="F95" s="91" t="s">
        <v>118</v>
      </c>
      <c r="G95" s="92" t="n">
        <f aca="false">G92/(G85)</f>
        <v>519.784811004422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433.943616970629</v>
      </c>
      <c r="C96" s="130"/>
      <c r="D96" s="130"/>
      <c r="E96" s="109"/>
      <c r="F96" s="93" t="s">
        <v>119</v>
      </c>
      <c r="G96" s="94" t="n">
        <f aca="false">G94+G95</f>
        <v>519.784811004422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232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16745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16745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3488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275</v>
      </c>
      <c r="H139" s="33" t="n">
        <f aca="false">G139</f>
        <v>275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21258</v>
      </c>
      <c r="H141" s="154" t="n">
        <f aca="false">(H135+H136+H139+H140+H137)-H138</f>
        <v>21258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21258</v>
      </c>
      <c r="H147" s="161" t="n">
        <f aca="false">H141-((H144*1.2)+(H145*1.2)+(H146*1.2)+(H142*1.2))</f>
        <v>21258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-17715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21258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419.513616970629</v>
      </c>
      <c r="B167" s="174" t="n">
        <f aca="false">B94</f>
        <v>14.43</v>
      </c>
      <c r="C167" s="171"/>
      <c r="D167" s="171"/>
      <c r="E167" s="174" t="n">
        <f aca="false">B96</f>
        <v>433.943616970629</v>
      </c>
      <c r="F167" s="23"/>
      <c r="G167" s="23" t="n">
        <f aca="false">ROUND(G95, 2)</f>
        <v>519.78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17440</v>
      </c>
      <c r="B173" s="99" t="n">
        <f aca="false">H137</f>
        <v>3488</v>
      </c>
      <c r="C173" s="183"/>
      <c r="D173" s="23"/>
      <c r="E173" s="179" t="n">
        <f aca="false">H139+H140</f>
        <v>330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21258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21258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-633.564256939884</v>
      </c>
      <c r="B182" s="99" t="str">
        <f aca="false">B114</f>
        <v>239.99</v>
      </c>
      <c r="C182" s="99"/>
      <c r="D182" s="23"/>
      <c r="E182" s="99" t="n">
        <f aca="false">E179+A182+B182+A185</f>
        <v>20874.4257430601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5.02272</v>
      </c>
      <c r="B188" s="99" t="n">
        <f aca="false">(G158*B67)/1.2</f>
        <v>166.078125</v>
      </c>
      <c r="C188" s="130"/>
      <c r="D188" s="130"/>
      <c r="E188" s="99" t="n">
        <f aca="false">IF(E105 = "YES" , (H36*A108)*0.1 , 0)</f>
        <v>8.88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274.949791666667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433.943616970629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2574.96</v>
      </c>
      <c r="B201" s="183" t="n">
        <f aca="false">E179+A201+B182+A185</f>
        <v>24082.95</v>
      </c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419.513616970629</v>
      </c>
      <c r="B212" s="174" t="n">
        <f aca="false">B167</f>
        <v>14.43</v>
      </c>
      <c r="C212" s="171"/>
      <c r="D212" s="171"/>
      <c r="E212" s="174" t="n">
        <f aca="false">E167</f>
        <v>433.943616970629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17440</v>
      </c>
      <c r="B215" s="99" t="n">
        <f aca="false">B173</f>
        <v>3488</v>
      </c>
      <c r="C215" s="183"/>
      <c r="D215" s="109"/>
      <c r="E215" s="179" t="n">
        <f aca="false">E173</f>
        <v>330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21258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21258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-633.564256939884</v>
      </c>
      <c r="B224" s="99" t="str">
        <f aca="false">B182</f>
        <v>239.99</v>
      </c>
      <c r="C224" s="99"/>
      <c r="D224" s="109"/>
      <c r="E224" s="99" t="n">
        <f aca="false">E182</f>
        <v>20874.4257430601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419.513616970629</v>
      </c>
      <c r="B230" s="99" t="n">
        <f aca="false">B167</f>
        <v>14.43</v>
      </c>
      <c r="C230" s="183"/>
      <c r="D230" s="183"/>
      <c r="E230" s="99" t="n">
        <f aca="false">E167</f>
        <v>433.943616970629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5.02272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166.078125</v>
      </c>
      <c r="C240" s="130"/>
      <c r="D240" s="130"/>
      <c r="E240" s="99" t="n">
        <f aca="false">E188</f>
        <v>8.88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274.949791666667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-3198.52425693988</v>
      </c>
      <c r="C254" s="194"/>
      <c r="D254" s="195" t="s">
        <v>213</v>
      </c>
      <c r="E254" s="195"/>
      <c r="F254" s="196" t="n">
        <f aca="false">F261+F267+F269+B270+B271</f>
        <v>199.29375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188.791666666667</v>
      </c>
      <c r="C255" s="194"/>
      <c r="D255" s="195" t="s">
        <v>215</v>
      </c>
      <c r="E255" s="195"/>
      <c r="F255" s="196" t="n">
        <f aca="false">(B254-F254)+B255</f>
        <v>-3209.02634027322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-3198.52425693988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199.29375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88.8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-3209.02634027322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21258</v>
      </c>
      <c r="F15" s="63"/>
      <c r="G15" s="273" t="n">
        <f aca="false">E15</f>
        <v>21258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21258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241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247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20928</v>
      </c>
      <c r="C67" s="211"/>
      <c r="D67" s="211"/>
      <c r="E67" s="212"/>
      <c r="F67" s="63"/>
      <c r="G67" s="210" t="s">
        <v>14</v>
      </c>
      <c r="H67" s="290" t="n">
        <f aca="false">G18</f>
        <v>20928</v>
      </c>
      <c r="I67" s="211"/>
      <c r="J67" s="211"/>
      <c r="K67" s="212"/>
      <c r="L67" s="63"/>
      <c r="M67" s="210" t="s">
        <v>14</v>
      </c>
      <c r="N67" s="290" t="n">
        <f aca="false">G18</f>
        <v>20928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1464.96</v>
      </c>
      <c r="C70" s="211" t="n">
        <v>10000</v>
      </c>
      <c r="D70" s="290" t="n">
        <f aca="false">B70-A149</f>
        <v>1464.96</v>
      </c>
      <c r="E70" s="212" t="n">
        <f aca="false">D70/12</f>
        <v>122.08</v>
      </c>
      <c r="F70" s="63"/>
      <c r="G70" s="284" t="s">
        <v>90</v>
      </c>
      <c r="H70" s="129" t="n">
        <f aca="false">H67*H69</f>
        <v>1464.96</v>
      </c>
      <c r="I70" s="211"/>
      <c r="J70" s="290" t="n">
        <f aca="false">H70-G151</f>
        <v>1464.96</v>
      </c>
      <c r="K70" s="212"/>
      <c r="L70" s="63"/>
      <c r="M70" s="284" t="s">
        <v>90</v>
      </c>
      <c r="N70" s="129" t="n">
        <f aca="false">N67*N69</f>
        <v>1464.96</v>
      </c>
      <c r="O70" s="211"/>
      <c r="P70" s="290" t="n">
        <f aca="false">N70-M151</f>
        <v>1464.96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E15*B72</f>
        <v>212.58</v>
      </c>
      <c r="C73" s="211"/>
      <c r="D73" s="290"/>
      <c r="E73" s="212"/>
      <c r="F73" s="63"/>
      <c r="G73" s="284" t="s">
        <v>93</v>
      </c>
      <c r="H73" s="129" t="n">
        <f aca="false">H67*H72</f>
        <v>104.64</v>
      </c>
      <c r="I73" s="211"/>
      <c r="J73" s="290"/>
      <c r="K73" s="212"/>
      <c r="L73" s="63"/>
      <c r="M73" s="284" t="s">
        <v>93</v>
      </c>
      <c r="N73" s="129" t="n">
        <f aca="false">N67*N72</f>
        <v>104.64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2124.96</v>
      </c>
      <c r="C87" s="211"/>
      <c r="D87" s="211"/>
      <c r="E87" s="212"/>
      <c r="F87" s="63"/>
      <c r="G87" s="302" t="s">
        <v>102</v>
      </c>
      <c r="H87" s="303" t="n">
        <f aca="false">SUM(J70:J86)</f>
        <v>4591.46</v>
      </c>
      <c r="I87" s="211"/>
      <c r="J87" s="211"/>
      <c r="K87" s="212"/>
      <c r="L87" s="63"/>
      <c r="M87" s="302" t="s">
        <v>102</v>
      </c>
      <c r="N87" s="303" t="n">
        <f aca="false">SUM(P70:P86)</f>
        <v>4578.96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177.08</v>
      </c>
      <c r="C88" s="211"/>
      <c r="D88" s="211"/>
      <c r="E88" s="212"/>
      <c r="F88" s="63"/>
      <c r="G88" s="210" t="s">
        <v>103</v>
      </c>
      <c r="H88" s="299" t="n">
        <f aca="false">H87/H29</f>
        <v>382.621666666667</v>
      </c>
      <c r="I88" s="211"/>
      <c r="J88" s="211"/>
      <c r="K88" s="212"/>
      <c r="L88" s="63"/>
      <c r="M88" s="210" t="s">
        <v>103</v>
      </c>
      <c r="N88" s="299" t="n">
        <f aca="false">N87/H29</f>
        <v>381.58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8136.96</v>
      </c>
      <c r="C91" s="211"/>
      <c r="D91" s="211"/>
      <c r="E91" s="212"/>
      <c r="F91" s="63"/>
      <c r="G91" s="287" t="s">
        <v>114</v>
      </c>
      <c r="H91" s="127" t="n">
        <f aca="false">((H89*H29)+H87)*1.2</f>
        <v>12724.152</v>
      </c>
      <c r="I91" s="211"/>
      <c r="J91" s="211"/>
      <c r="K91" s="212"/>
      <c r="L91" s="63"/>
      <c r="M91" s="287" t="s">
        <v>114</v>
      </c>
      <c r="N91" s="127" t="n">
        <f aca="false">((N89*H29)+N87)</f>
        <v>10590.96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68.9294715611134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89.8235820895522</v>
      </c>
      <c r="I92" s="211"/>
      <c r="J92" s="211"/>
      <c r="K92" s="212"/>
      <c r="L92" s="63"/>
      <c r="M92" s="210" t="s">
        <v>115</v>
      </c>
      <c r="N92" s="299" t="n">
        <f aca="false">(N91/(1-N76))*N76</f>
        <v>89.7176926179911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8205.88947156111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14813.9755820896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12680.677692618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683.824122630093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683.824122630093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683.824122630093</v>
      </c>
      <c r="B134" s="320" t="n">
        <f aca="false">IF(A111="YES", B95, 0)</f>
        <v>0</v>
      </c>
      <c r="C134" s="325"/>
      <c r="D134" s="320" t="n">
        <f aca="false">B97</f>
        <v>683.824122630093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683.824122630093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683.824122630093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0.127548</v>
      </c>
      <c r="H142" s="99" t="n">
        <f aca="false">IF(G111="YES", E15*0.000002, 0)</f>
        <v>0.042516</v>
      </c>
      <c r="I142" s="99"/>
      <c r="J142" s="99" t="n">
        <f aca="false">G142+H142</f>
        <v>0.170064</v>
      </c>
      <c r="K142" s="101"/>
      <c r="L142" s="63"/>
      <c r="M142" s="107" t="n">
        <f aca="false">E15*0.000006</f>
        <v>0.127548</v>
      </c>
      <c r="N142" s="99" t="n">
        <f aca="false">IF(M111="YES", E15*0.000002, 0)</f>
        <v>0.042516</v>
      </c>
      <c r="O142" s="99"/>
      <c r="P142" s="99" t="n">
        <f aca="false">M142+N142</f>
        <v>0.170064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683.824122630093</v>
      </c>
      <c r="B143" s="38" t="n">
        <f aca="false">IF(A111="YES", B95, 0)</f>
        <v>0</v>
      </c>
      <c r="C143" s="316"/>
      <c r="D143" s="38" t="n">
        <f aca="false">B97</f>
        <v>683.824122630093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87.2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87.2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 *1.2*100</f>
        <v>5.02272</v>
      </c>
      <c r="C146" s="316"/>
      <c r="D146" s="342" t="n">
        <f aca="false">A146+B146</f>
        <v>20.09088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1307.188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1267.19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212.58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312.57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683.824122630093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683.824122630093</v>
      </c>
      <c r="B177" s="354" t="n">
        <f aca="false">IF(A111="YES", B95, 0)</f>
        <v>0</v>
      </c>
      <c r="C177" s="357"/>
      <c r="D177" s="354" t="n">
        <f aca="false">B91</f>
        <v>8136.96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683.824122630093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683.824122630093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683.824122630093</v>
      </c>
      <c r="B186" s="99" t="n">
        <f aca="false">IF(A111="YES", B95, 0)</f>
        <v>0</v>
      </c>
      <c r="C186" s="352"/>
      <c r="D186" s="99" t="n">
        <f aca="false">B97</f>
        <v>683.824122630093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 *1.2*100</f>
        <v>5.02272</v>
      </c>
      <c r="C189" s="352"/>
      <c r="D189" s="364" t="n">
        <f aca="false">A189+B189</f>
        <v>20.09088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212.58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312.57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1464.96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212.58</v>
      </c>
      <c r="C211" s="319" t="s">
        <v>214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1352.37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1464.96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212.58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1352.37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68.9294715611134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21258</v>
      </c>
      <c r="F15" s="63"/>
      <c r="G15" s="273" t="n">
        <f aca="false">E15</f>
        <v>21258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21258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20928</v>
      </c>
      <c r="C67" s="211"/>
      <c r="D67" s="211"/>
      <c r="E67" s="212"/>
      <c r="F67" s="63"/>
      <c r="G67" s="210" t="s">
        <v>14</v>
      </c>
      <c r="H67" s="290" t="n">
        <f aca="false">G18</f>
        <v>20928</v>
      </c>
      <c r="I67" s="211"/>
      <c r="J67" s="211"/>
      <c r="K67" s="212"/>
      <c r="L67" s="63"/>
      <c r="M67" s="210" t="s">
        <v>14</v>
      </c>
      <c r="N67" s="290" t="n">
        <f aca="false">G18</f>
        <v>20928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1464.96</v>
      </c>
      <c r="C70" s="211" t="n">
        <v>10000</v>
      </c>
      <c r="D70" s="290" t="n">
        <f aca="false">B70-A149</f>
        <v>1464.96</v>
      </c>
      <c r="E70" s="212" t="n">
        <f aca="false">D70/12</f>
        <v>122.08</v>
      </c>
      <c r="F70" s="63"/>
      <c r="G70" s="284" t="s">
        <v>90</v>
      </c>
      <c r="H70" s="129" t="n">
        <f aca="false">H67*H69</f>
        <v>1464.96</v>
      </c>
      <c r="I70" s="211"/>
      <c r="J70" s="290" t="n">
        <f aca="false">H70-G151</f>
        <v>1464.96</v>
      </c>
      <c r="K70" s="212"/>
      <c r="L70" s="63"/>
      <c r="M70" s="284" t="s">
        <v>90</v>
      </c>
      <c r="N70" s="129" t="n">
        <f aca="false">N67*N69</f>
        <v>1464.96</v>
      </c>
      <c r="O70" s="211"/>
      <c r="P70" s="290" t="n">
        <f aca="false">N70-M151</f>
        <v>1464.96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E15*B72</f>
        <v>212.58</v>
      </c>
      <c r="C73" s="211"/>
      <c r="D73" s="290"/>
      <c r="E73" s="212"/>
      <c r="F73" s="63"/>
      <c r="G73" s="284" t="s">
        <v>93</v>
      </c>
      <c r="H73" s="129" t="n">
        <f aca="false">H67*H72</f>
        <v>104.64</v>
      </c>
      <c r="I73" s="211"/>
      <c r="J73" s="290"/>
      <c r="K73" s="212"/>
      <c r="L73" s="63"/>
      <c r="M73" s="284" t="s">
        <v>93</v>
      </c>
      <c r="N73" s="129" t="n">
        <f aca="false">N67*N72</f>
        <v>104.64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2791.62666666667</v>
      </c>
      <c r="C87" s="211"/>
      <c r="D87" s="211"/>
      <c r="E87" s="212"/>
      <c r="F87" s="63"/>
      <c r="G87" s="302" t="s">
        <v>102</v>
      </c>
      <c r="H87" s="303" t="n">
        <f aca="false">SUM(J70:J86)</f>
        <v>4591.46</v>
      </c>
      <c r="I87" s="211"/>
      <c r="J87" s="211"/>
      <c r="K87" s="212"/>
      <c r="L87" s="63"/>
      <c r="M87" s="302" t="s">
        <v>102</v>
      </c>
      <c r="N87" s="303" t="n">
        <f aca="false">SUM(P70:P86)</f>
        <v>4578.96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232.635555555556</v>
      </c>
      <c r="C88" s="211"/>
      <c r="D88" s="211"/>
      <c r="E88" s="212"/>
      <c r="F88" s="63"/>
      <c r="G88" s="210" t="s">
        <v>103</v>
      </c>
      <c r="H88" s="299" t="n">
        <f aca="false">H87/H29</f>
        <v>382.621666666667</v>
      </c>
      <c r="I88" s="211"/>
      <c r="J88" s="211"/>
      <c r="K88" s="212"/>
      <c r="L88" s="63"/>
      <c r="M88" s="210" t="s">
        <v>103</v>
      </c>
      <c r="N88" s="299" t="n">
        <f aca="false">N87/H29</f>
        <v>381.58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10564.352</v>
      </c>
      <c r="C91" s="211"/>
      <c r="D91" s="211"/>
      <c r="E91" s="212"/>
      <c r="F91" s="63"/>
      <c r="G91" s="287" t="s">
        <v>114</v>
      </c>
      <c r="H91" s="127" t="n">
        <f aca="false">((H89*H29)+H87)*1.2</f>
        <v>12724.152</v>
      </c>
      <c r="I91" s="211"/>
      <c r="J91" s="211"/>
      <c r="K91" s="212"/>
      <c r="L91" s="63"/>
      <c r="M91" s="287" t="s">
        <v>114</v>
      </c>
      <c r="N91" s="127" t="n">
        <f aca="false">((N89*H29)+N87)</f>
        <v>10590.96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74.5769100443727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89.8235820895522</v>
      </c>
      <c r="I92" s="211"/>
      <c r="J92" s="211"/>
      <c r="K92" s="212"/>
      <c r="L92" s="63"/>
      <c r="M92" s="210" t="s">
        <v>115</v>
      </c>
      <c r="N92" s="299" t="n">
        <f aca="false">(N91/(1-N76))*N76</f>
        <v>89.7176926179911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10638.9289100444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14813.9755820896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12680.677692618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886.577409170364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886.577409170364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886.577409170364</v>
      </c>
      <c r="B134" s="320" t="n">
        <f aca="false">IF(A111="YES", B95, 0)</f>
        <v>0</v>
      </c>
      <c r="C134" s="325"/>
      <c r="D134" s="320" t="n">
        <f aca="false">B97</f>
        <v>886.577409170364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7979.19668253328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7979.19668253328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0.127548</v>
      </c>
      <c r="H142" s="99" t="n">
        <f aca="false">IF(G111="YES", E15*0.000002, 0)</f>
        <v>0.042516</v>
      </c>
      <c r="I142" s="99"/>
      <c r="J142" s="99" t="n">
        <f aca="false">G142+H142</f>
        <v>0.170064</v>
      </c>
      <c r="K142" s="101"/>
      <c r="L142" s="63"/>
      <c r="M142" s="107" t="n">
        <f aca="false">E15*0.000006</f>
        <v>0.127548</v>
      </c>
      <c r="N142" s="99" t="n">
        <f aca="false">IF(M111="YES", E15*0.000002, 0)</f>
        <v>0.042516</v>
      </c>
      <c r="O142" s="99"/>
      <c r="P142" s="99" t="n">
        <f aca="false">M142+N142</f>
        <v>0.170064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886.577409170364</v>
      </c>
      <c r="B143" s="38" t="n">
        <f aca="false">IF(A111="YES", B95, 0)</f>
        <v>0</v>
      </c>
      <c r="C143" s="316"/>
      <c r="D143" s="38" t="n">
        <f aca="false">B97</f>
        <v>886.577409170364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87.2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87.2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 *1.2*100</f>
        <v>5.02272</v>
      </c>
      <c r="C146" s="316"/>
      <c r="D146" s="342" t="n">
        <f aca="false">A146+B146</f>
        <v>20.09088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1307.188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1267.19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212.58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712.571666666667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886.577409170364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886.577409170364</v>
      </c>
      <c r="B177" s="354" t="n">
        <f aca="false">IF(A111="YES", B95, 0)</f>
        <v>0</v>
      </c>
      <c r="C177" s="357"/>
      <c r="D177" s="354" t="n">
        <f aca="false">B91</f>
        <v>10564.352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7979.19668253328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7979.19668253328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886.577409170364</v>
      </c>
      <c r="B186" s="99" t="n">
        <f aca="false">IF(A111="YES", B95, 0)</f>
        <v>0</v>
      </c>
      <c r="C186" s="352"/>
      <c r="D186" s="99" t="n">
        <f aca="false">B97</f>
        <v>886.577409170364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 *1.2*100</f>
        <v>5.02272</v>
      </c>
      <c r="C189" s="352"/>
      <c r="D189" s="364" t="n">
        <f aca="false">A189+B189</f>
        <v>20.09088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212.58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712.571666666667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1464.96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212.58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1592.37166666667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1464.96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212.58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1592.37166666667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0.0</v>
      </c>
      <c r="C4" s="500" t="n">
        <v>0.0</v>
      </c>
      <c r="D4" s="500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0.0</v>
      </c>
      <c r="C5" s="498" t="n">
        <v>0.0</v>
      </c>
      <c r="D5" s="498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5.28</v>
      </c>
      <c r="E32" s="222"/>
      <c r="F32" s="63"/>
      <c r="G32" s="223" t="s">
        <v>241</v>
      </c>
      <c r="H32" s="221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505.28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394</v>
      </c>
      <c r="C38" s="219"/>
      <c r="D38" s="100" t="s">
        <v>396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5.28</v>
      </c>
      <c r="B41" s="237" t="n">
        <f aca="false">IF(B38="YES", D38+A41, D38)</f>
        <v>505.28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397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5.28</v>
      </c>
      <c r="I44" s="393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506.28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506.28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C70</f>
        <v>4051.95</v>
      </c>
      <c r="C70" s="211" t="n">
        <v>10000.0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165.0</v>
      </c>
      <c r="C80" s="211"/>
      <c r="D80" s="211"/>
      <c r="E80" s="429" t="n">
        <f aca="false">E79+D82</f>
        <v>703.333333333333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355.0</v>
      </c>
      <c r="C81" s="211"/>
      <c r="D81" s="211"/>
      <c r="E81" s="212" t="n">
        <f aca="false">E80/12</f>
        <v>58.6111111111111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5421.95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451.829166666667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11433.95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96.8587938684954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11530.8087938685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6.864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960.900732822375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967.764732822375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261</v>
      </c>
      <c r="C105" s="311"/>
      <c r="D105" s="420" t="n">
        <v>6300.0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394</v>
      </c>
      <c r="B111" s="311" t="n">
        <v>20.0</v>
      </c>
      <c r="C111" s="311"/>
      <c r="D111" s="103" t="n">
        <v>440.0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390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960.900732822375</v>
      </c>
      <c r="B134" s="320" t="n">
        <f aca="false">IF(A111="YES", B95, 0)</f>
        <v>6.864</v>
      </c>
      <c r="C134" s="325"/>
      <c r="D134" s="320" t="n">
        <f aca="false">B97</f>
        <v>967.764732822375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8648.10659540137</v>
      </c>
      <c r="C137" s="316"/>
      <c r="D137" s="38" t="n">
        <f aca="false">IF(A111="YES", B95*B63, 0)</f>
        <v>61.776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8709.88259540137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960.900732822375</v>
      </c>
      <c r="B143" s="38" t="n">
        <f aca="false">IF(A111="YES", B95, 0)</f>
        <v>6.864</v>
      </c>
      <c r="C143" s="316"/>
      <c r="D143" s="38" t="n">
        <f aca="false">B97</f>
        <v>967.764732822375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1.2672</v>
      </c>
      <c r="H148" s="99" t="n">
        <f aca="false">G108-100</f>
        <v>139.988</v>
      </c>
      <c r="I148" s="99"/>
      <c r="J148" s="99" t="n">
        <f aca="false">(H145+J145+G148+H148)-H151</f>
        <v>1462.4427</v>
      </c>
      <c r="K148" s="101"/>
      <c r="L148" s="63"/>
      <c r="M148" s="107" t="n">
        <f aca="false">IF(M111="YES", ((A41*N111)*0.1)*(M133), 0)</f>
        <v>1.2672</v>
      </c>
      <c r="N148" s="99" t="n">
        <f aca="false">M108-100</f>
        <v>99.99</v>
      </c>
      <c r="O148" s="99"/>
      <c r="P148" s="99" t="n">
        <f aca="false">(N145+P145+M148+N148)-N151</f>
        <v>1422.4447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1.9008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1080.7408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967.764732822375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960.900732822375</v>
      </c>
      <c r="B177" s="354" t="n">
        <f aca="false">IF(A111="YES", B95, 0)</f>
        <v>6.864</v>
      </c>
      <c r="C177" s="357"/>
      <c r="D177" s="354" t="n">
        <f aca="false">B91</f>
        <v>11433.95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8648.10659540137</v>
      </c>
      <c r="C180" s="352"/>
      <c r="D180" s="99" t="n">
        <f aca="false">IF(A111="YES", B95*B63, 0)</f>
        <v>61.776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8709.88259540137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960.900732822375</v>
      </c>
      <c r="B186" s="99" t="n">
        <f aca="false">IF(A111="YES", B95, 0)</f>
        <v>6.864</v>
      </c>
      <c r="C186" s="352"/>
      <c r="D186" s="99" t="n">
        <f aca="false">B97</f>
        <v>967.764732822375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1.9008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1080.7408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578.85</v>
      </c>
      <c r="C211" s="319" t="s">
        <v>214</v>
      </c>
      <c r="D211" s="369" t="n">
        <f aca="false">B225+E221+B221+B223</f>
        <v>358.998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3832.098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578.85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3832.098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19.008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87" colorId="64" zoomScale="85" zoomScaleNormal="85" zoomScalePageLayoutView="100" workbookViewId="0">
      <selection pane="topLeft" activeCell="B201" activeCellId="0" sqref="B20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241</v>
      </c>
      <c r="H32" s="221" t="n">
        <f aca="false">A41</f>
        <v>14.2424242424242</v>
      </c>
      <c r="I32" s="0"/>
      <c r="J32" s="44" t="s">
        <v>37</v>
      </c>
      <c r="K32" s="262" t="n">
        <v>48877.5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n">
        <v>1000.0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n">
        <v>33.0</v>
      </c>
      <c r="C35" s="219"/>
      <c r="D35" s="219" t="n">
        <v>5000.0</v>
      </c>
      <c r="E35" s="219"/>
      <c r="F35" s="63"/>
      <c r="G35" s="229"/>
      <c r="H35" s="230"/>
      <c r="I35" s="0"/>
      <c r="J35" s="44"/>
      <c r="K35" s="12" t="n">
        <v>0.07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469.92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394</v>
      </c>
      <c r="C38" s="219"/>
      <c r="D38" s="100" t="n">
        <v>500.0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n">
        <v>12.0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0.07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51961.7272372354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47877.5</v>
      </c>
      <c r="C81" s="130"/>
      <c r="D81" s="130"/>
      <c r="E81" s="109"/>
      <c r="F81" s="25" t="s">
        <v>105</v>
      </c>
      <c r="G81" s="27" t="n">
        <f aca="false">G158</f>
        <v>58525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0.137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0.0114166666666667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4125.32107917265</v>
      </c>
      <c r="C86" s="130" t="n">
        <f aca="false">(B82/((1+B84)^(B85+1)))</f>
        <v>4125.32107917265</v>
      </c>
      <c r="D86" s="130"/>
      <c r="E86" s="109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130" t="n">
        <f aca="false">((1-(1/((1+B84)^B85)))/B84)</f>
        <v>26.6800219733353</v>
      </c>
      <c r="D87" s="130"/>
      <c r="E87" s="109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43752.1789208274</v>
      </c>
      <c r="C88" s="130" t="n">
        <f aca="false">B81-B86</f>
        <v>43752.1789208274</v>
      </c>
      <c r="D88" s="130"/>
      <c r="E88" s="109"/>
      <c r="F88" s="31" t="s">
        <v>112</v>
      </c>
      <c r="G88" s="33" t="n">
        <f aca="false">G81-G86</f>
        <v>52500.6270487144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1639.88541555755</v>
      </c>
      <c r="C89" s="130" t="n">
        <f aca="false">(B88/B87)</f>
        <v>1639.88541555755</v>
      </c>
      <c r="D89" s="130"/>
      <c r="E89" s="109"/>
      <c r="F89" s="31" t="s">
        <v>113</v>
      </c>
      <c r="G89" s="33" t="n">
        <f aca="false">(G88/G87)</f>
        <v>1791.36776953147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52476.3332978415</v>
      </c>
      <c r="C90" s="130"/>
      <c r="D90" s="130"/>
      <c r="E90" s="109"/>
      <c r="F90" s="31" t="s">
        <v>114</v>
      </c>
      <c r="G90" s="33" t="n">
        <f aca="false">((G89*(G85))+G77)</f>
        <v>57323.768625007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52476.3332978415</v>
      </c>
      <c r="C92" s="130"/>
      <c r="D92" s="130"/>
      <c r="E92" s="109"/>
      <c r="F92" s="56" t="s">
        <v>116</v>
      </c>
      <c r="G92" s="65" t="n">
        <f aca="false">(G90+G91)</f>
        <v>57323.768625007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IF(B38="YES",((H36/B85)*(1+A108)),"0")</f>
        <v>17.625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1639.88541555755</v>
      </c>
      <c r="C95" s="130"/>
      <c r="D95" s="130"/>
      <c r="E95" s="109"/>
      <c r="F95" s="91" t="s">
        <v>118</v>
      </c>
      <c r="G95" s="92" t="n">
        <f aca="false">G92/(G85)</f>
        <v>1791.36776953147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1657.51041555755</v>
      </c>
      <c r="C96" s="130"/>
      <c r="D96" s="130"/>
      <c r="E96" s="109"/>
      <c r="F96" s="93" t="s">
        <v>119</v>
      </c>
      <c r="G96" s="94" t="n">
        <f aca="false">G94+G95</f>
        <v>1791.36776953147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394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398</v>
      </c>
      <c r="C108" s="103"/>
      <c r="D108" s="103"/>
      <c r="E108" s="104" t="n">
        <f aca="false">B83</f>
        <v>0.137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387</v>
      </c>
      <c r="B111" s="103" t="n">
        <v>5000.0</v>
      </c>
      <c r="C111" s="103"/>
      <c r="D111" s="103"/>
      <c r="E111" s="103" t="n">
        <v>4000.0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391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-48770.8333333333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1639.88541555755</v>
      </c>
      <c r="B167" s="174" t="n">
        <f aca="false">B94</f>
        <v>17.625</v>
      </c>
      <c r="C167" s="171"/>
      <c r="D167" s="171"/>
      <c r="E167" s="174" t="n">
        <f aca="false">B96</f>
        <v>1657.51041555755</v>
      </c>
      <c r="F167" s="23"/>
      <c r="G167" s="23" t="n">
        <f aca="false">ROUND(G95, 2)</f>
        <v>1791.37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-48.666702158509</v>
      </c>
      <c r="B182" s="99" t="str">
        <f aca="false">B114</f>
        <v>199.99</v>
      </c>
      <c r="C182" s="99"/>
      <c r="D182" s="23"/>
      <c r="E182" s="99" t="n">
        <f aca="false">E179+A182+(B182*1.2)+A185</f>
        <v>58726.3212978415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11.577</v>
      </c>
      <c r="B188" s="99" t="n">
        <f aca="false">(G158*B67)/1.2</f>
        <v>457.2265625</v>
      </c>
      <c r="C188" s="130"/>
      <c r="D188" s="130"/>
      <c r="E188" s="99" t="n">
        <f aca="false">IF(E105 ="YES" , (H36*A108)*0.1 , 0)</f>
        <v>9.4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566.6165625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1657.51041555755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4798.84</v>
      </c>
      <c r="B201" s="183" t="n">
        <f aca="false">E179+A201+(B182*1.2)+A185</f>
        <v>63573.828</v>
      </c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1639.88541555755</v>
      </c>
      <c r="B212" s="174" t="n">
        <f aca="false">B167</f>
        <v>17.625</v>
      </c>
      <c r="C212" s="171"/>
      <c r="D212" s="171"/>
      <c r="E212" s="174" t="n">
        <f aca="false">E167</f>
        <v>1657.51041555755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-48.666702158509</v>
      </c>
      <c r="B224" s="99" t="str">
        <f aca="false">B182</f>
        <v>199.99</v>
      </c>
      <c r="C224" s="99"/>
      <c r="D224" s="109"/>
      <c r="E224" s="99" t="n">
        <f aca="false">E182</f>
        <v>58726.3212978415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1639.88541555755</v>
      </c>
      <c r="B230" s="99" t="n">
        <f aca="false">B167</f>
        <v>17.625</v>
      </c>
      <c r="C230" s="183"/>
      <c r="D230" s="183"/>
      <c r="E230" s="99" t="n">
        <f aca="false">E167</f>
        <v>1657.51041555755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11.577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9.4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566.6165625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-4837.50670215851</v>
      </c>
      <c r="C254" s="194"/>
      <c r="D254" s="195" t="s">
        <v>213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193.99</v>
      </c>
      <c r="C255" s="194"/>
      <c r="D255" s="195" t="s">
        <v>215</v>
      </c>
      <c r="E255" s="195"/>
      <c r="F255" s="196" t="n">
        <f aca="false">(B254-F254)+B255</f>
        <v>-5192.18857715851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0.137</v>
      </c>
      <c r="C260" s="43"/>
      <c r="D260" s="163" t="s">
        <v>212</v>
      </c>
      <c r="E260" s="163"/>
      <c r="F260" s="143" t="n">
        <f aca="false">B254</f>
        <v>-4837.50670215851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94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-5192.18857715851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21258</v>
      </c>
      <c r="F15" s="63"/>
      <c r="G15" s="273" t="n">
        <f aca="false">E15</f>
        <v>21258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21258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str">
        <f aca="false">IF(B38="YES", D38+A41, D38)</f>
        <v>500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346</v>
      </c>
      <c r="E44" s="100"/>
      <c r="F44" s="63"/>
      <c r="G44" s="63" t="s">
        <v>255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20928</v>
      </c>
      <c r="C67" s="211"/>
      <c r="D67" s="211"/>
      <c r="E67" s="212"/>
      <c r="F67" s="63"/>
      <c r="G67" s="210" t="s">
        <v>14</v>
      </c>
      <c r="H67" s="290" t="n">
        <f aca="false">G18</f>
        <v>20928</v>
      </c>
      <c r="I67" s="211"/>
      <c r="J67" s="211"/>
      <c r="K67" s="212"/>
      <c r="L67" s="63"/>
      <c r="M67" s="210" t="s">
        <v>14</v>
      </c>
      <c r="N67" s="290" t="n">
        <f aca="false">G18</f>
        <v>20928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1464.96</v>
      </c>
      <c r="C70" s="211" t="n">
        <v>10000</v>
      </c>
      <c r="D70" s="290" t="n">
        <f aca="false">B70-A149</f>
        <v>1464.96</v>
      </c>
      <c r="E70" s="212" t="n">
        <f aca="false">D70/12</f>
        <v>122.08</v>
      </c>
      <c r="F70" s="63"/>
      <c r="G70" s="284" t="s">
        <v>90</v>
      </c>
      <c r="H70" s="129" t="n">
        <f aca="false">H67*H69</f>
        <v>1464.96</v>
      </c>
      <c r="I70" s="211"/>
      <c r="J70" s="290" t="n">
        <f aca="false">H70-G151</f>
        <v>1464.96</v>
      </c>
      <c r="K70" s="212"/>
      <c r="L70" s="63"/>
      <c r="M70" s="284" t="s">
        <v>90</v>
      </c>
      <c r="N70" s="129" t="n">
        <f aca="false">N67*N69</f>
        <v>1464.96</v>
      </c>
      <c r="O70" s="211"/>
      <c r="P70" s="290" t="n">
        <f aca="false">N70-M151</f>
        <v>1464.96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E15*B72</f>
        <v>212.58</v>
      </c>
      <c r="C73" s="211"/>
      <c r="D73" s="290"/>
      <c r="E73" s="212"/>
      <c r="F73" s="63"/>
      <c r="G73" s="284" t="s">
        <v>93</v>
      </c>
      <c r="H73" s="129" t="n">
        <f aca="false">H67*H72</f>
        <v>104.64</v>
      </c>
      <c r="I73" s="211"/>
      <c r="J73" s="290"/>
      <c r="K73" s="212"/>
      <c r="L73" s="63"/>
      <c r="M73" s="284" t="s">
        <v>93</v>
      </c>
      <c r="N73" s="129" t="n">
        <f aca="false">N67*N72</f>
        <v>104.64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2791.62666666667</v>
      </c>
      <c r="C87" s="211"/>
      <c r="D87" s="211"/>
      <c r="E87" s="212"/>
      <c r="F87" s="63"/>
      <c r="G87" s="302" t="s">
        <v>102</v>
      </c>
      <c r="H87" s="303" t="n">
        <f aca="false">SUM(J70:J86)</f>
        <v>4591.46</v>
      </c>
      <c r="I87" s="211"/>
      <c r="J87" s="211"/>
      <c r="K87" s="212"/>
      <c r="L87" s="63"/>
      <c r="M87" s="302" t="s">
        <v>102</v>
      </c>
      <c r="N87" s="303" t="n">
        <f aca="false">SUM(P70:P86)</f>
        <v>4578.96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232.635555555556</v>
      </c>
      <c r="C88" s="211"/>
      <c r="D88" s="211"/>
      <c r="E88" s="212"/>
      <c r="F88" s="63"/>
      <c r="G88" s="210" t="s">
        <v>103</v>
      </c>
      <c r="H88" s="299" t="n">
        <f aca="false">H87/H29</f>
        <v>382.621666666667</v>
      </c>
      <c r="I88" s="211"/>
      <c r="J88" s="211"/>
      <c r="K88" s="212"/>
      <c r="L88" s="63"/>
      <c r="M88" s="210" t="s">
        <v>103</v>
      </c>
      <c r="N88" s="299" t="n">
        <f aca="false">N87/H29</f>
        <v>381.58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8803.62666666667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12724.152</v>
      </c>
      <c r="I91" s="211"/>
      <c r="J91" s="211"/>
      <c r="K91" s="212"/>
      <c r="L91" s="63"/>
      <c r="M91" s="287" t="s">
        <v>114</v>
      </c>
      <c r="N91" s="127" t="n">
        <f aca="false">((N89*H29)+N87)</f>
        <v>10590.96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74.5769100443727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89.8235820895522</v>
      </c>
      <c r="I92" s="211"/>
      <c r="J92" s="211"/>
      <c r="K92" s="212"/>
      <c r="L92" s="63"/>
      <c r="M92" s="210" t="s">
        <v>115</v>
      </c>
      <c r="N92" s="299" t="n">
        <f aca="false">(N91/(1-N76))*N76</f>
        <v>89.7176926179911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8878.20357671104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14813.9755820896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12680.677692618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739.850298059253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739.850298059253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348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3" t="n">
        <v>0</v>
      </c>
      <c r="C111" s="313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739.850298059253</v>
      </c>
      <c r="B134" s="320" t="n">
        <f aca="false">IF(A111="YES", B95, 0)</f>
        <v>0</v>
      </c>
      <c r="C134" s="325"/>
      <c r="D134" s="320" t="n">
        <f aca="false">B97</f>
        <v>739.850298059253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6658.65268253328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6658.65268253328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0.127548</v>
      </c>
      <c r="H142" s="99" t="n">
        <f aca="false">IF(G111="YES", E15*0.000002, 0)</f>
        <v>0.042516</v>
      </c>
      <c r="I142" s="99"/>
      <c r="J142" s="99" t="n">
        <f aca="false">G142+H142</f>
        <v>0.170064</v>
      </c>
      <c r="K142" s="101"/>
      <c r="L142" s="63"/>
      <c r="M142" s="107" t="n">
        <f aca="false">E15*0.000006</f>
        <v>0.127548</v>
      </c>
      <c r="N142" s="99" t="n">
        <f aca="false">IF(M111="YES", E15*0.000002, 0)</f>
        <v>0.042516</v>
      </c>
      <c r="O142" s="99"/>
      <c r="P142" s="99" t="n">
        <f aca="false">M142+N142</f>
        <v>0.170064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739.850298059253</v>
      </c>
      <c r="B143" s="38" t="n">
        <f aca="false">IF(A111="YES", B95, 0)</f>
        <v>0</v>
      </c>
      <c r="C143" s="316"/>
      <c r="D143" s="38" t="n">
        <f aca="false">B97</f>
        <v>739.850298059253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87.2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87.2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 *1.2*100</f>
        <v>5.02272</v>
      </c>
      <c r="C146" s="316"/>
      <c r="D146" s="342" t="n">
        <f aca="false">A146+B146</f>
        <v>20.09088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1307.188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1267.19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212.58</v>
      </c>
      <c r="B154" s="99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712.57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739.850298059253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739.850298059253</v>
      </c>
      <c r="B177" s="354" t="n">
        <f aca="false">IF(A111="YES", B95, 0)</f>
        <v>0</v>
      </c>
      <c r="C177" s="357"/>
      <c r="D177" s="354" t="n">
        <f aca="false">B91</f>
        <v>8803.62666666667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6658.65268253328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6658.65268253328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739.850298059253</v>
      </c>
      <c r="B186" s="99" t="n">
        <f aca="false">IF(A111="YES", B95, 0)</f>
        <v>0</v>
      </c>
      <c r="C186" s="352"/>
      <c r="D186" s="99" t="n">
        <f aca="false">B97</f>
        <v>739.850298059253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 *1.2*100</f>
        <v>5.02272</v>
      </c>
      <c r="C189" s="352"/>
      <c r="D189" s="364" t="n">
        <f aca="false">A189+B189</f>
        <v>20.09088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212.58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712.57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1464.96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212.58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1592.37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1464.96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212.58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1592.37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str">
        <f aca="false">IF(B38="YES", D38+A41, D38)</f>
        <v>500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346</v>
      </c>
      <c r="E44" s="100"/>
      <c r="F44" s="63"/>
      <c r="G44" s="63" t="s">
        <v>255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703.333333333333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355</v>
      </c>
      <c r="C81" s="211"/>
      <c r="D81" s="211"/>
      <c r="E81" s="212" t="n">
        <f aca="false">E80/12</f>
        <v>58.6111111111111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5421.95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451.829166666667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13720.74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96.8587938684954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13817.5987938685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1151.46656615571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1151.46656615571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1151.46656615571</v>
      </c>
      <c r="B134" s="320" t="n">
        <f aca="false">IF(A111="YES", B95, 0)</f>
        <v>0</v>
      </c>
      <c r="C134" s="325"/>
      <c r="D134" s="320" t="n">
        <f aca="false">B97</f>
        <v>1151.46656615571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10363.1990954014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10363.1990954014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1151.46656615571</v>
      </c>
      <c r="B143" s="38" t="n">
        <f aca="false">IF(A111="YES", B95, 0)</f>
        <v>0</v>
      </c>
      <c r="C143" s="316"/>
      <c r="D143" s="38" t="n">
        <f aca="false">B97</f>
        <v>1151.46656615571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1078.84166666667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1151.46656615571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1151.46656615571</v>
      </c>
      <c r="B177" s="354" t="n">
        <f aca="false">IF(A111="YES", B95, 0)</f>
        <v>0</v>
      </c>
      <c r="C177" s="357"/>
      <c r="D177" s="354" t="n">
        <f aca="false">B97</f>
        <v>1151.46656615571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10363.1990954014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10363.1990954014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1151.46656615571</v>
      </c>
      <c r="B186" s="99" t="n">
        <f aca="false">IF(A111="YES", B95, 0)</f>
        <v>0</v>
      </c>
      <c r="C186" s="352"/>
      <c r="D186" s="99" t="n">
        <f aca="false">B97</f>
        <v>1151.46656615571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1078.84166666667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578.85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3813.09166666667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578.85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3813.09166666667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21258</v>
      </c>
      <c r="F15" s="63"/>
      <c r="G15" s="273" t="n">
        <f aca="false">E15</f>
        <v>21258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21258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20928</v>
      </c>
      <c r="C67" s="211"/>
      <c r="D67" s="211"/>
      <c r="E67" s="212"/>
      <c r="F67" s="63"/>
      <c r="G67" s="210" t="s">
        <v>14</v>
      </c>
      <c r="H67" s="290" t="n">
        <f aca="false">G18</f>
        <v>20928</v>
      </c>
      <c r="I67" s="211"/>
      <c r="J67" s="211"/>
      <c r="K67" s="212"/>
      <c r="L67" s="63"/>
      <c r="M67" s="210" t="s">
        <v>14</v>
      </c>
      <c r="N67" s="290" t="n">
        <f aca="false">G18</f>
        <v>20928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1464.96</v>
      </c>
      <c r="C70" s="211" t="n">
        <v>10000</v>
      </c>
      <c r="D70" s="290" t="n">
        <f aca="false">B70-A149</f>
        <v>1464.96</v>
      </c>
      <c r="E70" s="212" t="n">
        <f aca="false">D70/12</f>
        <v>122.08</v>
      </c>
      <c r="F70" s="63"/>
      <c r="G70" s="284" t="s">
        <v>90</v>
      </c>
      <c r="H70" s="129" t="n">
        <f aca="false">H67*H69</f>
        <v>1464.96</v>
      </c>
      <c r="I70" s="211"/>
      <c r="J70" s="290" t="n">
        <f aca="false">H70-G151</f>
        <v>1464.96</v>
      </c>
      <c r="K70" s="212"/>
      <c r="L70" s="63"/>
      <c r="M70" s="284" t="s">
        <v>90</v>
      </c>
      <c r="N70" s="129" t="n">
        <f aca="false">N67*N69</f>
        <v>1464.96</v>
      </c>
      <c r="O70" s="211"/>
      <c r="P70" s="290" t="n">
        <f aca="false">N70-M151</f>
        <v>1464.96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E15*B72</f>
        <v>212.58</v>
      </c>
      <c r="C73" s="211"/>
      <c r="D73" s="290"/>
      <c r="E73" s="212"/>
      <c r="F73" s="63"/>
      <c r="G73" s="284" t="s">
        <v>93</v>
      </c>
      <c r="H73" s="129" t="n">
        <f aca="false">H67*H72</f>
        <v>104.64</v>
      </c>
      <c r="I73" s="211"/>
      <c r="J73" s="290"/>
      <c r="K73" s="212"/>
      <c r="L73" s="63"/>
      <c r="M73" s="284" t="s">
        <v>93</v>
      </c>
      <c r="N73" s="129" t="n">
        <f aca="false">N67*N72</f>
        <v>104.64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2791.62666666667</v>
      </c>
      <c r="C87" s="211"/>
      <c r="D87" s="211"/>
      <c r="E87" s="212"/>
      <c r="F87" s="63"/>
      <c r="G87" s="302" t="s">
        <v>102</v>
      </c>
      <c r="H87" s="303" t="n">
        <f aca="false">SUM(J70:J86)</f>
        <v>4591.46</v>
      </c>
      <c r="I87" s="211"/>
      <c r="J87" s="211"/>
      <c r="K87" s="212"/>
      <c r="L87" s="63"/>
      <c r="M87" s="302" t="s">
        <v>102</v>
      </c>
      <c r="N87" s="303" t="n">
        <f aca="false">SUM(P70:P86)</f>
        <v>4578.96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232.635555555556</v>
      </c>
      <c r="C88" s="211"/>
      <c r="D88" s="211"/>
      <c r="E88" s="212"/>
      <c r="F88" s="63"/>
      <c r="G88" s="210" t="s">
        <v>103</v>
      </c>
      <c r="H88" s="299" t="n">
        <f aca="false">H87/H29</f>
        <v>382.621666666667</v>
      </c>
      <c r="I88" s="211"/>
      <c r="J88" s="211"/>
      <c r="K88" s="212"/>
      <c r="L88" s="63"/>
      <c r="M88" s="210" t="s">
        <v>103</v>
      </c>
      <c r="N88" s="299" t="n">
        <f aca="false">N87/H29</f>
        <v>381.58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8803.62666666667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12724.152</v>
      </c>
      <c r="I91" s="211"/>
      <c r="J91" s="211"/>
      <c r="K91" s="212"/>
      <c r="L91" s="63"/>
      <c r="M91" s="287" t="s">
        <v>114</v>
      </c>
      <c r="N91" s="127" t="n">
        <f aca="false">((N89*H29)+N87)</f>
        <v>10590.96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74.5769100443727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89.8235820895522</v>
      </c>
      <c r="I92" s="211"/>
      <c r="J92" s="211"/>
      <c r="K92" s="212"/>
      <c r="L92" s="63"/>
      <c r="M92" s="210" t="s">
        <v>115</v>
      </c>
      <c r="N92" s="299" t="n">
        <f aca="false">(N91/(1-N76))*N76</f>
        <v>89.7176926179911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8878.20357671104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14813.9755820896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12680.677692618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65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739.850298059253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804.850298059253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739.850298059253</v>
      </c>
      <c r="B134" s="320" t="n">
        <f aca="false">IF(A111="YES", B95, 0)</f>
        <v>65</v>
      </c>
      <c r="C134" s="325"/>
      <c r="D134" s="320" t="n">
        <f aca="false">B97</f>
        <v>804.850298059253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6658.65268253328</v>
      </c>
      <c r="C137" s="316"/>
      <c r="D137" s="38" t="n">
        <f aca="false">IF(A111="YES", B95*B63, 0)</f>
        <v>585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7243.65268253328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0.127548</v>
      </c>
      <c r="H142" s="99" t="n">
        <f aca="false">IF(G111="YES", E15*0.000002, 0)</f>
        <v>0.042516</v>
      </c>
      <c r="I142" s="99"/>
      <c r="J142" s="99" t="n">
        <f aca="false">G142+H142</f>
        <v>0.170064</v>
      </c>
      <c r="K142" s="101"/>
      <c r="L142" s="63"/>
      <c r="M142" s="107" t="n">
        <f aca="false">E15*0.000006</f>
        <v>0.127548</v>
      </c>
      <c r="N142" s="99" t="n">
        <f aca="false">IF(M111="YES", E15*0.000002, 0)</f>
        <v>0.042516</v>
      </c>
      <c r="O142" s="99"/>
      <c r="P142" s="99" t="n">
        <f aca="false">M142+N142</f>
        <v>0.170064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739.850298059253</v>
      </c>
      <c r="B143" s="38" t="n">
        <f aca="false">IF(A111="YES", B95, 0)</f>
        <v>65</v>
      </c>
      <c r="C143" s="316"/>
      <c r="D143" s="38" t="n">
        <f aca="false">B97</f>
        <v>804.850298059253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87.2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87.2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 *1.2*100</f>
        <v>5.02272</v>
      </c>
      <c r="C146" s="316"/>
      <c r="D146" s="342" t="n">
        <f aca="false">A146+B146</f>
        <v>20.09088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1319.188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1279.19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212.58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730.57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804.850298059253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739.850298059253</v>
      </c>
      <c r="B177" s="354" t="n">
        <f aca="false">IF(A111="YES", B95, 0)</f>
        <v>65</v>
      </c>
      <c r="C177" s="357"/>
      <c r="D177" s="354" t="n">
        <f aca="false">B91</f>
        <v>8803.62666666667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6658.65268253328</v>
      </c>
      <c r="C180" s="352"/>
      <c r="D180" s="99" t="n">
        <f aca="false">IF(A111="YES", B95*B63, 0)</f>
        <v>585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7243.65268253328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739.850298059253</v>
      </c>
      <c r="B186" s="99" t="n">
        <f aca="false">IF(A111="YES", B95, 0)</f>
        <v>65</v>
      </c>
      <c r="C186" s="352"/>
      <c r="D186" s="99" t="n">
        <f aca="false">B97</f>
        <v>804.850298059253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 *1.2*100</f>
        <v>5.02272</v>
      </c>
      <c r="C189" s="352"/>
      <c r="D189" s="364" t="n">
        <f aca="false">A189+B189</f>
        <v>20.09088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212.58</v>
      </c>
      <c r="B197" s="99" t="n">
        <f aca="false">B154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730.57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1464.96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212.58</v>
      </c>
      <c r="C211" s="319" t="s">
        <v>214</v>
      </c>
      <c r="D211" s="369" t="n">
        <f aca="false">B225+E221+B221+B223</f>
        <v>519.99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1772.37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1464.96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212.58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1772.37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71" colorId="64" zoomScale="85" zoomScaleNormal="85" zoomScalePageLayoutView="100" workbookViewId="0">
      <selection pane="topLeft" activeCell="B201" activeCellId="0" sqref="B20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550</v>
      </c>
      <c r="F10" s="151"/>
      <c r="G10" s="152"/>
      <c r="H10" s="441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  <c r="L13" s="0"/>
      <c r="M13" s="0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 t="n">
        <v>0</v>
      </c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390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9600.0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0.0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524.75616379318</v>
      </c>
      <c r="F33" s="228"/>
      <c r="G33" s="228"/>
      <c r="H33" s="47"/>
      <c r="I33" s="2"/>
      <c r="J33" s="34" t="s">
        <v>352</v>
      </c>
      <c r="K33" s="48" t="n">
        <f aca="false">H21-H11+(H16*20%)</f>
        <v>17770</v>
      </c>
      <c r="L33" s="1" t="n">
        <f aca="false">H21-H11+(H16*20%)</f>
        <v>17770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0.07</v>
      </c>
      <c r="P35" s="208"/>
    </row>
    <row r="36" customFormat="false" ht="17.35" hidden="false" customHeight="false" outlineLevel="0" collapsed="false">
      <c r="A36" s="182" t="n">
        <f aca="false">K47</f>
        <v>524.75616379318</v>
      </c>
      <c r="B36" s="228" t="str">
        <f aca="false">IF(B26="YES", K42, "0.00")</f>
        <v>0.00</v>
      </c>
      <c r="C36" s="228"/>
      <c r="D36" s="228"/>
      <c r="E36" s="228" t="n">
        <f aca="false">K31</f>
        <v>1575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17770</v>
      </c>
      <c r="L39" s="2" t="n">
        <f aca="false">(L47*K46)+K44</f>
        <v>26523.9158214374</v>
      </c>
      <c r="N39" s="1" t="n">
        <f aca="false">K39-L39</f>
        <v>-8753.91582143743</v>
      </c>
      <c r="P39" s="208"/>
    </row>
    <row r="40" customFormat="false" ht="17.35" hidden="false" customHeight="false" outlineLevel="0" collapsed="false">
      <c r="A40" s="103" t="n">
        <f aca="false">E36*A45/100</f>
        <v>28575.0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1312.5</v>
      </c>
      <c r="L40" s="2" t="n">
        <f aca="false">K39-L39</f>
        <v>-8753.91582143743</v>
      </c>
      <c r="N40" s="1" t="n">
        <f aca="false">N38-N39</f>
        <v>11665.5958214374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1080.53894636818</v>
      </c>
      <c r="L44" s="2"/>
      <c r="P44" s="208"/>
    </row>
    <row r="45" customFormat="false" ht="17.35" hidden="false" customHeight="false" outlineLevel="0" collapsed="false">
      <c r="A45" s="449" t="n">
        <v>100.0</v>
      </c>
      <c r="B45" s="130"/>
      <c r="C45" s="62" t="n">
        <v>100.0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16689.4610536318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524.75616379318</v>
      </c>
      <c r="L47" s="2" t="n">
        <f aca="false">L49-K42</f>
        <v>800</v>
      </c>
      <c r="M47" s="1" t="n">
        <f aca="false">K47-L47</f>
        <v>-275.24383620682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524.75616379318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524.75616379318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20928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20928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20928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0.07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7377.0423042598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31302.1227403972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1061.62035562745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1061.62035562745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187.751944444444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1547.8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204.92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168.754479166667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524.75616379318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524.75616379318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524.75616379318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524.75616379318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23009.6</v>
      </c>
      <c r="C81" s="130"/>
      <c r="D81" s="130"/>
      <c r="E81" s="109"/>
      <c r="F81" s="25" t="s">
        <v>105</v>
      </c>
      <c r="G81" s="27" t="n">
        <f aca="false">G158</f>
        <v>23009.6</v>
      </c>
      <c r="H81" s="33"/>
      <c r="J81" s="25" t="s">
        <v>105</v>
      </c>
      <c r="K81" s="27" t="n">
        <f aca="false">P158</f>
        <v>36519.004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17234.5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17234.5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1575</v>
      </c>
      <c r="C82" s="130"/>
      <c r="D82" s="130"/>
      <c r="E82" s="109"/>
      <c r="F82" s="31" t="s">
        <v>106</v>
      </c>
      <c r="G82" s="33" t="n">
        <f aca="false">IF(A111 = "Yes", A40, 0)</f>
        <v>1575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1575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1575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1127.98811363248</v>
      </c>
      <c r="C86" s="130"/>
      <c r="D86" s="130"/>
      <c r="E86" s="109"/>
      <c r="F86" s="31" t="s">
        <v>110</v>
      </c>
      <c r="G86" s="33" t="n">
        <f aca="false">(G82/((1+G84)^(G85+1)))</f>
        <v>1303.67023879321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1077.06787906881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1077.06787906881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21881.6118863675</v>
      </c>
      <c r="C88" s="130"/>
      <c r="D88" s="130"/>
      <c r="E88" s="109"/>
      <c r="F88" s="31" t="s">
        <v>112</v>
      </c>
      <c r="G88" s="33" t="n">
        <f aca="false">G81-G86</f>
        <v>21705.9297612068</v>
      </c>
      <c r="H88" s="33"/>
      <c r="J88" s="31" t="s">
        <v>112</v>
      </c>
      <c r="K88" s="33" t="n">
        <f aca="false">K81-K86</f>
        <v>36519.004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16157.4321209312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16157.4321209312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757.162001088856</v>
      </c>
      <c r="C89" s="130"/>
      <c r="D89" s="130"/>
      <c r="E89" s="109"/>
      <c r="F89" s="31" t="s">
        <v>113</v>
      </c>
      <c r="G89" s="33" t="n">
        <f aca="false">(G88/G87)</f>
        <v>700.722612138439</v>
      </c>
      <c r="H89" s="33"/>
      <c r="J89" s="31" t="s">
        <v>113</v>
      </c>
      <c r="K89" s="33" t="n">
        <f aca="false">(K88/K87)</f>
        <v>1460.84083744584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571.414296717317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571.414296717317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25743.5080370211</v>
      </c>
      <c r="C90" s="130"/>
      <c r="D90" s="130"/>
      <c r="E90" s="109"/>
      <c r="F90" s="31" t="s">
        <v>114</v>
      </c>
      <c r="G90" s="33" t="n">
        <f aca="false">((G89*(G85))+G77)</f>
        <v>23824.5688127069</v>
      </c>
      <c r="H90" s="33"/>
      <c r="J90" s="31" t="s">
        <v>114</v>
      </c>
      <c r="K90" s="33" t="n">
        <f aca="false">((K89*(K85))+K77)</f>
        <v>51129.4293106044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19428.0860883888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19428.0860883888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25743.5080370211</v>
      </c>
      <c r="C92" s="130"/>
      <c r="D92" s="130"/>
      <c r="E92" s="109"/>
      <c r="F92" s="56" t="s">
        <v>116</v>
      </c>
      <c r="G92" s="65" t="n">
        <f aca="false">(G90+G91)</f>
        <v>23824.5688127069</v>
      </c>
      <c r="H92" s="33"/>
      <c r="J92" s="56" t="s">
        <v>116</v>
      </c>
      <c r="K92" s="65" t="n">
        <f aca="false">(K90+K91)</f>
        <v>51129.4293106044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19428.0860883888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19428.0860883888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757.162001088856</v>
      </c>
      <c r="C95" s="130"/>
      <c r="D95" s="130"/>
      <c r="E95" s="109"/>
      <c r="F95" s="91" t="s">
        <v>118</v>
      </c>
      <c r="G95" s="92" t="n">
        <f aca="false">G92/(G85)</f>
        <v>700.722612138439</v>
      </c>
      <c r="H95" s="33"/>
      <c r="J95" s="91" t="s">
        <v>118</v>
      </c>
      <c r="K95" s="92" t="n">
        <f aca="false">K92/(K85)</f>
        <v>1460.84083744584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571.414296717317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571.414296717317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757.162001088856</v>
      </c>
      <c r="C96" s="130"/>
      <c r="D96" s="130"/>
      <c r="E96" s="109"/>
      <c r="F96" s="93" t="s">
        <v>119</v>
      </c>
      <c r="G96" s="94" t="n">
        <f aca="false">G94+G95</f>
        <v>700.722612138439</v>
      </c>
      <c r="H96" s="33"/>
      <c r="J96" s="93" t="s">
        <v>119</v>
      </c>
      <c r="K96" s="94" t="n">
        <f aca="false">(K94+K95)</f>
        <v>1460.84083744584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571.414296717317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571.414296717317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390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398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387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391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16745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0</v>
      </c>
      <c r="P121" s="117" t="n">
        <f aca="false">O121</f>
        <v>0</v>
      </c>
      <c r="Q121" s="118" t="n">
        <f aca="false">H3</f>
        <v>0</v>
      </c>
      <c r="S121" s="25" t="s">
        <v>149</v>
      </c>
      <c r="T121" s="116" t="n">
        <f aca="false">B3</f>
        <v>16745</v>
      </c>
      <c r="U121" s="117" t="n">
        <f aca="false">T121</f>
        <v>16745</v>
      </c>
      <c r="V121" s="116" t="n">
        <f aca="false">D3</f>
        <v>0</v>
      </c>
      <c r="W121" s="117" t="n">
        <f aca="false">V121</f>
        <v>0</v>
      </c>
      <c r="X121" s="116" t="n">
        <f aca="false">F3</f>
        <v>0</v>
      </c>
      <c r="Y121" s="117" t="n">
        <f aca="false">X121</f>
        <v>0</v>
      </c>
      <c r="Z121" s="118" t="n">
        <f aca="false">H3</f>
        <v>0</v>
      </c>
      <c r="AB121" s="25" t="s">
        <v>149</v>
      </c>
      <c r="AC121" s="116" t="n">
        <f aca="false">B3</f>
        <v>16745</v>
      </c>
      <c r="AD121" s="117" t="n">
        <f aca="false">AC121</f>
        <v>16745</v>
      </c>
      <c r="AE121" s="116" t="n">
        <f aca="false">D3</f>
        <v>0</v>
      </c>
      <c r="AF121" s="117" t="n">
        <f aca="false">AE121</f>
        <v>0</v>
      </c>
      <c r="AG121" s="116" t="n">
        <f aca="false">F3</f>
        <v>0</v>
      </c>
      <c r="AH121" s="117" t="n">
        <f aca="false">AG121</f>
        <v>0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0.0</v>
      </c>
      <c r="D122" s="119" t="n">
        <f aca="false">D4</f>
        <v>0</v>
      </c>
      <c r="E122" s="120" t="n">
        <v>0.0</v>
      </c>
      <c r="F122" s="119" t="n">
        <f aca="false">F4</f>
        <v>0</v>
      </c>
      <c r="G122" s="451" t="n">
        <v>0.0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0.0</v>
      </c>
      <c r="F123" s="126" t="n">
        <f aca="false">F5</f>
        <v>0</v>
      </c>
      <c r="G123" s="117" t="n">
        <v>0.0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-3543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4186.25</v>
      </c>
      <c r="V124" s="126" t="n">
        <f aca="false">(V121*V122)+V123</f>
        <v>0</v>
      </c>
      <c r="W124" s="127" t="n">
        <f aca="false">(W121*W122)+W123</f>
        <v>0</v>
      </c>
      <c r="X124" s="126" t="n">
        <f aca="false">(X121*X122)+X123</f>
        <v>0</v>
      </c>
      <c r="Y124" s="127" t="n">
        <f aca="false">(Y121*Y122)+Y123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4186.25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20288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16745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0</v>
      </c>
      <c r="P125" s="129" t="n">
        <f aca="false">P121-P124</f>
        <v>0</v>
      </c>
      <c r="Q125" s="65"/>
      <c r="S125" s="56" t="s">
        <v>153</v>
      </c>
      <c r="T125" s="128" t="n">
        <f aca="false">T121-T124</f>
        <v>16745</v>
      </c>
      <c r="U125" s="129" t="n">
        <f aca="false">U121-U124</f>
        <v>12558.75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0</v>
      </c>
      <c r="Y125" s="129" t="n">
        <f aca="false">Y121-Y124</f>
        <v>0</v>
      </c>
      <c r="Z125" s="65"/>
      <c r="AB125" s="56" t="s">
        <v>153</v>
      </c>
      <c r="AC125" s="128" t="n">
        <f aca="false">AC121-AC124</f>
        <v>16745</v>
      </c>
      <c r="AD125" s="129" t="n">
        <f aca="false">AD121-AD124</f>
        <v>12558.75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0</v>
      </c>
      <c r="AH125" s="129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20288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16745</v>
      </c>
      <c r="Q135" s="150" t="n">
        <f aca="false">L125+N125+P125+Q128</f>
        <v>28629.17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16745</v>
      </c>
      <c r="Z135" s="150" t="n">
        <f aca="false">U125+W125+Y125+Z128</f>
        <v>12558.75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16745</v>
      </c>
      <c r="AI135" s="150" t="n">
        <f aca="false">AD125+AF125+AH125+AI128</f>
        <v>12558.75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695</v>
      </c>
      <c r="Q136" s="33" t="n">
        <f aca="false">P136</f>
        <v>695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695</v>
      </c>
      <c r="Z136" s="33" t="n">
        <f aca="false">Y136</f>
        <v>695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4196.6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3488</v>
      </c>
      <c r="Q137" s="33" t="n">
        <f aca="false">(Q135+Q136)*20%</f>
        <v>5864.834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3488</v>
      </c>
      <c r="Z137" s="33" t="n">
        <f aca="false">(Z135+Z136)*20%</f>
        <v>2650.75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275</v>
      </c>
      <c r="H139" s="33" t="n">
        <f aca="false">G139</f>
        <v>275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275</v>
      </c>
      <c r="Q139" s="33" t="n">
        <f aca="false">P139</f>
        <v>275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275</v>
      </c>
      <c r="Z139" s="33" t="n">
        <f aca="false">Y139</f>
        <v>275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21258</v>
      </c>
      <c r="H141" s="154" t="n">
        <f aca="false">(H135+H136+H139+H140+H137)-H138</f>
        <v>25509.6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21258</v>
      </c>
      <c r="Q141" s="154" t="n">
        <f aca="false">(Q135+Q136+Q139+Q140+Q137)-Q138</f>
        <v>35519.004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21258</v>
      </c>
      <c r="Z141" s="154" t="n">
        <f aca="false">(Z135+Z136+Z139+Z140+Z137)-Z138</f>
        <v>16234.5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21258</v>
      </c>
      <c r="AI141" s="154" t="n">
        <f aca="false">(AI135+AI136+AI139+AI140+AI137)-AI138</f>
        <v>16234.5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21258</v>
      </c>
      <c r="H147" s="161" t="n">
        <f aca="false">H141-((H144*1.2)+(H145*1.2)+(H146*1.2)+(H142*1.2))</f>
        <v>25509.6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21258</v>
      </c>
      <c r="Q147" s="161" t="n">
        <f aca="false">Q141-((Q144*1.2)+(Q145*1.2)+(Q146*1.2)+(Q142*1.2))</f>
        <v>35519.004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21258</v>
      </c>
      <c r="Z147" s="161" t="n">
        <f aca="false">Z141-((Z144*1.2)+(Z145*1.2)+(Z146*1.2)+(Z142*1.2))</f>
        <v>16234.5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21258</v>
      </c>
      <c r="AI147" s="161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3543</v>
      </c>
      <c r="I148" s="1" t="n">
        <f aca="false">(H148-G81)/1.2</f>
        <v>-16222.1666666667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14261.004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-5023.5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23009.6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36519.004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17234.5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17234.5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757.162001088856</v>
      </c>
      <c r="B167" s="174" t="str">
        <f aca="false">B94</f>
        <v>0</v>
      </c>
      <c r="C167" s="171"/>
      <c r="D167" s="171"/>
      <c r="E167" s="174" t="n">
        <f aca="false">B96</f>
        <v>757.162001088856</v>
      </c>
      <c r="F167" s="23"/>
      <c r="G167" s="23" t="n">
        <f aca="false">ROUND(G95, 2)</f>
        <v>700.72</v>
      </c>
      <c r="H167" s="33"/>
      <c r="J167" s="173" t="n">
        <f aca="false">K95</f>
        <v>1460.84083744584</v>
      </c>
      <c r="K167" s="174" t="n">
        <f aca="false">K94</f>
        <v>0</v>
      </c>
      <c r="L167" s="171"/>
      <c r="M167" s="171"/>
      <c r="N167" s="174" t="n">
        <f aca="false">K96</f>
        <v>1460.84083744584</v>
      </c>
      <c r="O167" s="23"/>
      <c r="P167" s="23"/>
      <c r="Q167" s="33"/>
      <c r="S167" s="173" t="n">
        <f aca="false">T95</f>
        <v>571.414296717317</v>
      </c>
      <c r="T167" s="174" t="n">
        <f aca="false">T94</f>
        <v>0</v>
      </c>
      <c r="U167" s="171"/>
      <c r="V167" s="171"/>
      <c r="W167" s="174" t="n">
        <f aca="false">T96</f>
        <v>571.414296717317</v>
      </c>
      <c r="X167" s="23"/>
      <c r="Y167" s="23"/>
      <c r="Z167" s="33"/>
      <c r="AB167" s="173" t="n">
        <f aca="false">AC95</f>
        <v>571.414296717317</v>
      </c>
      <c r="AC167" s="174" t="n">
        <f aca="false">AC94</f>
        <v>0</v>
      </c>
      <c r="AD167" s="171"/>
      <c r="AE167" s="171"/>
      <c r="AF167" s="174" t="n">
        <f aca="false">AC96</f>
        <v>571.414296717317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1575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1575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1575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1575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20983</v>
      </c>
      <c r="B173" s="99" t="n">
        <f aca="false">H137</f>
        <v>4196.6</v>
      </c>
      <c r="C173" s="183"/>
      <c r="D173" s="23"/>
      <c r="E173" s="179" t="n">
        <f aca="false">H139+H140</f>
        <v>330</v>
      </c>
      <c r="F173" s="23"/>
      <c r="G173" s="23"/>
      <c r="H173" s="33"/>
      <c r="J173" s="182" t="n">
        <f aca="false">Q141-Q137-Q139-Q140</f>
        <v>29324.17</v>
      </c>
      <c r="K173" s="99" t="n">
        <f aca="false">Q137</f>
        <v>5864.834</v>
      </c>
      <c r="L173" s="183"/>
      <c r="M173" s="23"/>
      <c r="N173" s="179" t="n">
        <f aca="false">Q139+Q140</f>
        <v>330</v>
      </c>
      <c r="O173" s="23"/>
      <c r="P173" s="23"/>
      <c r="Q173" s="33"/>
      <c r="S173" s="182" t="n">
        <f aca="false">Z141-Z137-Z139-Z140</f>
        <v>13253.75</v>
      </c>
      <c r="T173" s="99" t="n">
        <f aca="false">Z137</f>
        <v>2650.75</v>
      </c>
      <c r="U173" s="183"/>
      <c r="V173" s="23"/>
      <c r="W173" s="179" t="n">
        <f aca="false">Z139+Z140</f>
        <v>330</v>
      </c>
      <c r="X173" s="23"/>
      <c r="Y173" s="23"/>
      <c r="Z173" s="33"/>
      <c r="AB173" s="182" t="n">
        <f aca="false">AI141-AI137-AI139-AI140</f>
        <v>13253.75</v>
      </c>
      <c r="AC173" s="99" t="n">
        <f aca="false">AI137</f>
        <v>2650.75</v>
      </c>
      <c r="AD173" s="183"/>
      <c r="AE173" s="23"/>
      <c r="AF173" s="179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25509.6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35519.004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16234.5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16234.5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23009.6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36519.004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17234.5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17234.5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4308.90803702112</v>
      </c>
      <c r="B182" s="99" t="str">
        <f aca="false">B114</f>
        <v>199.99</v>
      </c>
      <c r="C182" s="99"/>
      <c r="D182" s="23"/>
      <c r="E182" s="99" t="n">
        <f aca="false">E179+A182+(B182*1.2)+A185</f>
        <v>27568.4960370211</v>
      </c>
      <c r="F182" s="23"/>
      <c r="G182" s="23"/>
      <c r="H182" s="101"/>
      <c r="J182" s="107" t="n">
        <f aca="false">(J167*K59)+N185-N179-J185</f>
        <v>14724.5844731586</v>
      </c>
      <c r="K182" s="99" t="n">
        <f aca="false">K114</f>
        <v>239.99</v>
      </c>
      <c r="L182" s="99"/>
      <c r="M182" s="23"/>
      <c r="N182" s="99" t="n">
        <f aca="false">N179+J182+K182+J185</f>
        <v>51503.5784731586</v>
      </c>
      <c r="O182" s="23"/>
      <c r="P182" s="23"/>
      <c r="Q182" s="101"/>
      <c r="S182" s="107" t="n">
        <f aca="false">(S167*T59)+W185-W179-S185</f>
        <v>3768.58608838877</v>
      </c>
      <c r="T182" s="99" t="n">
        <f aca="false">T114</f>
        <v>199.99</v>
      </c>
      <c r="U182" s="99"/>
      <c r="V182" s="23"/>
      <c r="W182" s="99" t="n">
        <f aca="false">W179+S182+T182+S185</f>
        <v>21213.0760883888</v>
      </c>
      <c r="X182" s="23"/>
      <c r="Y182" s="23"/>
      <c r="Z182" s="101"/>
      <c r="AB182" s="107" t="n">
        <f aca="false">(AB167*AC59)+AF185-AF179-AB185</f>
        <v>3768.58608838877</v>
      </c>
      <c r="AC182" s="99" t="n">
        <f aca="false">AC114</f>
        <v>239.99</v>
      </c>
      <c r="AD182" s="99"/>
      <c r="AE182" s="23"/>
      <c r="AF182" s="99" t="n">
        <f aca="false">AF179+AB182+AC182+AB185</f>
        <v>21253.0760883888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E170+A185</f>
        <v>1585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1595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1585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1585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0</v>
      </c>
      <c r="B188" s="99" t="n">
        <f aca="false">(G158*B67)/1.2</f>
        <v>187.751944444444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0.042516</v>
      </c>
      <c r="K188" s="99" t="n">
        <f aca="false">(P158*K67)/1.2</f>
        <v>2250.73722569444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140.628732638889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140.628732638889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287.741944444444</v>
      </c>
      <c r="C191" s="130"/>
      <c r="D191" s="130"/>
      <c r="E191" s="99" t="n">
        <f aca="false">H148</f>
        <v>3543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3390.72722569444</v>
      </c>
      <c r="L191" s="130"/>
      <c r="M191" s="130"/>
      <c r="N191" s="99" t="n">
        <f aca="false">Q148</f>
        <v>14261.004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1240.61873263889</v>
      </c>
      <c r="U191" s="130"/>
      <c r="V191" s="130"/>
      <c r="W191" s="99" t="n">
        <f aca="false">Z148</f>
        <v>-5023.5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1280.61873263889</v>
      </c>
      <c r="AD191" s="130"/>
      <c r="AE191" s="130"/>
      <c r="AF191" s="99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757.162001088856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1460.84083744584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571.414296717317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571.414296717317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2389.88</v>
      </c>
      <c r="B201" s="183" t="n">
        <f aca="false">E179+A201+(B182*1.2)+A185</f>
        <v>25649.468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757.162001088856</v>
      </c>
      <c r="B212" s="174" t="str">
        <f aca="false">B167</f>
        <v>0</v>
      </c>
      <c r="C212" s="171"/>
      <c r="D212" s="171"/>
      <c r="E212" s="174" t="n">
        <f aca="false">E167</f>
        <v>757.162001088856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20983</v>
      </c>
      <c r="B215" s="99" t="n">
        <f aca="false">B173</f>
        <v>4196.6</v>
      </c>
      <c r="C215" s="183"/>
      <c r="D215" s="109"/>
      <c r="E215" s="179" t="n">
        <f aca="false">E173</f>
        <v>330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25509.6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23009.6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4308.90803702112</v>
      </c>
      <c r="B224" s="99" t="str">
        <f aca="false">B182</f>
        <v>199.99</v>
      </c>
      <c r="C224" s="99"/>
      <c r="D224" s="109"/>
      <c r="E224" s="99" t="n">
        <f aca="false">E182</f>
        <v>27568.4960370211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757.162001088856</v>
      </c>
      <c r="B230" s="99" t="str">
        <f aca="false">B167</f>
        <v>0</v>
      </c>
      <c r="C230" s="183"/>
      <c r="D230" s="183"/>
      <c r="E230" s="99" t="n">
        <f aca="false">E167</f>
        <v>757.162001088856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1575</v>
      </c>
      <c r="B233" s="99" t="n">
        <f aca="false">E185</f>
        <v>1585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3543</v>
      </c>
      <c r="B240" s="99" t="n">
        <f aca="false">B68</f>
        <v>187.751944444444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3830.74194444444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1929.02803702112</v>
      </c>
      <c r="C254" s="194"/>
      <c r="D254" s="195" t="s">
        <v>213</v>
      </c>
      <c r="E254" s="195"/>
      <c r="F254" s="196" t="n">
        <f aca="false">F261+F267+F269+B270+B271</f>
        <v>225.302333333333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1803.71570368779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1929.02803702112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225.302333333333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1803.71570368779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51" colorId="64" zoomScale="85" zoomScaleNormal="85" zoomScalePageLayoutView="100" workbookViewId="0">
      <selection pane="topLeft" activeCell="A162" activeCellId="0" sqref="A16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16745</v>
      </c>
      <c r="C3" s="440" t="n">
        <v>0</v>
      </c>
      <c r="D3" s="440" t="n">
        <v>0</v>
      </c>
      <c r="E3" s="440"/>
      <c r="F3" s="440" t="n">
        <v>0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275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2625</v>
      </c>
      <c r="P31" s="208"/>
    </row>
    <row r="32" customFormat="false" ht="34.8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 t="n">
        <v>0</v>
      </c>
      <c r="J32" s="29" t="s">
        <v>36</v>
      </c>
      <c r="K32" s="448" t="n">
        <v>1754.55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552.2363622007</v>
      </c>
      <c r="F33" s="228"/>
      <c r="G33" s="228"/>
      <c r="H33" s="47"/>
      <c r="I33" s="2"/>
      <c r="J33" s="34" t="s">
        <v>352</v>
      </c>
      <c r="K33" s="48" t="n">
        <f aca="false">H21-H11+(H16*20%)</f>
        <v>17770</v>
      </c>
      <c r="L33" s="1" t="n">
        <f aca="false">H21-H11+(H16*20%)</f>
        <v>17770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502.1063622007</v>
      </c>
      <c r="B36" s="228" t="n">
        <f aca="false">IF(B26="YES", K42, "0.00")</f>
        <v>50.13</v>
      </c>
      <c r="C36" s="228"/>
      <c r="D36" s="228"/>
      <c r="E36" s="228" t="n">
        <f aca="false">K31</f>
        <v>2625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17770</v>
      </c>
      <c r="L39" s="2" t="n">
        <f aca="false">(L47*K46)+K44</f>
        <v>25649.9295155822</v>
      </c>
      <c r="N39" s="1" t="n">
        <f aca="false">K39-L39</f>
        <v>-7879.92951558218</v>
      </c>
      <c r="P39" s="208"/>
    </row>
    <row r="40" customFormat="false" ht="17.35" hidden="false" customHeight="false" outlineLevel="0" collapsed="false">
      <c r="A40" s="103" t="n">
        <f aca="false">E36*A45/100</f>
        <v>2625</v>
      </c>
      <c r="B40" s="103" t="n">
        <f aca="false">IF(B26="YES", K42, "0.00")</f>
        <v>50.13</v>
      </c>
      <c r="C40" s="103"/>
      <c r="D40" s="103"/>
      <c r="E40" s="179" t="n">
        <f aca="false">K32</f>
        <v>1754.55</v>
      </c>
      <c r="F40" s="183"/>
      <c r="G40" s="183"/>
      <c r="H40" s="47"/>
      <c r="J40" s="2" t="s">
        <v>106</v>
      </c>
      <c r="K40" s="2" t="n">
        <f aca="false">(A40)/1.2</f>
        <v>2187.5</v>
      </c>
      <c r="L40" s="2" t="n">
        <f aca="false">K39-L39</f>
        <v>-7879.92951558218</v>
      </c>
      <c r="N40" s="1" t="n">
        <f aca="false">N38-N39</f>
        <v>10791.6095155822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(K32/K36/100)*C45</f>
        <v>50.13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1800.89824394696</v>
      </c>
      <c r="L44" s="2"/>
      <c r="P44" s="208"/>
    </row>
    <row r="45" customFormat="false" ht="17.35" hidden="false" customHeight="false" outlineLevel="0" collapsed="false">
      <c r="A45" s="505" t="n">
        <v>100</v>
      </c>
      <c r="B45" s="130"/>
      <c r="C45" s="506" t="n">
        <v>100</v>
      </c>
      <c r="D45" s="506"/>
      <c r="E45" s="506"/>
      <c r="F45" s="130"/>
      <c r="G45" s="130"/>
      <c r="H45" s="33"/>
      <c r="J45" s="2" t="s">
        <v>363</v>
      </c>
      <c r="K45" s="2" t="n">
        <f aca="false">(K39-K44)</f>
        <v>15969.101756053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502.1063622007</v>
      </c>
      <c r="L47" s="2" t="n">
        <f aca="false">L49-K42</f>
        <v>749.87</v>
      </c>
      <c r="M47" s="1" t="n">
        <f aca="false">K47-L47</f>
        <v>-247.7636377993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552.2363622007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552.2363622007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20928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20928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20928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7285.07384301576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32094.8657961341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6970.94226848456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990.968480743693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187.751944444444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1547.8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204.92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168.754479166667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502.1063622007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502.1063622007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552.2363622007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552.2363622007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23009.6</v>
      </c>
      <c r="C81" s="130"/>
      <c r="D81" s="130"/>
      <c r="E81" s="109"/>
      <c r="F81" s="25" t="s">
        <v>105</v>
      </c>
      <c r="G81" s="27" t="n">
        <f aca="false">G158</f>
        <v>23009.6</v>
      </c>
      <c r="H81" s="33"/>
      <c r="J81" s="25" t="s">
        <v>105</v>
      </c>
      <c r="K81" s="27" t="n">
        <f aca="false">P158</f>
        <v>36519.004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22207.765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17234.5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2625</v>
      </c>
      <c r="C82" s="130"/>
      <c r="D82" s="130"/>
      <c r="E82" s="109"/>
      <c r="F82" s="31" t="s">
        <v>106</v>
      </c>
      <c r="G82" s="33" t="n">
        <f aca="false">IF(A111 = "Yes", A40, 0)</f>
        <v>2625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2625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2625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1879.98018938747</v>
      </c>
      <c r="C86" s="130"/>
      <c r="D86" s="130"/>
      <c r="E86" s="109"/>
      <c r="F86" s="31" t="s">
        <v>110</v>
      </c>
      <c r="G86" s="33" t="n">
        <f aca="false">(G82/((1+G84)^(G85+1)))</f>
        <v>2172.78373132201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1795.11313178135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1795.11313178135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21129.6198106125</v>
      </c>
      <c r="C88" s="130"/>
      <c r="D88" s="130"/>
      <c r="E88" s="109"/>
      <c r="F88" s="31" t="s">
        <v>112</v>
      </c>
      <c r="G88" s="33" t="n">
        <f aca="false">G81-G86</f>
        <v>20836.816268678</v>
      </c>
      <c r="H88" s="33"/>
      <c r="J88" s="31" t="s">
        <v>112</v>
      </c>
      <c r="K88" s="33" t="n">
        <f aca="false">K81-K86</f>
        <v>36519.004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20412.6518682187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15439.3868682187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731.141074118831</v>
      </c>
      <c r="C89" s="130"/>
      <c r="D89" s="130"/>
      <c r="E89" s="109"/>
      <c r="F89" s="31" t="s">
        <v>113</v>
      </c>
      <c r="G89" s="33" t="n">
        <f aca="false">(G88/G87)</f>
        <v>672.665418393254</v>
      </c>
      <c r="H89" s="33"/>
      <c r="J89" s="31" t="s">
        <v>113</v>
      </c>
      <c r="K89" s="33" t="n">
        <f aca="false">(K88/K87)</f>
        <v>1460.84083744584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721.901910162031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546.020328169653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24858.7965200403</v>
      </c>
      <c r="C90" s="130"/>
      <c r="D90" s="130"/>
      <c r="E90" s="109"/>
      <c r="F90" s="31" t="s">
        <v>114</v>
      </c>
      <c r="G90" s="33" t="n">
        <f aca="false">((G89*(G85))+G77)</f>
        <v>22870.6242253706</v>
      </c>
      <c r="H90" s="33"/>
      <c r="J90" s="31" t="s">
        <v>114</v>
      </c>
      <c r="K90" s="33" t="n">
        <f aca="false">((K89*(K85))+K77)</f>
        <v>51129.4293106044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24544.664945509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18564.6911577682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24858.7965200403</v>
      </c>
      <c r="C92" s="130"/>
      <c r="D92" s="130"/>
      <c r="E92" s="109"/>
      <c r="F92" s="56" t="s">
        <v>116</v>
      </c>
      <c r="G92" s="65" t="n">
        <f aca="false">(G90+G91)</f>
        <v>22870.6242253706</v>
      </c>
      <c r="H92" s="33"/>
      <c r="J92" s="56" t="s">
        <v>116</v>
      </c>
      <c r="K92" s="65" t="n">
        <f aca="false">(K90+K91)</f>
        <v>51129.4293106044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24544.664945509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18564.6911577682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80.5028823529412</v>
      </c>
      <c r="C94" s="130"/>
      <c r="D94" s="130"/>
      <c r="E94" s="109"/>
      <c r="F94" s="88" t="s">
        <v>117</v>
      </c>
      <c r="G94" s="259" t="n">
        <f aca="false">IF(B26="YES",((E40/B85)*(1+A108)*(C45/100)),"0")</f>
        <v>67.0857352941176</v>
      </c>
      <c r="H94" s="33"/>
      <c r="J94" s="88" t="s">
        <v>117</v>
      </c>
      <c r="K94" s="89" t="n">
        <f aca="false">((E40/K85)*(1+J108))*1.2</f>
        <v>78.2028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61.9252941176471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74.3103529411765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731.141074118831</v>
      </c>
      <c r="C95" s="130"/>
      <c r="D95" s="130"/>
      <c r="E95" s="109"/>
      <c r="F95" s="91" t="s">
        <v>118</v>
      </c>
      <c r="G95" s="92" t="n">
        <f aca="false">G92/(G85)</f>
        <v>672.665418393254</v>
      </c>
      <c r="H95" s="33"/>
      <c r="J95" s="91" t="s">
        <v>118</v>
      </c>
      <c r="K95" s="92" t="n">
        <f aca="false">K92/(K85)</f>
        <v>1460.84083744584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721.901910162031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546.020328169653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811.643956471772</v>
      </c>
      <c r="C96" s="130"/>
      <c r="D96" s="130"/>
      <c r="E96" s="109"/>
      <c r="F96" s="93" t="s">
        <v>119</v>
      </c>
      <c r="G96" s="94" t="n">
        <f aca="false">G94+G95</f>
        <v>739.751153687372</v>
      </c>
      <c r="H96" s="33"/>
      <c r="J96" s="93" t="s">
        <v>119</v>
      </c>
      <c r="K96" s="94" t="n">
        <f aca="false">(K94+K95)</f>
        <v>1539.04363744584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783.827204279678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620.330681110829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121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s">
        <v>270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16745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0</v>
      </c>
      <c r="P121" s="117" t="n">
        <f aca="false">O121</f>
        <v>0</v>
      </c>
      <c r="Q121" s="118" t="n">
        <f aca="false">H3</f>
        <v>0</v>
      </c>
      <c r="S121" s="25" t="s">
        <v>149</v>
      </c>
      <c r="T121" s="116" t="n">
        <f aca="false">B3</f>
        <v>16745</v>
      </c>
      <c r="U121" s="117" t="n">
        <f aca="false">T121</f>
        <v>16745</v>
      </c>
      <c r="V121" s="116" t="n">
        <f aca="false">D3</f>
        <v>0</v>
      </c>
      <c r="W121" s="117" t="n">
        <f aca="false">V121</f>
        <v>0</v>
      </c>
      <c r="X121" s="116" t="n">
        <f aca="false">F3</f>
        <v>0</v>
      </c>
      <c r="Y121" s="117" t="n">
        <f aca="false">X121</f>
        <v>0</v>
      </c>
      <c r="Z121" s="118" t="n">
        <f aca="false">H3</f>
        <v>0</v>
      </c>
      <c r="AB121" s="25" t="s">
        <v>149</v>
      </c>
      <c r="AC121" s="116" t="n">
        <f aca="false">B3</f>
        <v>16745</v>
      </c>
      <c r="AD121" s="117" t="n">
        <f aca="false">AC121</f>
        <v>16745</v>
      </c>
      <c r="AE121" s="116" t="n">
        <f aca="false">D3</f>
        <v>0</v>
      </c>
      <c r="AF121" s="117" t="n">
        <f aca="false">AE121</f>
        <v>0</v>
      </c>
      <c r="AG121" s="116" t="n">
        <f aca="false">F3</f>
        <v>0</v>
      </c>
      <c r="AH121" s="117" t="n">
        <f aca="false">AG121</f>
        <v>0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-3543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-3543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41.8625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4186.25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20288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16745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0</v>
      </c>
      <c r="P125" s="129" t="n">
        <f aca="false">P121-P124</f>
        <v>0</v>
      </c>
      <c r="Q125" s="65"/>
      <c r="S125" s="56" t="s">
        <v>153</v>
      </c>
      <c r="T125" s="128" t="n">
        <f aca="false">T121-T124</f>
        <v>16745</v>
      </c>
      <c r="U125" s="129" t="n">
        <f aca="false">U121-U124</f>
        <v>16703.1375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0</v>
      </c>
      <c r="Y125" s="129" t="n">
        <f aca="false">Y121-Y124</f>
        <v>0</v>
      </c>
      <c r="Z125" s="65"/>
      <c r="AB125" s="56" t="s">
        <v>153</v>
      </c>
      <c r="AC125" s="128" t="n">
        <f aca="false">AC121-AC124</f>
        <v>16745</v>
      </c>
      <c r="AD125" s="129" t="n">
        <f aca="false">AD121-AD124</f>
        <v>12558.75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0</v>
      </c>
      <c r="AH125" s="129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20288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16745</v>
      </c>
      <c r="Q135" s="150" t="n">
        <f aca="false">L125+N125+P125+Q128</f>
        <v>28629.17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16745</v>
      </c>
      <c r="Z135" s="150" t="n">
        <f aca="false">U125+W125+Y125+Z128</f>
        <v>16703.1375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16745</v>
      </c>
      <c r="AI135" s="150" t="n">
        <f aca="false">AD125+AF125+AH125+AI128</f>
        <v>12558.75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695</v>
      </c>
      <c r="Q136" s="33" t="n">
        <f aca="false">P136</f>
        <v>695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695</v>
      </c>
      <c r="Z136" s="33" t="n">
        <f aca="false">Y136</f>
        <v>695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4196.6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3488</v>
      </c>
      <c r="Q137" s="33" t="n">
        <f aca="false">(Q135+Q136)*20%</f>
        <v>5864.834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3488</v>
      </c>
      <c r="Z137" s="33" t="n">
        <f aca="false">(Z135+Z136)*20%</f>
        <v>3479.6275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275</v>
      </c>
      <c r="H139" s="33" t="n">
        <f aca="false">G139</f>
        <v>275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275</v>
      </c>
      <c r="Q139" s="33" t="n">
        <f aca="false">P139</f>
        <v>275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275</v>
      </c>
      <c r="Z139" s="33" t="n">
        <f aca="false">Y139</f>
        <v>275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21258</v>
      </c>
      <c r="H141" s="154" t="n">
        <f aca="false">(H135+H136+H139+H140+H137)-H138</f>
        <v>25509.6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21258</v>
      </c>
      <c r="Q141" s="154" t="n">
        <f aca="false">(Q135+Q136+Q139+Q140+Q137)-Q138</f>
        <v>35519.004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21258</v>
      </c>
      <c r="Z141" s="154" t="n">
        <f aca="false">(Z135+Z136+Z139+Z140+Z137)-Z138</f>
        <v>21207.765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21258</v>
      </c>
      <c r="AI141" s="154" t="n">
        <f aca="false">(AI135+AI136+AI139+AI140+AI137)-AI138</f>
        <v>16234.5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21258</v>
      </c>
      <c r="H147" s="161" t="n">
        <f aca="false">H141-((H144*1.2)+(H145*1.2)+(H146*1.2)+(H142*1.2))</f>
        <v>25509.6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21258</v>
      </c>
      <c r="Q147" s="161" t="n">
        <f aca="false">Q141-((Q144*1.2)+(Q145*1.2)+(Q146*1.2)+(Q142*1.2))</f>
        <v>35519.004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21258</v>
      </c>
      <c r="Z147" s="161" t="n">
        <f aca="false">Z141-((Z144*1.2)+(Z145*1.2)+(Z146*1.2)+(Z142*1.2))</f>
        <v>21207.765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21258</v>
      </c>
      <c r="AI147" s="161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3543</v>
      </c>
      <c r="I148" s="1" t="n">
        <f aca="false">(H148-G81)/1.2</f>
        <v>-16222.1666666667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14261.004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-50.2350000000006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23009.6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36519.004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22207.765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17234.5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731.141074118831</v>
      </c>
      <c r="B167" s="174" t="n">
        <f aca="false">B94</f>
        <v>80.5028823529412</v>
      </c>
      <c r="C167" s="171"/>
      <c r="D167" s="171"/>
      <c r="E167" s="174" t="n">
        <f aca="false">B96</f>
        <v>811.643956471772</v>
      </c>
      <c r="F167" s="23"/>
      <c r="G167" s="23" t="n">
        <f aca="false">ROUND(G95, 2)</f>
        <v>672.67</v>
      </c>
      <c r="H167" s="33"/>
      <c r="J167" s="173" t="n">
        <f aca="false">K95</f>
        <v>1460.84083744584</v>
      </c>
      <c r="K167" s="174" t="n">
        <f aca="false">K94</f>
        <v>78.2028</v>
      </c>
      <c r="L167" s="171"/>
      <c r="M167" s="171"/>
      <c r="N167" s="174" t="n">
        <f aca="false">K96</f>
        <v>1539.04363744584</v>
      </c>
      <c r="O167" s="23"/>
      <c r="P167" s="23"/>
      <c r="Q167" s="33"/>
      <c r="S167" s="173" t="n">
        <f aca="false">T95</f>
        <v>721.901910162031</v>
      </c>
      <c r="T167" s="174" t="n">
        <f aca="false">T94</f>
        <v>61.9252941176471</v>
      </c>
      <c r="U167" s="171"/>
      <c r="V167" s="171"/>
      <c r="W167" s="174" t="n">
        <f aca="false">T96</f>
        <v>783.827204279678</v>
      </c>
      <c r="X167" s="23"/>
      <c r="Y167" s="23"/>
      <c r="Z167" s="33"/>
      <c r="AB167" s="173" t="n">
        <f aca="false">AC95</f>
        <v>546.020328169653</v>
      </c>
      <c r="AC167" s="174" t="n">
        <f aca="false">AC94</f>
        <v>74.3103529411765</v>
      </c>
      <c r="AD167" s="171"/>
      <c r="AE167" s="171"/>
      <c r="AF167" s="174" t="n">
        <f aca="false">AC96</f>
        <v>620.330681110829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2625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2625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2625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2625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20983</v>
      </c>
      <c r="B173" s="99" t="n">
        <f aca="false">H137</f>
        <v>4196.6</v>
      </c>
      <c r="C173" s="183"/>
      <c r="D173" s="23"/>
      <c r="E173" s="179" t="n">
        <f aca="false">H139+H140</f>
        <v>330</v>
      </c>
      <c r="F173" s="23"/>
      <c r="G173" s="23"/>
      <c r="H173" s="33"/>
      <c r="J173" s="182" t="n">
        <f aca="false">Q141-Q137-Q139-Q140</f>
        <v>29324.17</v>
      </c>
      <c r="K173" s="99" t="n">
        <f aca="false">Q137</f>
        <v>5864.834</v>
      </c>
      <c r="L173" s="183"/>
      <c r="M173" s="23"/>
      <c r="N173" s="179" t="n">
        <f aca="false">Q139+Q140</f>
        <v>330</v>
      </c>
      <c r="O173" s="23"/>
      <c r="P173" s="23"/>
      <c r="Q173" s="33"/>
      <c r="S173" s="182" t="n">
        <f aca="false">Z141-Z137-Z139-Z140</f>
        <v>17398.1375</v>
      </c>
      <c r="T173" s="99" t="n">
        <f aca="false">Z137</f>
        <v>3479.6275</v>
      </c>
      <c r="U173" s="183"/>
      <c r="V173" s="23"/>
      <c r="W173" s="179" t="n">
        <f aca="false">Z139+Z140</f>
        <v>330</v>
      </c>
      <c r="X173" s="23"/>
      <c r="Y173" s="23"/>
      <c r="Z173" s="33"/>
      <c r="AB173" s="182" t="n">
        <f aca="false">AI141-AI137-AI139-AI140</f>
        <v>13253.75</v>
      </c>
      <c r="AC173" s="99" t="n">
        <f aca="false">AI137</f>
        <v>2650.75</v>
      </c>
      <c r="AD173" s="183"/>
      <c r="AE173" s="23"/>
      <c r="AF173" s="179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25509.6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35519.004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21207.765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16234.5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23009.6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36519.004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22207.765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17234.5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4474.19652004026</v>
      </c>
      <c r="B182" s="99" t="str">
        <f aca="false">B114</f>
        <v>239.99</v>
      </c>
      <c r="C182" s="99"/>
      <c r="D182" s="23"/>
      <c r="E182" s="99" t="n">
        <f aca="false">E179+A182+B182+A185</f>
        <v>27733.7865200403</v>
      </c>
      <c r="F182" s="23"/>
      <c r="G182" s="23"/>
      <c r="H182" s="101"/>
      <c r="J182" s="107" t="n">
        <f aca="false">(J167*K59)+N185-N179-J185</f>
        <v>15774.5844731586</v>
      </c>
      <c r="K182" s="99" t="n">
        <f aca="false">K114</f>
        <v>239.99</v>
      </c>
      <c r="L182" s="99"/>
      <c r="M182" s="23"/>
      <c r="N182" s="99" t="n">
        <f aca="false">N179+J182+K182+J185</f>
        <v>52553.5784731586</v>
      </c>
      <c r="O182" s="23"/>
      <c r="P182" s="23"/>
      <c r="Q182" s="101"/>
      <c r="S182" s="107" t="n">
        <f aca="false">(S167*T59)+W185-W179-S185</f>
        <v>4961.89994550905</v>
      </c>
      <c r="T182" s="99" t="n">
        <f aca="false">T114</f>
        <v>199.99</v>
      </c>
      <c r="U182" s="99"/>
      <c r="V182" s="23"/>
      <c r="W182" s="99" t="n">
        <f aca="false">W179+S182+T182+S185</f>
        <v>27379.654945509</v>
      </c>
      <c r="X182" s="23"/>
      <c r="Y182" s="23"/>
      <c r="Z182" s="101"/>
      <c r="AB182" s="107" t="n">
        <f aca="false">(AB167*AC59)+AF185-AF179-AB185</f>
        <v>3955.19115776819</v>
      </c>
      <c r="AC182" s="99" t="n">
        <f aca="false">AC114</f>
        <v>239.99</v>
      </c>
      <c r="AD182" s="99"/>
      <c r="AE182" s="23"/>
      <c r="AF182" s="99" t="n">
        <f aca="false">AF179+AB182+AC182+AB185</f>
        <v>21439.6811577682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E170+A185</f>
        <v>2635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2645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2635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2635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 *1.2</f>
        <v>5.02272</v>
      </c>
      <c r="B188" s="99" t="n">
        <f aca="false">(G158*B67)</f>
        <v>225.302333333333</v>
      </c>
      <c r="C188" s="130"/>
      <c r="D188" s="130"/>
      <c r="E188" s="99" t="n">
        <f aca="false">(E40*A108)*0.1*(C45/100)</f>
        <v>52.6365</v>
      </c>
      <c r="F188" s="23"/>
      <c r="G188" s="23"/>
      <c r="H188" s="33"/>
      <c r="J188" s="107" t="n">
        <f aca="false">IF(N105="YES", H15*0.000002, 0)</f>
        <v>0.042516</v>
      </c>
      <c r="K188" s="99" t="n">
        <f aca="false">(P158*K67)/1.2</f>
        <v>2250.73722569444</v>
      </c>
      <c r="L188" s="130"/>
      <c r="M188" s="130"/>
      <c r="N188" s="99" t="n">
        <f aca="false">(E40*J108)*0.1</f>
        <v>52.6365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181.209193576389</v>
      </c>
      <c r="U188" s="130"/>
      <c r="V188" s="130"/>
      <c r="W188" s="99" t="n">
        <f aca="false">(E40*S108)*0.1</f>
        <v>35.091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140.628732638889</v>
      </c>
      <c r="AD188" s="130"/>
      <c r="AE188" s="130"/>
      <c r="AF188" s="99" t="n">
        <f aca="false">(E40*AB108)*0.1</f>
        <v>35.091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377.9305</v>
      </c>
      <c r="C191" s="130"/>
      <c r="D191" s="130"/>
      <c r="E191" s="99" t="n">
        <f aca="false">H148</f>
        <v>3543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3443.36372569444</v>
      </c>
      <c r="L191" s="130"/>
      <c r="M191" s="130"/>
      <c r="N191" s="99" t="n">
        <f aca="false">Q148</f>
        <v>14261.004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1316.29019357639</v>
      </c>
      <c r="U191" s="130"/>
      <c r="V191" s="130"/>
      <c r="W191" s="99" t="n">
        <f aca="false">Z148</f>
        <v>-50.2350000000006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1315.70973263889</v>
      </c>
      <c r="AD191" s="130"/>
      <c r="AE191" s="130"/>
      <c r="AF191" s="99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811.643956471772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1539.04363744584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783.827204279678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620.330681110829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2486.18</v>
      </c>
      <c r="B201" s="183" t="n">
        <f aca="false">E179+A201+B182+A185</f>
        <v>25745.77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731.141074118831</v>
      </c>
      <c r="B212" s="174" t="n">
        <f aca="false">B167</f>
        <v>80.5028823529412</v>
      </c>
      <c r="C212" s="171"/>
      <c r="D212" s="171"/>
      <c r="E212" s="174" t="n">
        <f aca="false">E167</f>
        <v>811.643956471772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20983</v>
      </c>
      <c r="B215" s="99" t="n">
        <f aca="false">B173</f>
        <v>4196.6</v>
      </c>
      <c r="C215" s="183"/>
      <c r="D215" s="109"/>
      <c r="E215" s="179" t="n">
        <f aca="false">E173</f>
        <v>330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25509.6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23009.6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4474.19652004026</v>
      </c>
      <c r="B224" s="99" t="str">
        <f aca="false">B182</f>
        <v>239.99</v>
      </c>
      <c r="C224" s="99"/>
      <c r="D224" s="109"/>
      <c r="E224" s="99" t="n">
        <f aca="false">E182</f>
        <v>27733.7865200403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731.141074118831</v>
      </c>
      <c r="B230" s="99" t="n">
        <f aca="false">B167</f>
        <v>80.5028823529412</v>
      </c>
      <c r="C230" s="183"/>
      <c r="D230" s="183"/>
      <c r="E230" s="99" t="n">
        <f aca="false">E167</f>
        <v>811.643956471772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2625</v>
      </c>
      <c r="B233" s="99" t="n">
        <f aca="false">E185</f>
        <v>2635</v>
      </c>
      <c r="C233" s="130"/>
      <c r="D233" s="130"/>
      <c r="E233" s="99" t="n">
        <f aca="false">A188</f>
        <v>5.02272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3543</v>
      </c>
      <c r="B240" s="99" t="n">
        <f aca="false">B68</f>
        <v>187.751944444444</v>
      </c>
      <c r="C240" s="130"/>
      <c r="D240" s="130"/>
      <c r="E240" s="99" t="n">
        <f aca="false">E188</f>
        <v>52.6365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3883.38011111111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1998.01652004026</v>
      </c>
      <c r="C254" s="194"/>
      <c r="D254" s="195" t="s">
        <v>213</v>
      </c>
      <c r="E254" s="195"/>
      <c r="F254" s="196" t="n">
        <f aca="false">F261+F267+F269+B270+B271</f>
        <v>225.302333333333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626.356666666667</v>
      </c>
      <c r="C255" s="194"/>
      <c r="D255" s="195" t="s">
        <v>215</v>
      </c>
      <c r="E255" s="195"/>
      <c r="F255" s="196" t="n">
        <f aca="false">(B254-F254)+B255</f>
        <v>2399.07085337359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1998.01652004026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225.302333333333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526.365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2399.07085337359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4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555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35" hidden="false" customHeight="false" outlineLevel="0" collapsed="false">
      <c r="A26" s="36" t="s">
        <v>126</v>
      </c>
      <c r="B26" s="40" t="s">
        <v>390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35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36.0</v>
      </c>
      <c r="P29" s="208"/>
    </row>
    <row r="30" customFormat="false" ht="17.35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10000.0</v>
      </c>
      <c r="P30" s="208"/>
    </row>
    <row r="31" customFormat="false" ht="17.35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20000.0</v>
      </c>
      <c r="P31" s="208"/>
    </row>
    <row r="32" customFormat="false" ht="33.25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 t="n">
        <v>0</v>
      </c>
      <c r="J32" s="29" t="s">
        <v>36</v>
      </c>
      <c r="K32" s="448" t="n">
        <v>0.0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573.58126299694</v>
      </c>
      <c r="F33" s="228"/>
      <c r="G33" s="228"/>
      <c r="H33" s="47"/>
      <c r="I33" s="2"/>
      <c r="J33" s="34" t="s">
        <v>352</v>
      </c>
      <c r="K33" s="48" t="n">
        <f aca="false">H21-H11+(H16*20%)</f>
        <v>17770</v>
      </c>
      <c r="L33" s="1" t="n">
        <f aca="false">H21-H11+(H16*20%)</f>
        <v>17770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513.43126299694</v>
      </c>
      <c r="B36" s="228" t="n">
        <f aca="false">IF(B26="YES", K42, "0.00")</f>
        <v>60.15</v>
      </c>
      <c r="C36" s="228"/>
      <c r="D36" s="228"/>
      <c r="E36" s="228" t="n">
        <f aca="false">K31</f>
        <v>2100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17770</v>
      </c>
      <c r="L39" s="2" t="n">
        <f aca="false">(L47*K46)+K44</f>
        <v>24971.0715714325</v>
      </c>
      <c r="N39" s="1" t="n">
        <f aca="false">K39-L39</f>
        <v>-7201.07157143255</v>
      </c>
      <c r="P39" s="208"/>
    </row>
    <row r="40" customFormat="false" ht="17.35" hidden="false" customHeight="false" outlineLevel="0" collapsed="false">
      <c r="A40" s="312" t="n">
        <f aca="false">E36*A45/100</f>
        <v>28575.0</v>
      </c>
      <c r="B40" s="103" t="n">
        <f aca="false">IF(B26="YES", K42, "0.00")</f>
        <v>60.15</v>
      </c>
      <c r="C40" s="103"/>
      <c r="D40" s="103"/>
      <c r="E40" s="179" t="n">
        <f aca="false">K32</f>
        <v>2105.25</v>
      </c>
      <c r="F40" s="183"/>
      <c r="G40" s="183"/>
      <c r="H40" s="47"/>
      <c r="J40" s="2" t="s">
        <v>106</v>
      </c>
      <c r="K40" s="2" t="n">
        <f aca="false">(A40)/1.2</f>
        <v>1750</v>
      </c>
      <c r="L40" s="2" t="n">
        <f aca="false">K39-L39</f>
        <v>-7201.07157143255</v>
      </c>
      <c r="N40" s="1" t="n">
        <f aca="false">N38-N39</f>
        <v>10112.7515714326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(K32/K36/100)*C45</f>
        <v>60.15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1440.71859515757</v>
      </c>
      <c r="L44" s="2"/>
      <c r="P44" s="208"/>
    </row>
    <row r="45" customFormat="false" ht="17.35" hidden="false" customHeight="false" outlineLevel="0" collapsed="false">
      <c r="A45" s="507" t="n">
        <v>100.0</v>
      </c>
      <c r="B45" s="130"/>
      <c r="C45" s="506" t="n">
        <v>100</v>
      </c>
      <c r="D45" s="506"/>
      <c r="E45" s="506"/>
      <c r="F45" s="130"/>
      <c r="G45" s="130"/>
      <c r="H45" s="33"/>
      <c r="J45" s="2" t="s">
        <v>363</v>
      </c>
      <c r="K45" s="2" t="n">
        <f aca="false">(K39-K44)</f>
        <v>16329.2814048424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513.43126299694</v>
      </c>
      <c r="L47" s="2" t="n">
        <f aca="false">L49-K42</f>
        <v>739.85</v>
      </c>
      <c r="M47" s="1" t="n">
        <f aca="false">K47-L47</f>
        <v>-226.41873700306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573.58126299694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573.58126299694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20928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20928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20928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9213.44283912644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31698.4942682657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7006.26820592643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1026.29441818557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200.8075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1547.8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204.92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168.754479166667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513.43126299694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513.43126299694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573.58126299694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573.58126299694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24609.6</v>
      </c>
      <c r="C81" s="130"/>
      <c r="D81" s="130"/>
      <c r="E81" s="109"/>
      <c r="F81" s="25" t="s">
        <v>105</v>
      </c>
      <c r="G81" s="27" t="n">
        <f aca="false">G158</f>
        <v>24609.6</v>
      </c>
      <c r="H81" s="33"/>
      <c r="J81" s="25" t="s">
        <v>105</v>
      </c>
      <c r="K81" s="27" t="n">
        <f aca="false">P158</f>
        <v>36519.004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22207.765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17234.5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2100</v>
      </c>
      <c r="C82" s="130"/>
      <c r="D82" s="130"/>
      <c r="E82" s="109"/>
      <c r="F82" s="31" t="s">
        <v>106</v>
      </c>
      <c r="G82" s="33" t="n">
        <f aca="false">IF(A111 = "Yes", A40, 0)</f>
        <v>2100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2100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2100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1503.98415150998</v>
      </c>
      <c r="C86" s="130"/>
      <c r="D86" s="130"/>
      <c r="E86" s="109"/>
      <c r="F86" s="31" t="s">
        <v>110</v>
      </c>
      <c r="G86" s="33" t="n">
        <f aca="false">(G82/((1+G84)^(G85+1)))</f>
        <v>1738.22698505761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1436.09050542508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1436.09050542508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23105.61584849</v>
      </c>
      <c r="C88" s="130"/>
      <c r="D88" s="130"/>
      <c r="E88" s="109"/>
      <c r="F88" s="31" t="s">
        <v>112</v>
      </c>
      <c r="G88" s="33" t="n">
        <f aca="false">G81-G86</f>
        <v>22871.3730149424</v>
      </c>
      <c r="H88" s="33"/>
      <c r="J88" s="31" t="s">
        <v>112</v>
      </c>
      <c r="K88" s="33" t="n">
        <f aca="false">K81-K86</f>
        <v>36519.004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20771.6744945749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15798.4094945749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799.515795412334</v>
      </c>
      <c r="C89" s="130"/>
      <c r="D89" s="130"/>
      <c r="E89" s="109"/>
      <c r="F89" s="31" t="s">
        <v>113</v>
      </c>
      <c r="G89" s="33" t="n">
        <f aca="false">(G88/G87)</f>
        <v>738.346084159263</v>
      </c>
      <c r="H89" s="33"/>
      <c r="J89" s="31" t="s">
        <v>113</v>
      </c>
      <c r="K89" s="33" t="n">
        <f aca="false">(K88/K87)</f>
        <v>1460.84083744584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734.598894435863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558.717312443485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27183.5370440193</v>
      </c>
      <c r="C90" s="130"/>
      <c r="D90" s="130"/>
      <c r="E90" s="109"/>
      <c r="F90" s="31" t="s">
        <v>114</v>
      </c>
      <c r="G90" s="33" t="n">
        <f aca="false">((G89*(G85))+G77)</f>
        <v>25103.7668614149</v>
      </c>
      <c r="H90" s="33"/>
      <c r="J90" s="31" t="s">
        <v>114</v>
      </c>
      <c r="K90" s="33" t="n">
        <f aca="false">((K89*(K85))+K77)</f>
        <v>51129.4293106044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24976.3624108193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18996.3886230785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27183.5370440193</v>
      </c>
      <c r="C92" s="130"/>
      <c r="D92" s="130"/>
      <c r="E92" s="109"/>
      <c r="F92" s="56" t="s">
        <v>116</v>
      </c>
      <c r="G92" s="65" t="n">
        <f aca="false">(G90+G91)</f>
        <v>25103.7668614149</v>
      </c>
      <c r="H92" s="33"/>
      <c r="J92" s="56" t="s">
        <v>116</v>
      </c>
      <c r="K92" s="65" t="n">
        <f aca="false">(K90+K91)</f>
        <v>51129.4293106044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24976.3624108193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18996.3886230785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96.5938235294118</v>
      </c>
      <c r="C94" s="130"/>
      <c r="D94" s="130"/>
      <c r="E94" s="109"/>
      <c r="F94" s="88" t="s">
        <v>117</v>
      </c>
      <c r="G94" s="259" t="n">
        <f aca="false">IF(B26="YES",((E40/B85)*(1+A108)*(C45/100)),"0")</f>
        <v>80.4948529411765</v>
      </c>
      <c r="H94" s="33"/>
      <c r="J94" s="88" t="s">
        <v>117</v>
      </c>
      <c r="K94" s="89" t="n">
        <f aca="false">((E40/K85)*(1+J108))*1.2</f>
        <v>93.834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74.3029411764706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89.1635294117647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799.515795412334</v>
      </c>
      <c r="C95" s="130"/>
      <c r="D95" s="130"/>
      <c r="E95" s="109"/>
      <c r="F95" s="91" t="s">
        <v>118</v>
      </c>
      <c r="G95" s="92" t="n">
        <f aca="false">G92/(G85)</f>
        <v>738.346084159263</v>
      </c>
      <c r="H95" s="33"/>
      <c r="J95" s="91" t="s">
        <v>118</v>
      </c>
      <c r="K95" s="92" t="n">
        <f aca="false">K92/(K85)</f>
        <v>1460.84083744584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734.598894435863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558.717312443485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896.109618941745</v>
      </c>
      <c r="C96" s="130"/>
      <c r="D96" s="130"/>
      <c r="E96" s="109"/>
      <c r="F96" s="93" t="s">
        <v>119</v>
      </c>
      <c r="G96" s="94" t="n">
        <f aca="false">G94+G95</f>
        <v>818.840937100439</v>
      </c>
      <c r="H96" s="33"/>
      <c r="J96" s="93" t="s">
        <v>119</v>
      </c>
      <c r="K96" s="94" t="n">
        <f aca="false">(K94+K95)</f>
        <v>1554.67483744584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808.901835612333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647.880841855249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390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392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387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400</v>
      </c>
      <c r="B114" s="103" t="s">
        <v>393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16745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0</v>
      </c>
      <c r="P121" s="117" t="n">
        <f aca="false">O121</f>
        <v>0</v>
      </c>
      <c r="Q121" s="118" t="n">
        <f aca="false">H3</f>
        <v>0</v>
      </c>
      <c r="S121" s="25" t="s">
        <v>149</v>
      </c>
      <c r="T121" s="116" t="n">
        <f aca="false">B3</f>
        <v>16745</v>
      </c>
      <c r="U121" s="117" t="n">
        <f aca="false">T121</f>
        <v>16745</v>
      </c>
      <c r="V121" s="116" t="n">
        <f aca="false">D3</f>
        <v>0</v>
      </c>
      <c r="W121" s="117" t="n">
        <f aca="false">V121</f>
        <v>0</v>
      </c>
      <c r="X121" s="116" t="n">
        <f aca="false">F3</f>
        <v>0</v>
      </c>
      <c r="Y121" s="117" t="n">
        <f aca="false">X121</f>
        <v>0</v>
      </c>
      <c r="Z121" s="118" t="n">
        <f aca="false">H3</f>
        <v>0</v>
      </c>
      <c r="AB121" s="25" t="s">
        <v>149</v>
      </c>
      <c r="AC121" s="116" t="n">
        <f aca="false">B3</f>
        <v>16745</v>
      </c>
      <c r="AD121" s="117" t="n">
        <f aca="false">AC121</f>
        <v>16745</v>
      </c>
      <c r="AE121" s="116" t="n">
        <f aca="false">D3</f>
        <v>0</v>
      </c>
      <c r="AF121" s="117" t="n">
        <f aca="false">AE121</f>
        <v>0</v>
      </c>
      <c r="AG121" s="116" t="n">
        <f aca="false">F3</f>
        <v>0</v>
      </c>
      <c r="AH121" s="117" t="n">
        <f aca="false">AG121</f>
        <v>0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0.0</v>
      </c>
      <c r="D122" s="119" t="n">
        <f aca="false">D4</f>
        <v>0</v>
      </c>
      <c r="E122" s="120" t="n">
        <v>0.0</v>
      </c>
      <c r="F122" s="119" t="n">
        <f aca="false">F4</f>
        <v>0</v>
      </c>
      <c r="G122" s="451" t="n">
        <v>0.0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0.0</v>
      </c>
      <c r="F123" s="126" t="n">
        <f aca="false">F5</f>
        <v>0</v>
      </c>
      <c r="G123" s="117" t="n">
        <v>0.0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-3543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41.8625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4186.25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20288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16745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0</v>
      </c>
      <c r="P125" s="129" t="n">
        <f aca="false">P121-P124</f>
        <v>0</v>
      </c>
      <c r="Q125" s="65"/>
      <c r="S125" s="56" t="s">
        <v>153</v>
      </c>
      <c r="T125" s="128" t="n">
        <f aca="false">T121-T124</f>
        <v>16745</v>
      </c>
      <c r="U125" s="129" t="n">
        <f aca="false">U121-U124</f>
        <v>16703.1375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0</v>
      </c>
      <c r="Y125" s="129" t="n">
        <f aca="false">Y121-Y124</f>
        <v>0</v>
      </c>
      <c r="Z125" s="65"/>
      <c r="AB125" s="56" t="s">
        <v>153</v>
      </c>
      <c r="AC125" s="128" t="n">
        <f aca="false">AC121-AC124</f>
        <v>16745</v>
      </c>
      <c r="AD125" s="129" t="n">
        <f aca="false">AD121-AD124</f>
        <v>12558.75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0</v>
      </c>
      <c r="AH125" s="129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20288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16745</v>
      </c>
      <c r="Q135" s="150" t="n">
        <f aca="false">L125+N125+P125+Q128</f>
        <v>28629.17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16745</v>
      </c>
      <c r="Z135" s="150" t="n">
        <f aca="false">U125+W125+Y125+Z128</f>
        <v>16703.1375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16745</v>
      </c>
      <c r="AI135" s="150" t="n">
        <f aca="false">AD125+AF125+AH125+AI128</f>
        <v>12558.75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695</v>
      </c>
      <c r="Q136" s="33" t="n">
        <f aca="false">P136</f>
        <v>695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695</v>
      </c>
      <c r="Z136" s="33" t="n">
        <f aca="false">Y136</f>
        <v>695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4196.6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3488</v>
      </c>
      <c r="Q137" s="33" t="n">
        <f aca="false">(Q135+Q136)*20%</f>
        <v>5864.834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3488</v>
      </c>
      <c r="Z137" s="33" t="n">
        <f aca="false">(Z135+Z136)*20%</f>
        <v>3479.6275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275</v>
      </c>
      <c r="H139" s="33" t="n">
        <f aca="false">G139</f>
        <v>275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275</v>
      </c>
      <c r="Q139" s="33" t="n">
        <f aca="false">P139</f>
        <v>275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275</v>
      </c>
      <c r="Z139" s="33" t="n">
        <f aca="false">Y139</f>
        <v>275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21258</v>
      </c>
      <c r="H141" s="154" t="n">
        <f aca="false">(H135+H136+H139+H140+H137)-H138</f>
        <v>25509.6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21258</v>
      </c>
      <c r="Q141" s="154" t="n">
        <f aca="false">(Q135+Q136+Q139+Q140+Q137)-Q138</f>
        <v>35519.004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21258</v>
      </c>
      <c r="Z141" s="154" t="n">
        <f aca="false">(Z135+Z136+Z139+Z140+Z137)-Z138</f>
        <v>21207.765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21258</v>
      </c>
      <c r="AI141" s="154" t="n">
        <f aca="false">(AI135+AI136+AI139+AI140+AI137)-AI138</f>
        <v>16234.5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21258</v>
      </c>
      <c r="H147" s="161" t="n">
        <f aca="false">H141-((H144*1.2)+(H145*1.2)+(H146*1.2)+(H142*1.2))</f>
        <v>25509.6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21258</v>
      </c>
      <c r="Q147" s="161" t="n">
        <f aca="false">Q141-((Q144*1.2)+(Q145*1.2)+(Q146*1.2)+(Q142*1.2))</f>
        <v>35519.004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21258</v>
      </c>
      <c r="Z147" s="161" t="n">
        <f aca="false">Z141-((Z144*1.2)+(Z145*1.2)+(Z146*1.2)+(Z142*1.2))</f>
        <v>21207.765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21258</v>
      </c>
      <c r="AI147" s="161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3543</v>
      </c>
      <c r="I148" s="1" t="n">
        <f aca="false">(H148-G81)/1.2</f>
        <v>-17555.5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14261.004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-50.2350000000006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400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24609.6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36519.004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22207.765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17234.5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799.515795412334</v>
      </c>
      <c r="B167" s="174" t="n">
        <f aca="false">B94</f>
        <v>96.5938235294118</v>
      </c>
      <c r="C167" s="171"/>
      <c r="D167" s="171"/>
      <c r="E167" s="174" t="n">
        <f aca="false">B96</f>
        <v>896.109618941745</v>
      </c>
      <c r="F167" s="23"/>
      <c r="G167" s="23" t="n">
        <f aca="false">ROUND(G95, 2)</f>
        <v>738.35</v>
      </c>
      <c r="H167" s="33"/>
      <c r="J167" s="173" t="n">
        <f aca="false">K95</f>
        <v>1460.84083744584</v>
      </c>
      <c r="K167" s="174" t="n">
        <f aca="false">K94</f>
        <v>93.834</v>
      </c>
      <c r="L167" s="171"/>
      <c r="M167" s="171"/>
      <c r="N167" s="174" t="n">
        <f aca="false">K96</f>
        <v>1554.67483744584</v>
      </c>
      <c r="O167" s="23"/>
      <c r="P167" s="23"/>
      <c r="Q167" s="33"/>
      <c r="S167" s="173" t="n">
        <f aca="false">T95</f>
        <v>734.598894435863</v>
      </c>
      <c r="T167" s="174" t="n">
        <f aca="false">T94</f>
        <v>74.3029411764706</v>
      </c>
      <c r="U167" s="171"/>
      <c r="V167" s="171"/>
      <c r="W167" s="174" t="n">
        <f aca="false">T96</f>
        <v>808.901835612333</v>
      </c>
      <c r="X167" s="23"/>
      <c r="Y167" s="23"/>
      <c r="Z167" s="33"/>
      <c r="AB167" s="173" t="n">
        <f aca="false">AC95</f>
        <v>558.717312443485</v>
      </c>
      <c r="AC167" s="174" t="n">
        <f aca="false">AC94</f>
        <v>89.1635294117647</v>
      </c>
      <c r="AD167" s="171"/>
      <c r="AE167" s="171"/>
      <c r="AF167" s="174" t="n">
        <f aca="false">AC96</f>
        <v>647.880841855249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2100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2100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2100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2100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20983</v>
      </c>
      <c r="B173" s="99" t="n">
        <f aca="false">H137</f>
        <v>4196.6</v>
      </c>
      <c r="C173" s="183"/>
      <c r="D173" s="23"/>
      <c r="E173" s="179" t="n">
        <f aca="false">H139+H140</f>
        <v>330</v>
      </c>
      <c r="F173" s="23"/>
      <c r="G173" s="23"/>
      <c r="H173" s="33"/>
      <c r="J173" s="182" t="n">
        <f aca="false">Q141-Q137-Q139-Q140</f>
        <v>29324.17</v>
      </c>
      <c r="K173" s="99" t="n">
        <f aca="false">Q137</f>
        <v>5864.834</v>
      </c>
      <c r="L173" s="183"/>
      <c r="M173" s="23"/>
      <c r="N173" s="179" t="n">
        <f aca="false">Q139+Q140</f>
        <v>330</v>
      </c>
      <c r="O173" s="23"/>
      <c r="P173" s="23"/>
      <c r="Q173" s="33"/>
      <c r="S173" s="182" t="n">
        <f aca="false">Z141-Z137-Z139-Z140</f>
        <v>17398.1375</v>
      </c>
      <c r="T173" s="99" t="n">
        <f aca="false">Z137</f>
        <v>3479.6275</v>
      </c>
      <c r="U173" s="183"/>
      <c r="V173" s="23"/>
      <c r="W173" s="179" t="n">
        <f aca="false">Z139+Z140</f>
        <v>330</v>
      </c>
      <c r="X173" s="23"/>
      <c r="Y173" s="23"/>
      <c r="Z173" s="33"/>
      <c r="AB173" s="182" t="n">
        <f aca="false">AI141-AI137-AI139-AI140</f>
        <v>13253.75</v>
      </c>
      <c r="AC173" s="99" t="n">
        <f aca="false">AI137</f>
        <v>2650.75</v>
      </c>
      <c r="AD173" s="183"/>
      <c r="AE173" s="23"/>
      <c r="AF173" s="179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25509.6</v>
      </c>
      <c r="B176" s="99" t="n">
        <f aca="false">B111</f>
        <v>200</v>
      </c>
      <c r="C176" s="99"/>
      <c r="D176" s="23"/>
      <c r="E176" s="99" t="n">
        <f aca="false">E111</f>
        <v>200</v>
      </c>
      <c r="F176" s="23"/>
      <c r="G176" s="23"/>
      <c r="H176" s="101"/>
      <c r="J176" s="182" t="n">
        <f aca="false">Q141</f>
        <v>35519.004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21207.765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16234.5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400</v>
      </c>
      <c r="B179" s="99" t="n">
        <f aca="false">G154</f>
        <v>500</v>
      </c>
      <c r="C179" s="99"/>
      <c r="D179" s="23"/>
      <c r="E179" s="99" t="n">
        <f aca="false">A176-A179-B179</f>
        <v>24609.6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36519.004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22207.765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17234.5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4673.93704401935</v>
      </c>
      <c r="B182" s="99" t="str">
        <f aca="false">B114</f>
        <v>239.99</v>
      </c>
      <c r="C182" s="99"/>
      <c r="D182" s="23"/>
      <c r="E182" s="99" t="n">
        <f aca="false">E179+A182+B182+A185</f>
        <v>29533.5270440193</v>
      </c>
      <c r="F182" s="23"/>
      <c r="G182" s="23"/>
      <c r="H182" s="101"/>
      <c r="J182" s="107" t="n">
        <f aca="false">(J167*K59)+N185-N179-J185</f>
        <v>15249.5844731586</v>
      </c>
      <c r="K182" s="99" t="n">
        <f aca="false">K114</f>
        <v>239.99</v>
      </c>
      <c r="L182" s="99"/>
      <c r="M182" s="23"/>
      <c r="N182" s="99" t="n">
        <f aca="false">N179+J182+K182+J185</f>
        <v>52028.5784731586</v>
      </c>
      <c r="O182" s="23"/>
      <c r="P182" s="23"/>
      <c r="Q182" s="101"/>
      <c r="S182" s="107" t="n">
        <f aca="false">(S167*T59)+W185-W179-S185</f>
        <v>4868.59741081934</v>
      </c>
      <c r="T182" s="99" t="n">
        <f aca="false">T114</f>
        <v>199.99</v>
      </c>
      <c r="U182" s="99"/>
      <c r="V182" s="23"/>
      <c r="W182" s="99" t="n">
        <f aca="false">W179+S182+T182+S185</f>
        <v>27286.3524108193</v>
      </c>
      <c r="X182" s="23"/>
      <c r="Y182" s="23"/>
      <c r="Z182" s="101"/>
      <c r="AB182" s="107" t="n">
        <f aca="false">(AB167*AC59)+AF185-AF179-AB185</f>
        <v>3861.88862307848</v>
      </c>
      <c r="AC182" s="99" t="n">
        <f aca="false">AC114</f>
        <v>239.99</v>
      </c>
      <c r="AD182" s="99"/>
      <c r="AE182" s="23"/>
      <c r="AF182" s="99" t="n">
        <f aca="false">AF179+AB182+AC182+AB185</f>
        <v>21346.3786230785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639.99</v>
      </c>
      <c r="C185" s="99"/>
      <c r="D185" s="23"/>
      <c r="E185" s="99" t="n">
        <f aca="false">IF(A40=0,(E167),(E170+A185))</f>
        <v>2110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2120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2110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2110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</f>
        <v>0.041856</v>
      </c>
      <c r="B188" s="99" t="n">
        <f aca="false">(G158*B67)/1.2</f>
        <v>200.8075</v>
      </c>
      <c r="C188" s="130"/>
      <c r="D188" s="130"/>
      <c r="E188" s="99" t="n">
        <f aca="false">(E40*A108)*0.1*C45/100</f>
        <v>63.1575</v>
      </c>
      <c r="F188" s="23"/>
      <c r="G188" s="23"/>
      <c r="H188" s="33"/>
      <c r="J188" s="107" t="n">
        <f aca="false">IF(N105="YES", H15*0.000002, 0)</f>
        <v>0.042516</v>
      </c>
      <c r="K188" s="99" t="n">
        <f aca="false">(P158*K67)/1.2</f>
        <v>2250.73722569444</v>
      </c>
      <c r="L188" s="130"/>
      <c r="M188" s="130"/>
      <c r="N188" s="99" t="n">
        <f aca="false">(E40*J108)*0.1</f>
        <v>63.1575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181.209193576389</v>
      </c>
      <c r="U188" s="130"/>
      <c r="V188" s="130"/>
      <c r="W188" s="99" t="n">
        <f aca="false">(E40*S108)*0.1</f>
        <v>42.105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140.628732638889</v>
      </c>
      <c r="AD188" s="130"/>
      <c r="AE188" s="130"/>
      <c r="AF188" s="99" t="n">
        <f aca="false">(E40*AB108)*0.1</f>
        <v>42.105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363.956666666667</v>
      </c>
      <c r="C191" s="130"/>
      <c r="D191" s="130"/>
      <c r="E191" s="99" t="n">
        <f aca="false">H148</f>
        <v>3543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3453.88472569444</v>
      </c>
      <c r="L191" s="130"/>
      <c r="M191" s="130"/>
      <c r="N191" s="99" t="n">
        <f aca="false">Q148</f>
        <v>14261.004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1323.30419357639</v>
      </c>
      <c r="U191" s="130"/>
      <c r="V191" s="130"/>
      <c r="W191" s="99" t="n">
        <f aca="false">Z148</f>
        <v>-50.2350000000006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1322.72373263889</v>
      </c>
      <c r="AD191" s="130"/>
      <c r="AE191" s="130"/>
      <c r="AF191" s="99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896.109618941745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1554.67483744584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808.901835612333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647.880841855249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2594.3</v>
      </c>
      <c r="B201" s="183" t="n">
        <f aca="false">E179+A201+B182+A185</f>
        <v>27453.89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799.515795412334</v>
      </c>
      <c r="B212" s="174" t="n">
        <f aca="false">B167</f>
        <v>96.5938235294118</v>
      </c>
      <c r="C212" s="171"/>
      <c r="D212" s="171"/>
      <c r="E212" s="174" t="n">
        <f aca="false">E167</f>
        <v>896.109618941745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20983</v>
      </c>
      <c r="B215" s="99" t="n">
        <f aca="false">B173</f>
        <v>4196.6</v>
      </c>
      <c r="C215" s="183"/>
      <c r="D215" s="109"/>
      <c r="E215" s="179" t="n">
        <f aca="false">E173</f>
        <v>330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25509.6</v>
      </c>
      <c r="B218" s="99" t="n">
        <f aca="false">B176</f>
        <v>200</v>
      </c>
      <c r="C218" s="99"/>
      <c r="D218" s="109"/>
      <c r="E218" s="99" t="n">
        <f aca="false">E176</f>
        <v>200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400</v>
      </c>
      <c r="B221" s="99" t="n">
        <f aca="false">B179</f>
        <v>500</v>
      </c>
      <c r="C221" s="99"/>
      <c r="D221" s="109"/>
      <c r="E221" s="99" t="n">
        <f aca="false">E179</f>
        <v>24609.6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4673.93704401935</v>
      </c>
      <c r="B224" s="99" t="str">
        <f aca="false">B182</f>
        <v>239.99</v>
      </c>
      <c r="C224" s="99"/>
      <c r="D224" s="109"/>
      <c r="E224" s="99" t="n">
        <f aca="false">E182</f>
        <v>29533.5270440193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639.99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799.515795412334</v>
      </c>
      <c r="B230" s="99" t="n">
        <f aca="false">B167</f>
        <v>96.5938235294118</v>
      </c>
      <c r="C230" s="183"/>
      <c r="D230" s="183"/>
      <c r="E230" s="99" t="n">
        <f aca="false">E167</f>
        <v>896.109618941745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2100</v>
      </c>
      <c r="B233" s="99" t="n">
        <f aca="false">E185</f>
        <v>2110</v>
      </c>
      <c r="C233" s="130"/>
      <c r="D233" s="130"/>
      <c r="E233" s="99" t="n">
        <f aca="false">J18*0.000006*100*1.2</f>
        <v>15.06816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5.02272</v>
      </c>
      <c r="B236" s="99" t="n">
        <f aca="false">E233+A236</f>
        <v>20.09088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3543</v>
      </c>
      <c r="B240" s="99" t="n">
        <f aca="false">B68</f>
        <v>200.8075</v>
      </c>
      <c r="C240" s="130"/>
      <c r="D240" s="130"/>
      <c r="E240" s="99" t="n">
        <f aca="false">E188</f>
        <v>63.1575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3906.95666666666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2089.63704401934</v>
      </c>
      <c r="C254" s="194"/>
      <c r="D254" s="195" t="s">
        <v>213</v>
      </c>
      <c r="E254" s="195"/>
      <c r="F254" s="196" t="n">
        <f aca="false">F261+F267+F269+B270+B271</f>
        <v>240.969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731.566666666667</v>
      </c>
      <c r="C255" s="194"/>
      <c r="D255" s="195" t="s">
        <v>215</v>
      </c>
      <c r="E255" s="195"/>
      <c r="F255" s="196" t="n">
        <f aca="false">(B254-F254)+B255</f>
        <v>2580.23471068601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2089.63704401934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240.969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631.575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2580.23471068601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6" colorId="64" zoomScale="85" zoomScaleNormal="85" zoomScalePageLayoutView="100" workbookViewId="0">
      <selection pane="topLeft" activeCell="E183" activeCellId="0" sqref="E1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11520</v>
      </c>
      <c r="P31" s="208"/>
    </row>
    <row r="32" customFormat="false" ht="34.8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 t="n">
        <v>0</v>
      </c>
      <c r="J32" s="29" t="s">
        <v>36</v>
      </c>
      <c r="K32" s="448" t="n">
        <v>2813.65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1368.71362534388</v>
      </c>
      <c r="F33" s="228"/>
      <c r="G33" s="228"/>
      <c r="H33" s="47"/>
      <c r="I33" s="2"/>
      <c r="J33" s="34" t="s">
        <v>352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1288.32362534388</v>
      </c>
      <c r="B36" s="228" t="n">
        <f aca="false">IF(B26="YES", K42, "0.00")</f>
        <v>80.39</v>
      </c>
      <c r="C36" s="228"/>
      <c r="D36" s="228"/>
      <c r="E36" s="228" t="n">
        <f aca="false">K31</f>
        <v>11520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48877.5</v>
      </c>
      <c r="L39" s="2" t="n">
        <f aca="false">(L47*K46)+K44</f>
        <v>30790.0061204858</v>
      </c>
      <c r="N39" s="1" t="n">
        <f aca="false">K39-L39</f>
        <v>18087.4938795142</v>
      </c>
      <c r="P39" s="208"/>
    </row>
    <row r="40" customFormat="false" ht="17.35" hidden="false" customHeight="false" outlineLevel="0" collapsed="false">
      <c r="A40" s="312" t="n">
        <f aca="false">E36*A45/100</f>
        <v>11520</v>
      </c>
      <c r="B40" s="103" t="n">
        <f aca="false">IF(B26="YES", K42, "0.00")</f>
        <v>80.39</v>
      </c>
      <c r="C40" s="103"/>
      <c r="D40" s="103"/>
      <c r="E40" s="179" t="n">
        <f aca="false">K32</f>
        <v>2813.65</v>
      </c>
      <c r="F40" s="183"/>
      <c r="G40" s="183"/>
      <c r="H40" s="47"/>
      <c r="J40" s="2" t="s">
        <v>106</v>
      </c>
      <c r="K40" s="2" t="n">
        <f aca="false">(A40)/1.2</f>
        <v>9600</v>
      </c>
      <c r="L40" s="2" t="n">
        <f aca="false">K39-L39</f>
        <v>18087.4938795142</v>
      </c>
      <c r="N40" s="1" t="n">
        <f aca="false">N38-N39</f>
        <v>-15175.8138795142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(K32/K36/100)*C45</f>
        <v>80.39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7903.3705791501</v>
      </c>
      <c r="L44" s="2"/>
      <c r="P44" s="208"/>
    </row>
    <row r="45" customFormat="false" ht="17.35" hidden="false" customHeight="false" outlineLevel="0" collapsed="false">
      <c r="A45" s="507" t="n">
        <v>100</v>
      </c>
      <c r="B45" s="130"/>
      <c r="C45" s="506" t="n">
        <v>100</v>
      </c>
      <c r="D45" s="506"/>
      <c r="E45" s="506"/>
      <c r="F45" s="130"/>
      <c r="G45" s="130"/>
      <c r="H45" s="33"/>
      <c r="J45" s="2" t="s">
        <v>363</v>
      </c>
      <c r="K45" s="2" t="n">
        <f aca="false">(K39-K44)</f>
        <v>40974.1294208499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1288.32362534388</v>
      </c>
      <c r="L47" s="2" t="n">
        <f aca="false">L49-K42</f>
        <v>719.61</v>
      </c>
      <c r="M47" s="1" t="n">
        <f aca="false">K47-L47</f>
        <v>568.713625343882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1368.71362534388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1368.71362534388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24885.8287081421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6122.30147360575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16841.2772526061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108.717775367841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552.65801875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1288.32362534388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1288.32362534388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1368.71362534388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1368.71362534388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67730.004</v>
      </c>
      <c r="C81" s="130"/>
      <c r="D81" s="130"/>
      <c r="E81" s="109"/>
      <c r="F81" s="25" t="s">
        <v>105</v>
      </c>
      <c r="G81" s="27" t="n">
        <f aca="false">G158</f>
        <v>67730.004</v>
      </c>
      <c r="H81" s="33"/>
      <c r="J81" s="25" t="s">
        <v>105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11520</v>
      </c>
      <c r="C82" s="130"/>
      <c r="D82" s="130"/>
      <c r="E82" s="109"/>
      <c r="F82" s="31" t="s">
        <v>106</v>
      </c>
      <c r="G82" s="33" t="n">
        <f aca="false">IF(A111 = "Yes", A40, 0)</f>
        <v>11520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11520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11520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8250.42734542617</v>
      </c>
      <c r="C86" s="130"/>
      <c r="D86" s="130"/>
      <c r="E86" s="109"/>
      <c r="F86" s="31" t="s">
        <v>110</v>
      </c>
      <c r="G86" s="33" t="n">
        <f aca="false">(G82/((1+G84)^(G85+1)))</f>
        <v>9535.4166037446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7877.982201189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7877.982201189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59479.5766545738</v>
      </c>
      <c r="C88" s="130"/>
      <c r="D88" s="130"/>
      <c r="E88" s="109"/>
      <c r="F88" s="31" t="s">
        <v>112</v>
      </c>
      <c r="G88" s="33" t="n">
        <f aca="false">G81-G86</f>
        <v>58194.5873962554</v>
      </c>
      <c r="H88" s="33"/>
      <c r="J88" s="31" t="s">
        <v>112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51506.455288811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37590.766798811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2058.15163515229</v>
      </c>
      <c r="C89" s="130"/>
      <c r="D89" s="130"/>
      <c r="E89" s="109"/>
      <c r="F89" s="31" t="s">
        <v>113</v>
      </c>
      <c r="G89" s="33" t="n">
        <f aca="false">(G88/G87)</f>
        <v>1878.66927338456</v>
      </c>
      <c r="H89" s="33"/>
      <c r="J89" s="31" t="s">
        <v>113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1821.5471805777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1329.41307830599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69977.155595178</v>
      </c>
      <c r="C90" s="130"/>
      <c r="D90" s="130"/>
      <c r="E90" s="109"/>
      <c r="F90" s="31" t="s">
        <v>114</v>
      </c>
      <c r="G90" s="33" t="n">
        <f aca="false">((G89*(G85))+G77)</f>
        <v>63874.7552950752</v>
      </c>
      <c r="H90" s="33"/>
      <c r="J90" s="31" t="s">
        <v>114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61932.604139642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45200.0446624037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69977.155595178</v>
      </c>
      <c r="C92" s="130"/>
      <c r="D92" s="130"/>
      <c r="E92" s="109"/>
      <c r="F92" s="56" t="s">
        <v>116</v>
      </c>
      <c r="G92" s="65" t="n">
        <f aca="false">(G90+G91)</f>
        <v>63874.7552950752</v>
      </c>
      <c r="H92" s="33"/>
      <c r="J92" s="56" t="s">
        <v>116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61932.604139642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45200.0446624037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IF(B26="YES",((E40/B85)*(1+A108)*(C45/100)),"0")</f>
        <v>107.580735294118</v>
      </c>
      <c r="C94" s="130"/>
      <c r="D94" s="130"/>
      <c r="E94" s="109"/>
      <c r="F94" s="88" t="s">
        <v>117</v>
      </c>
      <c r="G94" s="259" t="n">
        <f aca="false">IF(B26="YES",((E40/B85)*(1+A108)*(C45/100)),"0")</f>
        <v>107.580735294118</v>
      </c>
      <c r="H94" s="33"/>
      <c r="J94" s="88" t="s">
        <v>117</v>
      </c>
      <c r="K94" s="89" t="n">
        <f aca="false">((E40/K85)*(1+J108))*1.2</f>
        <v>125.4084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99.3052941176471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119.166352941176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2058.15163515229</v>
      </c>
      <c r="C95" s="130"/>
      <c r="D95" s="130"/>
      <c r="E95" s="109"/>
      <c r="F95" s="91" t="s">
        <v>118</v>
      </c>
      <c r="G95" s="92" t="n">
        <f aca="false">G92/(G85)</f>
        <v>1878.66927338456</v>
      </c>
      <c r="H95" s="33"/>
      <c r="J95" s="91" t="s">
        <v>118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1821.5471805777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1329.41307830599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2165.73237044641</v>
      </c>
      <c r="C96" s="130"/>
      <c r="D96" s="130"/>
      <c r="E96" s="109"/>
      <c r="F96" s="93" t="s">
        <v>119</v>
      </c>
      <c r="G96" s="94" t="n">
        <f aca="false">G94+G95</f>
        <v>1986.25000867868</v>
      </c>
      <c r="H96" s="33"/>
      <c r="J96" s="93" t="s">
        <v>119</v>
      </c>
      <c r="K96" s="94" t="n">
        <f aca="false">(K94+K95)</f>
        <v>1631.6915870777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1920.85247469535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1448.57943124717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s">
        <v>270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149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149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149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153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153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153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58384.43749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-48313.195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67730.004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2058.15163515229</v>
      </c>
      <c r="B167" s="174" t="n">
        <f aca="false">B94</f>
        <v>107.580735294118</v>
      </c>
      <c r="C167" s="171"/>
      <c r="D167" s="171"/>
      <c r="E167" s="174" t="n">
        <f aca="false">B96</f>
        <v>2165.73237044641</v>
      </c>
      <c r="F167" s="23"/>
      <c r="G167" s="23" t="n">
        <f aca="false">ROUND(G95, 2)</f>
        <v>1878.67</v>
      </c>
      <c r="H167" s="33"/>
      <c r="J167" s="173" t="n">
        <f aca="false">K95</f>
        <v>1506.2831870777</v>
      </c>
      <c r="K167" s="174" t="n">
        <f aca="false">K94</f>
        <v>125.4084</v>
      </c>
      <c r="L167" s="171"/>
      <c r="M167" s="171"/>
      <c r="N167" s="174" t="n">
        <f aca="false">K96</f>
        <v>1631.6915870777</v>
      </c>
      <c r="O167" s="23"/>
      <c r="P167" s="23"/>
      <c r="Q167" s="33"/>
      <c r="S167" s="173" t="n">
        <f aca="false">T95</f>
        <v>1821.5471805777</v>
      </c>
      <c r="T167" s="174" t="n">
        <f aca="false">T94</f>
        <v>99.3052941176471</v>
      </c>
      <c r="U167" s="171"/>
      <c r="V167" s="171"/>
      <c r="W167" s="174" t="n">
        <f aca="false">T96</f>
        <v>1920.85247469535</v>
      </c>
      <c r="X167" s="23"/>
      <c r="Y167" s="23"/>
      <c r="Z167" s="33"/>
      <c r="AB167" s="173" t="n">
        <f aca="false">AC95</f>
        <v>1329.41307830599</v>
      </c>
      <c r="AC167" s="174" t="n">
        <f aca="false">AC94</f>
        <v>119.166352941176</v>
      </c>
      <c r="AD167" s="171"/>
      <c r="AE167" s="171"/>
      <c r="AF167" s="174" t="n">
        <f aca="false">AC96</f>
        <v>1448.57943124717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11520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11520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11520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11520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70230.004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67730.004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13767.151595178</v>
      </c>
      <c r="B182" s="99" t="str">
        <f aca="false">B114</f>
        <v>199.99</v>
      </c>
      <c r="C182" s="99"/>
      <c r="D182" s="23"/>
      <c r="E182" s="99" t="n">
        <f aca="false">E179+A182+(B182*1.2)+A185</f>
        <v>81747.143595178</v>
      </c>
      <c r="F182" s="23"/>
      <c r="G182" s="23"/>
      <c r="H182" s="101"/>
      <c r="J182" s="107" t="n">
        <f aca="false">(J167*K59)+N185-N179-J185</f>
        <v>25078.6283606416</v>
      </c>
      <c r="K182" s="99" t="n">
        <f aca="false">K114</f>
        <v>239.99</v>
      </c>
      <c r="L182" s="99"/>
      <c r="M182" s="23"/>
      <c r="N182" s="99" t="n">
        <f aca="false">N179+J182+K182+J185</f>
        <v>62993.6183606416</v>
      </c>
      <c r="O182" s="23"/>
      <c r="P182" s="23"/>
      <c r="Q182" s="101"/>
      <c r="S182" s="107" t="n">
        <f aca="false">(S167*T59)+W185-W179-S185</f>
        <v>14068.166649642</v>
      </c>
      <c r="T182" s="99" t="n">
        <f aca="false">T114</f>
        <v>199.99</v>
      </c>
      <c r="U182" s="99"/>
      <c r="V182" s="23"/>
      <c r="W182" s="99" t="n">
        <f aca="false">W179+S182+T182+S185</f>
        <v>73662.594139642</v>
      </c>
      <c r="X182" s="23"/>
      <c r="Y182" s="23"/>
      <c r="Z182" s="101"/>
      <c r="AB182" s="107" t="n">
        <f aca="false">(AB167*AC59)+AF185-AF179-AB185</f>
        <v>11251.2956624037</v>
      </c>
      <c r="AC182" s="99" t="n">
        <f aca="false">AC114</f>
        <v>239.99</v>
      </c>
      <c r="AD182" s="99"/>
      <c r="AE182" s="23"/>
      <c r="AF182" s="99" t="n">
        <f aca="false">AF179+AB182+AC182+AB185</f>
        <v>56970.0346624037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2239.988</v>
      </c>
      <c r="C185" s="99"/>
      <c r="D185" s="23"/>
      <c r="E185" s="99" t="n">
        <f aca="false">IF(A40=0,(E167),(E170+A185))</f>
        <v>11530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11540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11530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11530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11.577</v>
      </c>
      <c r="B188" s="99" t="n">
        <f aca="false">(G158*B67)/1.2</f>
        <v>552.65801875</v>
      </c>
      <c r="C188" s="130"/>
      <c r="D188" s="130"/>
      <c r="E188" s="99" t="n">
        <f aca="false">(E40*A108)*0.1*(C45/100)</f>
        <v>84.4095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84.4095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484.560514241319</v>
      </c>
      <c r="U188" s="130"/>
      <c r="V188" s="130"/>
      <c r="W188" s="99" t="n">
        <f aca="false">(E40*S108)*0.1</f>
        <v>56.273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56.273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737.05751875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3545.15036805556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1640.82351424132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1567.27536163194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2165.73237044641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1631.6915870777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1920.85247469535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1448.57943124717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7664.776</v>
      </c>
      <c r="B201" s="183" t="n">
        <f aca="false">E179+A201+(B182*1.2)+A185</f>
        <v>75644.768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2058.15163515229</v>
      </c>
      <c r="B212" s="174" t="n">
        <f aca="false">B167</f>
        <v>107.580735294118</v>
      </c>
      <c r="C212" s="171"/>
      <c r="D212" s="171"/>
      <c r="E212" s="174" t="n">
        <f aca="false">E167</f>
        <v>2165.73237044641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67730.004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13767.151595178</v>
      </c>
      <c r="B224" s="99" t="str">
        <f aca="false">B182</f>
        <v>199.99</v>
      </c>
      <c r="C224" s="99"/>
      <c r="D224" s="109"/>
      <c r="E224" s="99" t="n">
        <f aca="false">E182</f>
        <v>81747.143595178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2058.15163515229</v>
      </c>
      <c r="B230" s="99" t="n">
        <f aca="false">B167</f>
        <v>107.580735294118</v>
      </c>
      <c r="C230" s="183"/>
      <c r="D230" s="183"/>
      <c r="E230" s="99" t="n">
        <f aca="false">E167</f>
        <v>2165.73237044641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11520</v>
      </c>
      <c r="B233" s="99" t="n">
        <f aca="false">E185</f>
        <v>11530</v>
      </c>
      <c r="C233" s="130"/>
      <c r="D233" s="130"/>
      <c r="E233" s="99" t="n">
        <f aca="false">J18*0.000006*100</f>
        <v>34.731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11.577</v>
      </c>
      <c r="B236" s="99" t="n">
        <f aca="false">E233+A236</f>
        <v>46.308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552.65801875</v>
      </c>
      <c r="C240" s="130"/>
      <c r="D240" s="130"/>
      <c r="E240" s="99" t="n">
        <f aca="false">E188</f>
        <v>84.4095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10491.22751875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6112.37559517797</v>
      </c>
      <c r="C254" s="194"/>
      <c r="D254" s="195" t="s">
        <v>213</v>
      </c>
      <c r="E254" s="195"/>
      <c r="F254" s="196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944.085</v>
      </c>
      <c r="C255" s="194"/>
      <c r="D255" s="195" t="s">
        <v>215</v>
      </c>
      <c r="E255" s="195"/>
      <c r="F255" s="196" t="n">
        <f aca="false">(B254-F254)+B255</f>
        <v>6393.27097267798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6112.37559517797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844.095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6393.27097267798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16745</v>
      </c>
      <c r="C3" s="498" t="n">
        <v>0</v>
      </c>
      <c r="D3" s="262" t="n">
        <v>0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</v>
      </c>
      <c r="C4" s="0" t="n">
        <v>0</v>
      </c>
      <c r="D4" s="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5" t="n">
        <f aca="false">G9*100/B3</f>
        <v>-809.425699213696</v>
      </c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-135538.333333333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 E9 + E10 ) * 0.2</f>
        <v>3488</v>
      </c>
      <c r="F11" s="63"/>
      <c r="G11" s="454" t="n">
        <f aca="false">G13/1.2</f>
        <v>152283.333333333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454" t="n">
        <f aca="false">G15-E14-E13-E12</f>
        <v>182740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21258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21258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8730</v>
      </c>
      <c r="I31" s="234" t="n">
        <f aca="false">IF(C107="YES",H31,0)</f>
        <v>8730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1024.1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9" t="n">
        <f aca="false">H48</f>
        <v>594.961688834781</v>
      </c>
      <c r="E33" s="212"/>
      <c r="F33" s="63"/>
      <c r="G33" s="215" t="s">
        <v>352</v>
      </c>
      <c r="H33" s="460" t="n">
        <f aca="false">E21-E11+((E16*20%)+(E19*20%)+(E20*20%))</f>
        <v>17770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548.411688834781</v>
      </c>
      <c r="B36" s="99" t="n">
        <f aca="false">IF(B26="YES", H42, "")</f>
        <v>46.55</v>
      </c>
      <c r="C36" s="217"/>
      <c r="D36" s="181" t="n">
        <f aca="false">I31</f>
        <v>8730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17770</v>
      </c>
      <c r="I39" s="234" t="n">
        <f aca="false">(I48*H46)+H44</f>
        <v>34423.8379370532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8730</v>
      </c>
      <c r="B40" s="103" t="n">
        <f aca="false">IF(B26="YES",H42,"0")</f>
        <v>46.55</v>
      </c>
      <c r="C40" s="103"/>
      <c r="D40" s="181" t="n">
        <f aca="false">I32</f>
        <v>1024.1</v>
      </c>
      <c r="E40" s="212"/>
      <c r="F40" s="63"/>
      <c r="G40" s="63" t="s">
        <v>106</v>
      </c>
      <c r="H40" s="234" t="n">
        <f aca="false">A40/1.2</f>
        <v>7275</v>
      </c>
      <c r="I40" s="234" t="n">
        <f aca="false">H39-I39</f>
        <v>-16653.8379370533</v>
      </c>
      <c r="J40" s="63" t="n">
        <v>23875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46.55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6425.00031244387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1"/>
      <c r="C45" s="463" t="n">
        <v>100</v>
      </c>
      <c r="D45" s="463"/>
      <c r="E45" s="212"/>
      <c r="F45" s="63"/>
      <c r="G45" s="63" t="s">
        <v>373</v>
      </c>
      <c r="H45" s="234" t="n">
        <f aca="false">(H39-H44)</f>
        <v>11344.9996875561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548.411688834781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594.961688834781</v>
      </c>
      <c r="I48" s="234" t="n">
        <f aca="false">I49-H42</f>
        <v>1353.45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594.961688834781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21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20928</v>
      </c>
      <c r="C61" s="211"/>
      <c r="D61" s="211"/>
      <c r="E61" s="212"/>
      <c r="F61" s="63"/>
      <c r="G61" s="210" t="s">
        <v>14</v>
      </c>
      <c r="H61" s="290" t="n">
        <f aca="false">G18</f>
        <v>20928</v>
      </c>
      <c r="I61" s="211"/>
      <c r="J61" s="211"/>
      <c r="K61" s="212"/>
      <c r="L61" s="63"/>
      <c r="M61" s="210" t="s">
        <v>14</v>
      </c>
      <c r="N61" s="290" t="n">
        <f aca="false">G18</f>
        <v>20928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0.0845833333333333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0.0845833333333333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1770.16</v>
      </c>
      <c r="C64" s="211" t="n">
        <v>10000</v>
      </c>
      <c r="D64" s="290" t="n">
        <f aca="false">B64-A143</f>
        <v>1770.16</v>
      </c>
      <c r="E64" s="212"/>
      <c r="F64" s="63"/>
      <c r="G64" s="284" t="s">
        <v>90</v>
      </c>
      <c r="H64" s="129" t="n">
        <f aca="false">H61*H63</f>
        <v>1770.16</v>
      </c>
      <c r="I64" s="211"/>
      <c r="J64" s="290" t="n">
        <f aca="false">H64-G145</f>
        <v>1770.16</v>
      </c>
      <c r="K64" s="212"/>
      <c r="L64" s="63"/>
      <c r="M64" s="284" t="s">
        <v>90</v>
      </c>
      <c r="N64" s="129" t="n">
        <f aca="false">N61*N63</f>
        <v>1770.16</v>
      </c>
      <c r="O64" s="211"/>
      <c r="P64" s="290" t="n">
        <f aca="false">N64-M145</f>
        <v>1770.16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0.0141666666666667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0.0141666666666667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E15*B66</f>
        <v>301.155</v>
      </c>
      <c r="C67" s="211"/>
      <c r="D67" s="290"/>
      <c r="E67" s="212"/>
      <c r="F67" s="63"/>
      <c r="G67" s="284" t="s">
        <v>93</v>
      </c>
      <c r="H67" s="129" t="n">
        <f aca="false">(H61*H66)/1.2</f>
        <v>247.066666666667</v>
      </c>
      <c r="I67" s="211"/>
      <c r="J67" s="290"/>
      <c r="K67" s="212"/>
      <c r="L67" s="63"/>
      <c r="M67" s="284" t="s">
        <v>93</v>
      </c>
      <c r="N67" s="129" t="n">
        <f aca="false">(N61*N66)/1.2</f>
        <v>247.066666666667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471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110</v>
      </c>
      <c r="C73" s="211"/>
      <c r="D73" s="290" t="n">
        <f aca="false">B73+B71</f>
        <v>310</v>
      </c>
      <c r="E73" s="212"/>
      <c r="F73" s="63"/>
      <c r="G73" s="284" t="s">
        <v>99</v>
      </c>
      <c r="H73" s="129" t="n">
        <f aca="false">H72*H29</f>
        <v>99</v>
      </c>
      <c r="I73" s="211"/>
      <c r="J73" s="290" t="n">
        <f aca="false">H73+H71</f>
        <v>259</v>
      </c>
      <c r="K73" s="212"/>
      <c r="L73" s="63"/>
      <c r="M73" s="284" t="s">
        <v>99</v>
      </c>
      <c r="N73" s="129" t="n">
        <f aca="false">N72*H29</f>
        <v>99</v>
      </c>
      <c r="O73" s="211"/>
      <c r="P73" s="290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0" t="s">
        <v>277</v>
      </c>
      <c r="B74" s="431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2" t="s">
        <v>278</v>
      </c>
      <c r="B75" s="433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4" t="s">
        <v>279</v>
      </c>
      <c r="B76" s="435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151.25</v>
      </c>
      <c r="I76" s="211"/>
      <c r="J76" s="290" t="n">
        <f aca="false">H76</f>
        <v>151.25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127" t="n">
        <f aca="false">B102/(1-0.1)</f>
        <v>0</v>
      </c>
      <c r="C77" s="211"/>
      <c r="D77" s="290" t="n">
        <f aca="false">B77</f>
        <v>0</v>
      </c>
      <c r="E77" s="212"/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211"/>
      <c r="D78" s="290" t="n">
        <f aca="false">B78</f>
        <v>0</v>
      </c>
      <c r="E78" s="212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2480.16</v>
      </c>
      <c r="C81" s="211"/>
      <c r="D81" s="211"/>
      <c r="E81" s="212"/>
      <c r="F81" s="63"/>
      <c r="G81" s="302" t="s">
        <v>102</v>
      </c>
      <c r="H81" s="303" t="n">
        <f aca="false">SUM(J64:J80)</f>
        <v>2580.41</v>
      </c>
      <c r="I81" s="211"/>
      <c r="J81" s="211"/>
      <c r="K81" s="212"/>
      <c r="L81" s="63"/>
      <c r="M81" s="302" t="s">
        <v>102</v>
      </c>
      <c r="N81" s="303" t="n">
        <f aca="false">SUM(P64:P80)</f>
        <v>2429.16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112.734545454545</v>
      </c>
      <c r="C82" s="211"/>
      <c r="D82" s="211"/>
      <c r="E82" s="212"/>
      <c r="F82" s="63"/>
      <c r="G82" s="210" t="s">
        <v>103</v>
      </c>
      <c r="H82" s="299" t="n">
        <f aca="false">H81/H29</f>
        <v>117.291363636364</v>
      </c>
      <c r="I82" s="211"/>
      <c r="J82" s="211"/>
      <c r="K82" s="212"/>
      <c r="L82" s="63"/>
      <c r="M82" s="210" t="s">
        <v>103</v>
      </c>
      <c r="N82" s="299" t="n">
        <f aca="false">N81/H29</f>
        <v>110.416363636364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548.411688834781</v>
      </c>
      <c r="C83" s="211"/>
      <c r="D83" s="211"/>
      <c r="E83" s="212"/>
      <c r="F83" s="63"/>
      <c r="G83" s="304" t="s">
        <v>104</v>
      </c>
      <c r="H83" s="305" t="n">
        <f aca="false">H47</f>
        <v>548.411688834781</v>
      </c>
      <c r="I83" s="211"/>
      <c r="J83" s="211"/>
      <c r="K83" s="212"/>
      <c r="L83" s="63"/>
      <c r="M83" s="304" t="s">
        <v>104</v>
      </c>
      <c r="N83" s="305" t="n">
        <f aca="false">H47</f>
        <v>548.411688834781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14545.2171543652</v>
      </c>
      <c r="C85" s="211"/>
      <c r="D85" s="211"/>
      <c r="E85" s="212"/>
      <c r="F85" s="63"/>
      <c r="G85" s="287" t="s">
        <v>114</v>
      </c>
      <c r="H85" s="127" t="n">
        <f aca="false">((H83*H29)+H81)*1.2</f>
        <v>17574.5605852382</v>
      </c>
      <c r="I85" s="211"/>
      <c r="J85" s="211"/>
      <c r="K85" s="212"/>
      <c r="L85" s="63"/>
      <c r="M85" s="287" t="s">
        <v>114</v>
      </c>
      <c r="N85" s="127" t="n">
        <f aca="false">((N83*H29)+N81)</f>
        <v>14494.2171543652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123.21482865739</v>
      </c>
      <c r="C86" s="211"/>
      <c r="D86" s="211"/>
      <c r="E86" s="212"/>
      <c r="F86" s="63"/>
      <c r="G86" s="210" t="s">
        <v>115</v>
      </c>
      <c r="H86" s="299" t="n">
        <f aca="false">((((H83*H29)+H81))/(1-H70))*H70</f>
        <v>124.06406221931</v>
      </c>
      <c r="I86" s="211"/>
      <c r="J86" s="211"/>
      <c r="K86" s="212"/>
      <c r="L86" s="63"/>
      <c r="M86" s="210" t="s">
        <v>115</v>
      </c>
      <c r="N86" s="299" t="n">
        <f aca="false">(N85/(1-N70))*N70</f>
        <v>122.78279961342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IF(B110="YES",((B85+B86)-E114),(B85+B86))</f>
        <v>14668.4319830226</v>
      </c>
      <c r="C87" s="211"/>
      <c r="D87" s="211"/>
      <c r="E87" s="212"/>
      <c r="F87" s="63"/>
      <c r="G87" s="284" t="s">
        <v>116</v>
      </c>
      <c r="H87" s="129" t="n">
        <f aca="false">IF(H110="YES",((H85+H86)-K114),(H85+H86))</f>
        <v>17698.6246474575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14616.9999539786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(D40+(D40*B105))/(B58), (D40+(D40*B105))/(B57+B58))*(C45/100)</f>
        <v>60.515</v>
      </c>
      <c r="C89" s="211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54.6186666666667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45.5155555555556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666.746908319208</v>
      </c>
      <c r="C90" s="211"/>
      <c r="D90" s="211"/>
      <c r="E90" s="212"/>
      <c r="F90" s="63"/>
      <c r="G90" s="307" t="s">
        <v>118</v>
      </c>
      <c r="H90" s="308" t="n">
        <f aca="false">IF(H99=Y98, (H87-J105)/(H58), H87/(H57+H58))</f>
        <v>655.504616572501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541.370368665875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727.261908319208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710.123283239168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586.88592422143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340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0</v>
      </c>
      <c r="C102" s="103"/>
      <c r="D102" s="103" t="n">
        <v>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 t="s">
        <v>341</v>
      </c>
      <c r="C107" s="218" t="s">
        <v>18</v>
      </c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18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655.504616572501</v>
      </c>
      <c r="H127" s="174" t="n">
        <f aca="false">IF(G105="YES", H89*H57, 0)</f>
        <v>327.712</v>
      </c>
      <c r="I127" s="174"/>
      <c r="J127" s="333" t="n">
        <f aca="false">H91</f>
        <v>710.123283239168</v>
      </c>
      <c r="K127" s="212"/>
      <c r="L127" s="63"/>
      <c r="M127" s="332" t="n">
        <f aca="false">N90</f>
        <v>541.370368665875</v>
      </c>
      <c r="N127" s="174" t="n">
        <f aca="false">IF(M105="YES", N89*N57, 0)</f>
        <v>273.093333333333</v>
      </c>
      <c r="O127" s="174"/>
      <c r="P127" s="174" t="n">
        <f aca="false">N91</f>
        <v>586.88592422143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666.746908319208</v>
      </c>
      <c r="B128" s="320" t="n">
        <f aca="false">IF(A105="YES", B89, 0)</f>
        <v>60.515</v>
      </c>
      <c r="C128" s="324"/>
      <c r="D128" s="320" t="n">
        <f aca="false">B91</f>
        <v>727.261908319208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21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21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666.746908319208</v>
      </c>
      <c r="C131" s="316"/>
      <c r="D131" s="38" t="n">
        <f aca="false">IF(A105="YES", B89*B57, 0)</f>
        <v>60.515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3933.02769943501</v>
      </c>
      <c r="H133" s="99" t="n">
        <f aca="false">IF(G105="YES", H89*H57, 0)</f>
        <v>327.712</v>
      </c>
      <c r="I133" s="217"/>
      <c r="J133" s="181" t="n">
        <f aca="false">H91*H57</f>
        <v>4260.73969943501</v>
      </c>
      <c r="K133" s="212"/>
      <c r="L133" s="63"/>
      <c r="M133" s="182" t="n">
        <f aca="false">N90*N57</f>
        <v>3248.22221199525</v>
      </c>
      <c r="N133" s="99" t="n">
        <f aca="false">IF(M105="YES", N89*N57, 0)</f>
        <v>273.093333333333</v>
      </c>
      <c r="O133" s="217"/>
      <c r="P133" s="181" t="n">
        <f aca="false">N91*N57</f>
        <v>3521.31554532858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727.261908319208</v>
      </c>
      <c r="B134" s="38" t="n">
        <f aca="false">E114</f>
        <v>4000</v>
      </c>
      <c r="C134" s="316"/>
      <c r="D134" s="336" t="n">
        <f aca="false">B58</f>
        <v>21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0.127548</v>
      </c>
      <c r="H136" s="99" t="n">
        <f aca="false">IF(G105="YES", E15*0.000002, 0)</f>
        <v>0.042516</v>
      </c>
      <c r="I136" s="99"/>
      <c r="J136" s="99" t="n">
        <f aca="false">G136+H136</f>
        <v>0.170064</v>
      </c>
      <c r="K136" s="101"/>
      <c r="L136" s="63"/>
      <c r="M136" s="107" t="n">
        <f aca="false">E15*0.000006</f>
        <v>0.127548</v>
      </c>
      <c r="N136" s="99" t="n">
        <f aca="false">IF(M105="YES", E15*0.000002, 0)</f>
        <v>0.042516</v>
      </c>
      <c r="O136" s="99"/>
      <c r="P136" s="99" t="n">
        <f aca="false">M136+N136</f>
        <v>0.170064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666.746908319208</v>
      </c>
      <c r="B137" s="38" t="n">
        <f aca="false">IF(A105="YES", B89, 0)</f>
        <v>60.515</v>
      </c>
      <c r="C137" s="316"/>
      <c r="D137" s="38" t="n">
        <f aca="false">B91</f>
        <v>727.261908319208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247.066666666667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247.066666666667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15.06816</v>
      </c>
      <c r="B140" s="342" t="n">
        <f aca="false">IF(A105="YES", G18*0.000002, 0)*1.2*100</f>
        <v>5.02272</v>
      </c>
      <c r="C140" s="316"/>
      <c r="D140" s="342" t="n">
        <f aca="false">A140+B140</f>
        <v>20.09088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20.482</v>
      </c>
      <c r="H142" s="99" t="n">
        <f aca="false">G102-100</f>
        <v>99.99</v>
      </c>
      <c r="I142" s="99"/>
      <c r="J142" s="99" t="n">
        <f aca="false">(H139+J139+G142+H142)-H145</f>
        <v>367.538666666667</v>
      </c>
      <c r="K142" s="101"/>
      <c r="L142" s="63"/>
      <c r="M142" s="107" t="n">
        <f aca="false">IF(M105="YES", ((B36*N105)*0.1)*(M130), 0)</f>
        <v>20.482</v>
      </c>
      <c r="N142" s="99" t="n">
        <f aca="false">M102-100</f>
        <v>99.99</v>
      </c>
      <c r="O142" s="99"/>
      <c r="P142" s="99" t="n">
        <f aca="false">(N139+P139+M142+N142)-N145</f>
        <v>367.538666666667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301.155</v>
      </c>
      <c r="B148" s="38" t="n">
        <f aca="false">B102</f>
        <v>0</v>
      </c>
      <c r="C148" s="38"/>
      <c r="D148" s="38" t="n">
        <f aca="false">IF(A105="YES", (B40*B105)*B125, 0)*0.1</f>
        <v>30.723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431.868</v>
      </c>
      <c r="E151" s="101"/>
      <c r="F151" s="63"/>
      <c r="G151" s="246"/>
      <c r="H151" s="248" t="n">
        <f aca="false">B51</f>
        <v>22000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22</v>
      </c>
      <c r="H152" s="74" t="n">
        <f aca="false">H91</f>
        <v>710.123283239168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22000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586.88592422143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727.261908319208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666.746908319208</v>
      </c>
      <c r="B177" s="354" t="n">
        <f aca="false">IF(A105="YES", B89, 0)</f>
        <v>60.515</v>
      </c>
      <c r="C177" s="356"/>
      <c r="D177" s="354" t="n">
        <f aca="false">B91</f>
        <v>727.261908319208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666.746908319208</v>
      </c>
      <c r="C180" s="352"/>
      <c r="D180" s="99" t="n">
        <f aca="false">IF(A105="YES", B89*B57, 0)</f>
        <v>60.515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727.261908319208</v>
      </c>
      <c r="B183" s="99" t="n">
        <f aca="false">E114</f>
        <v>4000</v>
      </c>
      <c r="C183" s="352"/>
      <c r="D183" s="360" t="n">
        <f aca="false">B58</f>
        <v>21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666.746908319208</v>
      </c>
      <c r="B186" s="99" t="n">
        <f aca="false">IF(A105="YES", B89, 0)</f>
        <v>60.515</v>
      </c>
      <c r="C186" s="352"/>
      <c r="D186" s="99" t="n">
        <f aca="false">B91</f>
        <v>727.261908319208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IF(A105="YES", G18*0.000002, 0)*1.2*100</f>
        <v>5.02272</v>
      </c>
      <c r="C189" s="352"/>
      <c r="D189" s="364" t="n">
        <f aca="false">A189+B189</f>
        <v>20.09088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301.155</v>
      </c>
      <c r="B197" s="99" t="n">
        <f aca="false">B102</f>
        <v>0</v>
      </c>
      <c r="C197" s="99"/>
      <c r="D197" s="99" t="n">
        <f aca="false">IF(A105="YES", (B40*B105)*B125, 0)*0.1</f>
        <v>30.723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431.868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1770.16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301.155</v>
      </c>
      <c r="C211" s="319" t="s">
        <v>214</v>
      </c>
      <c r="D211" s="369" t="n">
        <f aca="false">B225+E221+B221+B223</f>
        <v>407.22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1876.225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1770.16</v>
      </c>
      <c r="C217" s="374" t="s">
        <v>218</v>
      </c>
      <c r="D217" s="316"/>
      <c r="E217" s="375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301.155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1876.225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307.23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123.21482865739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46854.17</v>
      </c>
      <c r="C3" s="498" t="n">
        <v>0.0</v>
      </c>
      <c r="D3" s="262" t="n">
        <v>833.33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0.0</v>
      </c>
      <c r="C4" s="0" t="n">
        <v>0.0</v>
      </c>
      <c r="D4" s="0" t="n">
        <v>0.0</v>
      </c>
      <c r="E4" s="293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0.0</v>
      </c>
      <c r="C5" s="498" t="n">
        <v>0.0</v>
      </c>
      <c r="D5" s="498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5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 E9 + E10 ) * 0.2</f>
        <v>9647.5</v>
      </c>
      <c r="F11" s="63"/>
      <c r="G11" s="454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454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200.0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58285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390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36.0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20000.0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0.0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9" t="n">
        <f aca="false">H48</f>
        <v>1250.34803167291</v>
      </c>
      <c r="E33" s="212"/>
      <c r="F33" s="63"/>
      <c r="G33" s="215" t="s">
        <v>352</v>
      </c>
      <c r="H33" s="460" t="n">
        <f aca="false">E21-E11+((E16*20%)+(E19*20%)+(E20*20%))</f>
        <v>48677.5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1116.36803167291</v>
      </c>
      <c r="B36" s="99" t="n">
        <f aca="false">IF(B26="YES", H42, "")</f>
        <v>133.98</v>
      </c>
      <c r="C36" s="217"/>
      <c r="D36" s="181" t="n">
        <f aca="false">H31</f>
        <v>19200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48677.5</v>
      </c>
      <c r="I39" s="234" t="n">
        <f aca="false">(I48*H46)+H44</f>
        <v>53437.0642878025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19200</v>
      </c>
      <c r="B40" s="103" t="n">
        <f aca="false">IF(B26="YES",H42,"0")</f>
        <v>133.98</v>
      </c>
      <c r="C40" s="103"/>
      <c r="D40" s="181" t="n">
        <f aca="false">I32</f>
        <v>4689.3</v>
      </c>
      <c r="E40" s="212"/>
      <c r="F40" s="63"/>
      <c r="G40" s="63" t="s">
        <v>106</v>
      </c>
      <c r="H40" s="234" t="n">
        <f aca="false">(A40)/1.2</f>
        <v>16000</v>
      </c>
      <c r="I40" s="234" t="n">
        <f aca="false">H39-I39</f>
        <v>-4759.56428780247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133.98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13172.2842985835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1"/>
      <c r="C45" s="510" t="n">
        <v>100</v>
      </c>
      <c r="D45" s="510"/>
      <c r="E45" s="212"/>
      <c r="F45" s="63"/>
      <c r="G45" s="63" t="s">
        <v>373</v>
      </c>
      <c r="H45" s="234" t="n">
        <f aca="false">(H39-H44)</f>
        <v>35505.2157014165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1116.36803167291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1250.34803167291</v>
      </c>
      <c r="I48" s="234" t="n">
        <f aca="false">I49-H42</f>
        <v>1266.02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1250.34803167291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9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26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0.103541666666667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5993.509375</v>
      </c>
      <c r="C64" s="211" t="n">
        <v>10000.0</v>
      </c>
      <c r="D64" s="290" t="n">
        <f aca="false">B64-A143</f>
        <v>5993.509375</v>
      </c>
      <c r="E64" s="466" t="n">
        <f aca="false">D64/(B58+B57)</f>
        <v>171.243125</v>
      </c>
      <c r="F64" s="63"/>
      <c r="G64" s="284" t="s">
        <v>90</v>
      </c>
      <c r="H64" s="129" t="n">
        <f aca="false">H61*H63</f>
        <v>5993.509375</v>
      </c>
      <c r="I64" s="211"/>
      <c r="J64" s="290" t="n">
        <f aca="false">H64-G145</f>
        <v>5993.509375</v>
      </c>
      <c r="K64" s="212"/>
      <c r="L64" s="63"/>
      <c r="M64" s="284" t="s">
        <v>90</v>
      </c>
      <c r="N64" s="129" t="n">
        <f aca="false">N61*N63</f>
        <v>5993.509375</v>
      </c>
      <c r="O64" s="211"/>
      <c r="P64" s="290" t="n">
        <f aca="false">N64-M145</f>
        <v>5993.509375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0.0195833333333333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1133.58125</v>
      </c>
      <c r="C67" s="211"/>
      <c r="D67" s="290"/>
      <c r="E67" s="212"/>
      <c r="F67" s="63"/>
      <c r="G67" s="284" t="s">
        <v>93</v>
      </c>
      <c r="H67" s="129" t="n">
        <f aca="false">(H61*H66)/1.2</f>
        <v>944.651041666667</v>
      </c>
      <c r="I67" s="211"/>
      <c r="J67" s="290"/>
      <c r="K67" s="212"/>
      <c r="L67" s="63"/>
      <c r="M67" s="284" t="s">
        <v>93</v>
      </c>
      <c r="N67" s="129" t="n">
        <f aca="false">(N61*N66)/1.2</f>
        <v>944.651041666667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175</v>
      </c>
      <c r="C73" s="211"/>
      <c r="D73" s="290" t="n">
        <f aca="false">B73+B71</f>
        <v>375</v>
      </c>
      <c r="E73" s="212"/>
      <c r="F73" s="63"/>
      <c r="G73" s="284" t="s">
        <v>99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99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165.0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355.0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1040</v>
      </c>
      <c r="C76" s="211"/>
      <c r="D76" s="290" t="n">
        <f aca="false">B76</f>
        <v>1040</v>
      </c>
      <c r="E76" s="212"/>
      <c r="F76" s="63"/>
      <c r="G76" s="284" t="s">
        <v>279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127" t="n">
        <f aca="false">B102/(1-0.1)</f>
        <v>444.444444444444</v>
      </c>
      <c r="C77" s="211"/>
      <c r="D77" s="290" t="n">
        <f aca="false">B77</f>
        <v>444.444444444444</v>
      </c>
      <c r="E77" s="466" t="n">
        <f aca="false">D77/(B58+B57)</f>
        <v>12.6984126984127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211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211"/>
      <c r="D80" s="290" t="n">
        <f aca="false">B80</f>
        <v>200</v>
      </c>
      <c r="E80" s="466" t="n">
        <f aca="false">(D73+D76+D79+D80)/(B58+B57)</f>
        <v>51.8571428571429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8475.17604166667</v>
      </c>
      <c r="C81" s="211"/>
      <c r="D81" s="211"/>
      <c r="E81" s="466"/>
      <c r="F81" s="63"/>
      <c r="G81" s="302" t="s">
        <v>102</v>
      </c>
      <c r="H81" s="303" t="n">
        <f aca="false">SUM(J64:J80)</f>
        <v>7041.009375</v>
      </c>
      <c r="I81" s="211"/>
      <c r="J81" s="211"/>
      <c r="K81" s="212"/>
      <c r="L81" s="63"/>
      <c r="M81" s="302" t="s">
        <v>102</v>
      </c>
      <c r="N81" s="303" t="n">
        <f aca="false">SUM(P64:P80)</f>
        <v>6711.009375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242.147886904762</v>
      </c>
      <c r="C82" s="211"/>
      <c r="D82" s="211"/>
      <c r="E82" s="466"/>
      <c r="F82" s="63"/>
      <c r="G82" s="210" t="s">
        <v>103</v>
      </c>
      <c r="H82" s="299" t="n">
        <f aca="false">H81/H29</f>
        <v>201.171696428571</v>
      </c>
      <c r="I82" s="211"/>
      <c r="J82" s="211"/>
      <c r="K82" s="212"/>
      <c r="L82" s="63"/>
      <c r="M82" s="210" t="s">
        <v>103</v>
      </c>
      <c r="N82" s="299" t="n">
        <f aca="false">N81/H29</f>
        <v>191.743125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1116.36803167291</v>
      </c>
      <c r="C83" s="211"/>
      <c r="D83" s="211"/>
      <c r="E83" s="466" t="n">
        <f aca="false">B83+E80+E77+E64</f>
        <v>1352.16671222847</v>
      </c>
      <c r="F83" s="63"/>
      <c r="G83" s="304" t="s">
        <v>104</v>
      </c>
      <c r="H83" s="305" t="n">
        <f aca="false">H47</f>
        <v>1116.36803167291</v>
      </c>
      <c r="I83" s="211"/>
      <c r="J83" s="211"/>
      <c r="K83" s="212"/>
      <c r="L83" s="63"/>
      <c r="M83" s="304" t="s">
        <v>104</v>
      </c>
      <c r="N83" s="305" t="n">
        <f aca="false">H47</f>
        <v>1116.36803167291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57057.6685802624</v>
      </c>
      <c r="C85" s="211"/>
      <c r="D85" s="211"/>
      <c r="E85" s="466" t="n">
        <f aca="false">B85/(B58+B57)</f>
        <v>1630.21910229321</v>
      </c>
      <c r="F85" s="63"/>
      <c r="G85" s="287" t="s">
        <v>114</v>
      </c>
      <c r="H85" s="127" t="n">
        <f aca="false">((H83*H29)+H81)*1.2</f>
        <v>55336.6685802624</v>
      </c>
      <c r="I85" s="211"/>
      <c r="J85" s="211"/>
      <c r="K85" s="212"/>
      <c r="L85" s="63"/>
      <c r="M85" s="287" t="s">
        <v>114</v>
      </c>
      <c r="N85" s="127" t="n">
        <f aca="false">((N83*H29)+N81)</f>
        <v>45783.890483552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((((B83*H29)+B81))/(1-B70))*B70</f>
        <v>402.787091631542</v>
      </c>
      <c r="C86" s="211"/>
      <c r="D86" s="211"/>
      <c r="E86" s="466" t="n">
        <f aca="false">B86/(B58+B57)</f>
        <v>11.508202618044</v>
      </c>
      <c r="F86" s="63"/>
      <c r="G86" s="210" t="s">
        <v>115</v>
      </c>
      <c r="H86" s="299" t="n">
        <f aca="false">((((H83*H29)+H81))/(1-H70))*H70</f>
        <v>390.63803959443</v>
      </c>
      <c r="I86" s="211"/>
      <c r="J86" s="211"/>
      <c r="K86" s="212"/>
      <c r="L86" s="63"/>
      <c r="M86" s="210" t="s">
        <v>115</v>
      </c>
      <c r="N86" s="299" t="n">
        <f aca="false">(N85/(1-N70))*N70</f>
        <v>387.842557545217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IF(B110="YES",((B85+B86)-E114),(B85+B86))</f>
        <v>57460.4556718939</v>
      </c>
      <c r="C87" s="211"/>
      <c r="D87" s="211"/>
      <c r="E87" s="466" t="n">
        <f aca="false">E86+E85</f>
        <v>1641.72730491126</v>
      </c>
      <c r="F87" s="63"/>
      <c r="G87" s="284" t="s">
        <v>116</v>
      </c>
      <c r="H87" s="129" t="n">
        <f aca="false">IF(H110="YES",((H85+H86)-K114),(H85+H86))</f>
        <v>55727.3066198568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46171.7330410972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(D40+(D40*B105))/(B58), (D40+(D40*B105))/(B57+B58))*1.2*(C45/100)</f>
        <v>209.0088</v>
      </c>
      <c r="C89" s="211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168.8148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140.679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1641.72730491126</v>
      </c>
      <c r="C90" s="211"/>
      <c r="D90" s="211"/>
      <c r="E90" s="212"/>
      <c r="F90" s="63"/>
      <c r="G90" s="307" t="s">
        <v>118</v>
      </c>
      <c r="H90" s="308" t="n">
        <f aca="false">IF(H99=Y98, (H87-J105)/(H58), H87/(H57+H58))</f>
        <v>1393.18266549642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1154.29332602743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1850.73610491126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1561.99746549642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1294.97232602743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s">
        <v>400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400.0</v>
      </c>
      <c r="C102" s="103"/>
      <c r="D102" s="103" t="n">
        <v>200.0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390</v>
      </c>
      <c r="B105" s="313" t="n">
        <v>0.0</v>
      </c>
      <c r="C105" s="313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390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0.0</v>
      </c>
      <c r="E112" s="103" t="n">
        <v>6000.0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E118+E117-E114</f>
        <v>-2760.01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1393.18266549642</v>
      </c>
      <c r="H127" s="174" t="n">
        <f aca="false">IF(G105="YES", H89*H57, 0)</f>
        <v>1012.8888</v>
      </c>
      <c r="I127" s="174"/>
      <c r="J127" s="333" t="n">
        <f aca="false">H91</f>
        <v>1561.99746549642</v>
      </c>
      <c r="K127" s="212"/>
      <c r="L127" s="63"/>
      <c r="M127" s="332" t="n">
        <f aca="false">N90</f>
        <v>1154.29332602743</v>
      </c>
      <c r="N127" s="174" t="n">
        <f aca="false">IF(M105="YES", N89*N57, 0)</f>
        <v>844.074</v>
      </c>
      <c r="O127" s="174"/>
      <c r="P127" s="174" t="n">
        <f aca="false">N91</f>
        <v>1294.97232602743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1641.72730491126</v>
      </c>
      <c r="B128" s="320" t="n">
        <f aca="false">IF(A105="YES", B89, 0)</f>
        <v>209.0088</v>
      </c>
      <c r="C128" s="324"/>
      <c r="D128" s="320" t="n">
        <f aca="false">B91</f>
        <v>1850.73610491126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26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26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14775.5457442013</v>
      </c>
      <c r="C131" s="316"/>
      <c r="D131" s="38" t="n">
        <f aca="false">IF(A105="YES", B89*B57, 0)</f>
        <v>1881.0792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8359.09599297852</v>
      </c>
      <c r="H133" s="99" t="n">
        <f aca="false">IF(G105="YES", H89*H57, 0)</f>
        <v>1012.8888</v>
      </c>
      <c r="I133" s="217"/>
      <c r="J133" s="181" t="n">
        <f aca="false">H91*H57</f>
        <v>9371.98479297852</v>
      </c>
      <c r="K133" s="212"/>
      <c r="L133" s="63"/>
      <c r="M133" s="182" t="n">
        <f aca="false">N90*N57</f>
        <v>6925.75995616458</v>
      </c>
      <c r="N133" s="99" t="n">
        <f aca="false">IF(M105="YES", N89*N57, 0)</f>
        <v>844.074</v>
      </c>
      <c r="O133" s="217"/>
      <c r="P133" s="181" t="n">
        <f aca="false">N91*N57</f>
        <v>7769.83395616458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16656.6249442013</v>
      </c>
      <c r="B134" s="38" t="n">
        <f aca="false">E114</f>
        <v>4000</v>
      </c>
      <c r="C134" s="316"/>
      <c r="D134" s="336" t="n">
        <f aca="false">B58</f>
        <v>26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1641.72730491126</v>
      </c>
      <c r="B137" s="38" t="n">
        <f aca="false">IF(A105="YES", B89, 0)</f>
        <v>209.0088</v>
      </c>
      <c r="C137" s="316"/>
      <c r="D137" s="38" t="n">
        <f aca="false">B91</f>
        <v>1850.73610491126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944.651041666667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944.651041666667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93.786</v>
      </c>
      <c r="H142" s="99" t="n">
        <f aca="false">G102-100</f>
        <v>99.99</v>
      </c>
      <c r="I142" s="99"/>
      <c r="J142" s="99" t="n">
        <f aca="false">(H139+J139+G142+H142)-H145</f>
        <v>1138.42704166667</v>
      </c>
      <c r="K142" s="101"/>
      <c r="L142" s="63"/>
      <c r="M142" s="107" t="n">
        <f aca="false">IF(M105="YES", ((B36*N105)*0.1)*(M130), 0)</f>
        <v>93.786</v>
      </c>
      <c r="N142" s="99" t="n">
        <f aca="false">M102-100</f>
        <v>99.99</v>
      </c>
      <c r="O142" s="99"/>
      <c r="P142" s="99" t="n">
        <f aca="false">(N139+P139+M142+N142)-N145</f>
        <v>1138.42704166667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1133.58125</v>
      </c>
      <c r="B148" s="38" t="n">
        <f aca="false">B102</f>
        <v>400</v>
      </c>
      <c r="C148" s="38"/>
      <c r="D148" s="38" t="n">
        <f aca="false">IF(A105="YES", (B40*B105)*B125, 0)*0.1</f>
        <v>140.679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1774.25191666667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1561.99746549642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1294.97232602743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1850.73610491126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1641.72730491126</v>
      </c>
      <c r="B177" s="354" t="n">
        <f aca="false">IF(A105="YES", B89, 0)</f>
        <v>209.0088</v>
      </c>
      <c r="C177" s="356"/>
      <c r="D177" s="354" t="n">
        <f aca="false">B91</f>
        <v>1850.73610491126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Terminal pause with 9 down </v>
      </c>
      <c r="B180" s="99" t="n">
        <f aca="false">B90*B57</f>
        <v>14775.5457442013</v>
      </c>
      <c r="C180" s="352"/>
      <c r="D180" s="99" t="n">
        <f aca="false">IF(A105="YES", B89*B57, 0)</f>
        <v>1881.0792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16656.6249442013</v>
      </c>
      <c r="B183" s="99" t="n">
        <f aca="false">E114</f>
        <v>4000</v>
      </c>
      <c r="C183" s="352"/>
      <c r="D183" s="360" t="n">
        <f aca="false">B58</f>
        <v>26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1641.72730491126</v>
      </c>
      <c r="B186" s="99" t="n">
        <f aca="false">IF(A105="YES", B89, 0)</f>
        <v>209.0088</v>
      </c>
      <c r="C186" s="352"/>
      <c r="D186" s="99" t="n">
        <f aca="false">B91</f>
        <v>1850.73610491126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1133.58125</v>
      </c>
      <c r="B197" s="99" t="n">
        <f aca="false">B102</f>
        <v>400</v>
      </c>
      <c r="C197" s="99"/>
      <c r="D197" s="99" t="n">
        <f aca="false">IF(A105="YES", (B40*B105)*B125, 0)*0.1</f>
        <v>140.679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(E118/1.2)-100</f>
        <v>99.9916666666667</v>
      </c>
      <c r="B200" s="99" t="n">
        <f aca="false">(A148+B148+D148+A151)*(A143/B64)</f>
        <v>0</v>
      </c>
      <c r="C200" s="99"/>
      <c r="D200" s="99" t="n">
        <f aca="false">(A148+B148+D148+A151)-B151</f>
        <v>1774.25191666667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5993.509375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1133.58125</v>
      </c>
      <c r="C211" s="319" t="s">
        <v>214</v>
      </c>
      <c r="D211" s="369" t="n">
        <f aca="false">B225+E221+B221+B223</f>
        <v>1746.78166666667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6606.70979166667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5993.509375</v>
      </c>
      <c r="C217" s="374" t="s">
        <v>218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1133.58125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6606.70979166667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1406.79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402.787091631542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46854.17</v>
      </c>
      <c r="C3" s="498" t="n">
        <v>0.0</v>
      </c>
      <c r="D3" s="262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0.0</v>
      </c>
      <c r="C4" s="0" t="n">
        <v>0.0</v>
      </c>
      <c r="D4" s="0" t="n">
        <v>0.0</v>
      </c>
      <c r="E4" s="293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0.0</v>
      </c>
      <c r="C5" s="498" t="n">
        <v>0.0</v>
      </c>
      <c r="D5" s="498" t="n">
        <v>0.0</v>
      </c>
      <c r="E5" s="299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0"/>
      <c r="B8" s="211"/>
      <c r="C8" s="211"/>
      <c r="D8" s="211"/>
      <c r="E8" s="212"/>
      <c r="F8" s="63"/>
      <c r="G8" s="455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299" t="n">
        <f aca="false">( E9 + E10 ) * 0.2</f>
        <v>9647.5</v>
      </c>
      <c r="F11" s="63"/>
      <c r="G11" s="454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454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100.0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394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36.0</v>
      </c>
      <c r="I29" s="386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388</v>
      </c>
      <c r="C30" s="169"/>
      <c r="D30" s="211"/>
      <c r="E30" s="212"/>
      <c r="F30" s="63"/>
      <c r="G30" s="214" t="s">
        <v>32</v>
      </c>
      <c r="H30" s="457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20000.0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1030.0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9" t="n">
        <f aca="false">H48</f>
        <v>1473.70529771041</v>
      </c>
      <c r="E33" s="212"/>
      <c r="F33" s="63"/>
      <c r="G33" s="215" t="s">
        <v>352</v>
      </c>
      <c r="H33" s="460" t="n">
        <f aca="false">E21-E11+((E16*20%)+(E19*20%)+(E20*20%))</f>
        <v>48877.5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1423.57529771041</v>
      </c>
      <c r="B36" s="99" t="n">
        <f aca="false">IF(B26="YES", H42, "")</f>
        <v>50.13</v>
      </c>
      <c r="C36" s="217"/>
      <c r="D36" s="181" t="n">
        <f aca="false">H31</f>
        <v>5250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48877.5</v>
      </c>
      <c r="I39" s="234" t="n">
        <f aca="false">(I48*H46)+H44</f>
        <v>46533.3604158311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5250</v>
      </c>
      <c r="B40" s="103" t="n">
        <f aca="false">IF(B26="YES",H42,"0")</f>
        <v>50.13</v>
      </c>
      <c r="C40" s="103"/>
      <c r="D40" s="181" t="n">
        <f aca="false">I32</f>
        <v>1754.55</v>
      </c>
      <c r="E40" s="212"/>
      <c r="F40" s="63"/>
      <c r="G40" s="63" t="s">
        <v>106</v>
      </c>
      <c r="H40" s="234" t="n">
        <f aca="false">A40/1.2</f>
        <v>4375</v>
      </c>
      <c r="I40" s="234" t="n">
        <f aca="false">H39-I39</f>
        <v>2344.13958416892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50.13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3601.79648789393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1"/>
      <c r="C45" s="463" t="n">
        <v>100.0</v>
      </c>
      <c r="D45" s="463"/>
      <c r="E45" s="212"/>
      <c r="F45" s="63"/>
      <c r="G45" s="63" t="s">
        <v>373</v>
      </c>
      <c r="H45" s="234" t="n">
        <f aca="false">(H39-H44)</f>
        <v>45275.7035121061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1423.57529771041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1473.70529771041</v>
      </c>
      <c r="I48" s="234" t="n">
        <f aca="false">I49-H42</f>
        <v>1349.87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1473.70529771041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C64</f>
        <v>5993.509375</v>
      </c>
      <c r="C64" s="465" t="n">
        <v>10000.0</v>
      </c>
      <c r="D64" s="290" t="n">
        <f aca="false">B64</f>
        <v>5993.509375</v>
      </c>
      <c r="E64" s="466" t="n">
        <f aca="false">D64/(B58+B57)</f>
        <v>171.243125</v>
      </c>
      <c r="F64" s="63"/>
      <c r="G64" s="284" t="s">
        <v>90</v>
      </c>
      <c r="H64" s="129" t="n">
        <f aca="false">H61*H63</f>
        <v>5993.509375</v>
      </c>
      <c r="I64" s="211"/>
      <c r="J64" s="290" t="n">
        <f aca="false">H64-G145</f>
        <v>5993.509375</v>
      </c>
      <c r="K64" s="212"/>
      <c r="L64" s="63"/>
      <c r="M64" s="284" t="s">
        <v>90</v>
      </c>
      <c r="N64" s="129" t="n">
        <f aca="false">N61*N63</f>
        <v>5993.509375</v>
      </c>
      <c r="O64" s="211"/>
      <c r="P64" s="290" t="n">
        <f aca="false">N64-M145</f>
        <v>5993.509375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0.0195833333333333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1146.11458333333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944.651041666667</v>
      </c>
      <c r="I67" s="211"/>
      <c r="J67" s="290"/>
      <c r="K67" s="212"/>
      <c r="L67" s="63"/>
      <c r="M67" s="284" t="s">
        <v>93</v>
      </c>
      <c r="N67" s="129" t="n">
        <f aca="false">(N61*N66)/1.2</f>
        <v>944.651041666667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175</v>
      </c>
      <c r="C73" s="211"/>
      <c r="D73" s="472" t="n">
        <f aca="false">B73+B71</f>
        <v>375</v>
      </c>
      <c r="E73" s="212" t="s">
        <v>224</v>
      </c>
      <c r="F73" s="63"/>
      <c r="G73" s="284" t="s">
        <v>99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99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165.0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355.0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0</v>
      </c>
      <c r="C77" s="473"/>
      <c r="D77" s="290" t="n">
        <f aca="false">B77</f>
        <v>0</v>
      </c>
      <c r="E77" s="466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473"/>
      <c r="D78" s="290" t="n">
        <f aca="false">B78</f>
        <v>0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473"/>
      <c r="D80" s="290" t="n">
        <f aca="false">B80</f>
        <v>200</v>
      </c>
      <c r="E80" s="466" t="n">
        <f aca="false">(D73+D76+D79+D80)/(B58+B57)</f>
        <v>22.1428571428571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6768.509375</v>
      </c>
      <c r="C81" s="473"/>
      <c r="D81" s="474"/>
      <c r="E81" s="466"/>
      <c r="F81" s="63"/>
      <c r="G81" s="302" t="s">
        <v>102</v>
      </c>
      <c r="H81" s="303" t="n">
        <f aca="false">SUM(J64:J80)</f>
        <v>7041.009375</v>
      </c>
      <c r="I81" s="211"/>
      <c r="J81" s="211"/>
      <c r="K81" s="212"/>
      <c r="L81" s="63"/>
      <c r="M81" s="302" t="s">
        <v>102</v>
      </c>
      <c r="N81" s="303" t="n">
        <f aca="false">SUM(P64:P80)</f>
        <v>6711.009375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193.385982142857</v>
      </c>
      <c r="C82" s="473"/>
      <c r="D82" s="211"/>
      <c r="E82" s="466"/>
      <c r="F82" s="63"/>
      <c r="G82" s="210" t="s">
        <v>103</v>
      </c>
      <c r="H82" s="299" t="n">
        <f aca="false">H81/H29</f>
        <v>201.171696428571</v>
      </c>
      <c r="I82" s="211"/>
      <c r="J82" s="211"/>
      <c r="K82" s="212"/>
      <c r="L82" s="63"/>
      <c r="M82" s="210" t="s">
        <v>103</v>
      </c>
      <c r="N82" s="299" t="n">
        <f aca="false">N81/H29</f>
        <v>191.743125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1423.57529771041</v>
      </c>
      <c r="C83" s="473"/>
      <c r="D83" s="211"/>
      <c r="E83" s="466" t="n">
        <f aca="false">B83+E80+E77+E64</f>
        <v>1616.96127985327</v>
      </c>
      <c r="F83" s="63"/>
      <c r="G83" s="304" t="s">
        <v>104</v>
      </c>
      <c r="H83" s="305" t="n">
        <f aca="false">H47</f>
        <v>1423.57529771041</v>
      </c>
      <c r="I83" s="211"/>
      <c r="J83" s="211"/>
      <c r="K83" s="212"/>
      <c r="L83" s="63"/>
      <c r="M83" s="304" t="s">
        <v>104</v>
      </c>
      <c r="N83" s="305" t="n">
        <f aca="false">H47</f>
        <v>1423.57529771041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56593.6447948643</v>
      </c>
      <c r="C85" s="473"/>
      <c r="D85" s="473"/>
      <c r="E85" s="466" t="n">
        <f aca="false">B85/(B58+B57)</f>
        <v>1616.96127985327</v>
      </c>
      <c r="F85" s="63"/>
      <c r="G85" s="287" t="s">
        <v>114</v>
      </c>
      <c r="H85" s="127" t="n">
        <f aca="false">((H83*H29)+H81)*1.2</f>
        <v>68239.3737538372</v>
      </c>
      <c r="I85" s="211"/>
      <c r="J85" s="211"/>
      <c r="K85" s="212"/>
      <c r="L85" s="63"/>
      <c r="M85" s="287" t="s">
        <v>114</v>
      </c>
      <c r="N85" s="127" t="n">
        <f aca="false">((N83*H29)+N81)</f>
        <v>56536.1447948644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479.413691283643</v>
      </c>
      <c r="C86" s="473" t="s">
        <v>227</v>
      </c>
      <c r="D86" s="211"/>
      <c r="E86" s="466" t="n">
        <f aca="false">B86/(B58+B57)</f>
        <v>13.6975340366755</v>
      </c>
      <c r="F86" s="63"/>
      <c r="G86" s="210" t="s">
        <v>115</v>
      </c>
      <c r="H86" s="299" t="n">
        <f aca="false">((((H83*H29)+H81))/(1-H70))*H70</f>
        <v>481.722081763675</v>
      </c>
      <c r="I86" s="211"/>
      <c r="J86" s="211"/>
      <c r="K86" s="212"/>
      <c r="L86" s="63"/>
      <c r="M86" s="210" t="s">
        <v>115</v>
      </c>
      <c r="N86" s="299" t="n">
        <f aca="false">(N85/(1-N70))*N70</f>
        <v>478.926599714462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57073.058486148</v>
      </c>
      <c r="C87" s="473"/>
      <c r="D87" s="475"/>
      <c r="E87" s="466" t="n">
        <f aca="false">E86+E85</f>
        <v>1630.65881388994</v>
      </c>
      <c r="F87" s="63"/>
      <c r="G87" s="284" t="s">
        <v>116</v>
      </c>
      <c r="H87" s="129" t="n">
        <f aca="false">IF(H110="YES",((H85+H86)-K114),(H85+H86))</f>
        <v>68721.0958356009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57015.0713945788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65.169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63.1638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52.6365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1630.65881388994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1718.02739589002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1425.37678486447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1695.82781388994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1781.19119589002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1478.01328486447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376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261</v>
      </c>
      <c r="C99" s="311"/>
      <c r="D99" s="103" t="n">
        <v>5000.0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377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400.0</v>
      </c>
      <c r="C102" s="103"/>
      <c r="D102" s="103" t="n">
        <v>200.0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394</v>
      </c>
      <c r="B105" s="313" t="n">
        <v>0.2</v>
      </c>
      <c r="C105" s="313"/>
      <c r="D105" s="103" t="n">
        <v>500.0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390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0.0</v>
      </c>
      <c r="E112" s="103" t="n">
        <v>6000.0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 t="s">
        <v>19</v>
      </c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1718.02739589002</v>
      </c>
      <c r="H127" s="174" t="n">
        <f aca="false">IF(G105="YES", H89*H57, 0)</f>
        <v>378.9828</v>
      </c>
      <c r="I127" s="174"/>
      <c r="J127" s="333" t="n">
        <f aca="false">H91</f>
        <v>1781.19119589002</v>
      </c>
      <c r="K127" s="212"/>
      <c r="L127" s="63"/>
      <c r="M127" s="332" t="n">
        <f aca="false">N90</f>
        <v>1425.37678486447</v>
      </c>
      <c r="N127" s="174" t="n">
        <f aca="false">IF(M105="YES", N89*N57, 0)</f>
        <v>315.819</v>
      </c>
      <c r="O127" s="174"/>
      <c r="P127" s="174" t="n">
        <f aca="false">N91</f>
        <v>1478.01328486447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1630.65881388994</v>
      </c>
      <c r="B128" s="320" t="n">
        <f aca="false">IF(A105="YES", B89, 0)</f>
        <v>65.169</v>
      </c>
      <c r="C128" s="324"/>
      <c r="D128" s="320" t="n">
        <f aca="false">B91</f>
        <v>1695.82781388994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1630.65881388994</v>
      </c>
      <c r="C131" s="316"/>
      <c r="D131" s="38" t="n">
        <f aca="false">IF(A105="YES", B89*B57, 0)</f>
        <v>65.169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10308.1643753401</v>
      </c>
      <c r="H133" s="99" t="n">
        <f aca="false">IF(G105="YES", H89*H57, 0)</f>
        <v>378.9828</v>
      </c>
      <c r="I133" s="217"/>
      <c r="J133" s="181" t="n">
        <f aca="false">H91*H57</f>
        <v>10687.1471753401</v>
      </c>
      <c r="K133" s="212"/>
      <c r="L133" s="63"/>
      <c r="M133" s="182" t="n">
        <f aca="false">N90*N57</f>
        <v>8552.26070918682</v>
      </c>
      <c r="N133" s="99" t="n">
        <f aca="false">IF(M105="YES", N89*N57, 0)</f>
        <v>315.819</v>
      </c>
      <c r="O133" s="217"/>
      <c r="P133" s="181" t="n">
        <f aca="false">N91*N57</f>
        <v>8868.07970918682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1695.82781388994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1630.65881388994</v>
      </c>
      <c r="B137" s="38" t="n">
        <f aca="false">IF(A105="YES", B89, 0)</f>
        <v>65.169</v>
      </c>
      <c r="C137" s="316"/>
      <c r="D137" s="38" t="n">
        <f aca="false">B91</f>
        <v>1695.82781388994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944.651041666667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944.651041666667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35.091</v>
      </c>
      <c r="H142" s="99" t="n">
        <f aca="false">G102-100</f>
        <v>99.99</v>
      </c>
      <c r="I142" s="99"/>
      <c r="J142" s="99" t="n">
        <f aca="false">(H139+J139+G142+H142)-H145</f>
        <v>1079.73204166667</v>
      </c>
      <c r="K142" s="101"/>
      <c r="L142" s="63"/>
      <c r="M142" s="107" t="n">
        <f aca="false">IF(M105="YES", ((B36*N105)*0.1)*(M130), 0)</f>
        <v>35.091</v>
      </c>
      <c r="N142" s="99" t="n">
        <f aca="false">M102-100</f>
        <v>99.99</v>
      </c>
      <c r="O142" s="99"/>
      <c r="P142" s="99" t="n">
        <f aca="false">(N139+P139+M142+N142)-N145</f>
        <v>1079.73204166667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1146.11458333333</v>
      </c>
      <c r="B148" s="99" t="n">
        <f aca="false">B102</f>
        <v>0</v>
      </c>
      <c r="C148" s="38"/>
      <c r="D148" s="38" t="n">
        <f aca="false">IF(A105="YES", (B40*B105)*B125, 0)*0.1</f>
        <v>52.6365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1298.74108333333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1781.19119589002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1478.01328486447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1695.82781388994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1630.65881388994</v>
      </c>
      <c r="B177" s="354" t="n">
        <f aca="false">IF(A105="YES", B89, 0)</f>
        <v>65.169</v>
      </c>
      <c r="C177" s="356"/>
      <c r="D177" s="354" t="n">
        <f aca="false">B91</f>
        <v>1695.82781388994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1630.65881388994</v>
      </c>
      <c r="C180" s="352"/>
      <c r="D180" s="99" t="n">
        <f aca="false">IF(A105="YES", B89*B57, 0)</f>
        <v>65.169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1695.82781388994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1630.65881388994</v>
      </c>
      <c r="B186" s="99" t="n">
        <f aca="false">IF(A105="YES", B89, 0)</f>
        <v>65.169</v>
      </c>
      <c r="C186" s="352"/>
      <c r="D186" s="99" t="n">
        <f aca="false">B91</f>
        <v>1695.82781388994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1146.11458333333</v>
      </c>
      <c r="B197" s="99" t="n">
        <f aca="false">B102</f>
        <v>0</v>
      </c>
      <c r="C197" s="99"/>
      <c r="D197" s="99" t="n">
        <f aca="false">IF(A105="YES", (B40*B105)*B125, 0)*0.1</f>
        <v>52.6365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1298.74108333333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5993.509375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1146.11458333333</v>
      </c>
      <c r="C211" s="319" t="s">
        <v>214</v>
      </c>
      <c r="D211" s="369" t="n">
        <f aca="false">B225+E221+B221+B223</f>
        <v>626.355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5473.74979166667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5993.509375</v>
      </c>
      <c r="C217" s="374" t="s">
        <v>218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1146.11458333333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5473.74979166667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526.365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479.413691283643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6000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12</v>
      </c>
      <c r="B44" s="100" t="n">
        <v>1</v>
      </c>
      <c r="C44" s="100"/>
      <c r="D44" s="100" t="n">
        <v>1</v>
      </c>
      <c r="E44" s="100"/>
      <c r="F44" s="63"/>
      <c r="G44" s="63" t="s">
        <v>255</v>
      </c>
      <c r="H44" s="234" t="n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n">
        <v>0.01</v>
      </c>
      <c r="C47" s="428"/>
      <c r="D47" s="100" t="n">
        <v>1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 t="s">
        <v>386</v>
      </c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18" t="s">
        <v>19</v>
      </c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81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12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/>
      <c r="D70" s="290" t="n">
        <f aca="false">B70-A151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4711.95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392.6625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10723.95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90.8442718838241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10814.7942718838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((H44*B35)+((H44*B35)*B111))/(B63+B64)</f>
        <v>31.304347826087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IF(B105=Y104, (B93-D111)/(B64), B93/(B63+B64))</f>
        <v>470.208446603645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501.512794429732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 t="s">
        <v>284</v>
      </c>
      <c r="B105" s="311" t="s">
        <v>265</v>
      </c>
      <c r="C105" s="311"/>
      <c r="D105" s="420" t="n">
        <v>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3" t="n">
        <v>0.2</v>
      </c>
      <c r="C111" s="313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/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0</v>
      </c>
      <c r="E119" s="103" t="n">
        <v>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0</v>
      </c>
      <c r="E120" s="164" t="n">
        <f aca="false">E118-E119</f>
        <v>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199.99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0"/>
      <c r="B129" s="211"/>
      <c r="C129" s="211"/>
      <c r="D129" s="211"/>
      <c r="E129" s="212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0" t="s">
        <v>181</v>
      </c>
      <c r="B130" s="169" t="n">
        <v>1200</v>
      </c>
      <c r="C130" s="169"/>
      <c r="D130" s="211"/>
      <c r="E130" s="212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0"/>
      <c r="B131" s="211"/>
      <c r="C131" s="211"/>
      <c r="D131" s="211"/>
      <c r="E131" s="212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0" t="s">
        <v>82</v>
      </c>
      <c r="B132" s="211" t="s">
        <v>83</v>
      </c>
      <c r="C132" s="211"/>
      <c r="D132" s="211" t="s">
        <v>85</v>
      </c>
      <c r="E132" s="212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4" t="n">
        <f aca="false">A158</f>
        <v>12</v>
      </c>
      <c r="B133" s="225" t="n">
        <f aca="false">B157</f>
        <v>5000</v>
      </c>
      <c r="C133" s="226"/>
      <c r="D133" s="225" t="n">
        <f aca="false">B64</f>
        <v>11</v>
      </c>
      <c r="E133" s="212"/>
      <c r="F133" s="63"/>
      <c r="G133" s="224" t="n">
        <f aca="false">G158</f>
        <v>12</v>
      </c>
      <c r="H133" s="225" t="n">
        <f aca="false">B157</f>
        <v>5000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5000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0"/>
      <c r="B134" s="211"/>
      <c r="C134" s="211"/>
      <c r="D134" s="211"/>
      <c r="E134" s="212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6" t="s">
        <v>342</v>
      </c>
      <c r="B135" s="327" t="s">
        <v>250</v>
      </c>
      <c r="C135" s="327"/>
      <c r="D135" s="327" t="s">
        <v>119</v>
      </c>
      <c r="E135" s="212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2" t="n">
        <f aca="false">B96</f>
        <v>470.208446603645</v>
      </c>
      <c r="B136" s="174" t="n">
        <f aca="false">IF(A111="YES", B95*B63, 0)</f>
        <v>375.652173913043</v>
      </c>
      <c r="C136" s="174"/>
      <c r="D136" s="174" t="n">
        <f aca="false">B97</f>
        <v>501.512794429732</v>
      </c>
      <c r="E136" s="212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0"/>
      <c r="B137" s="211"/>
      <c r="C137" s="211"/>
      <c r="D137" s="211"/>
      <c r="E137" s="212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0" t="s">
        <v>343</v>
      </c>
      <c r="B138" s="211" t="s">
        <v>239</v>
      </c>
      <c r="C138" s="211"/>
      <c r="D138" s="211" t="s">
        <v>243</v>
      </c>
      <c r="E138" s="212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2" t="n">
        <f aca="false">B96*B63</f>
        <v>5642.50135924373</v>
      </c>
      <c r="B139" s="99" t="n">
        <f aca="false">IF(A111="YES", B95*B63, 0)</f>
        <v>375.652173913043</v>
      </c>
      <c r="C139" s="217"/>
      <c r="D139" s="181" t="n">
        <f aca="false">B97*B63</f>
        <v>6018.15353315678</v>
      </c>
      <c r="E139" s="212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0"/>
      <c r="B140" s="211"/>
      <c r="C140" s="211"/>
      <c r="D140" s="211"/>
      <c r="E140" s="212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0" t="s">
        <v>252</v>
      </c>
      <c r="B141" s="211" t="s">
        <v>253</v>
      </c>
      <c r="C141" s="211"/>
      <c r="D141" s="211" t="s">
        <v>257</v>
      </c>
      <c r="E141" s="212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07" t="n">
        <f aca="false">E15*0.000006</f>
        <v>0.35115</v>
      </c>
      <c r="B142" s="99" t="n">
        <f aca="false">IF(A111="YES", E15*0.000002, 0)</f>
        <v>0.11705</v>
      </c>
      <c r="C142" s="99"/>
      <c r="D142" s="99" t="n">
        <f aca="false">A142+B142</f>
        <v>0.4682</v>
      </c>
      <c r="E142" s="101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0"/>
      <c r="B143" s="211"/>
      <c r="C143" s="211"/>
      <c r="D143" s="211"/>
      <c r="E143" s="212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0" t="s">
        <v>139</v>
      </c>
      <c r="B144" s="211" t="s">
        <v>310</v>
      </c>
      <c r="C144" s="211"/>
      <c r="D144" s="211" t="s">
        <v>311</v>
      </c>
      <c r="E144" s="212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07" t="n">
        <f aca="false">A108</f>
        <v>199.99</v>
      </c>
      <c r="B145" s="99" t="n">
        <f aca="false">B73/1.2</f>
        <v>482.375</v>
      </c>
      <c r="C145" s="99"/>
      <c r="D145" s="99" t="n">
        <f aca="false">B108*0.9</f>
        <v>0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0"/>
      <c r="B146" s="211"/>
      <c r="C146" s="211"/>
      <c r="D146" s="211"/>
      <c r="E146" s="212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0" t="s">
        <v>313</v>
      </c>
      <c r="B147" s="211" t="s">
        <v>314</v>
      </c>
      <c r="C147" s="211"/>
      <c r="D147" s="211" t="s">
        <v>315</v>
      </c>
      <c r="E147" s="212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IF(A111="YES", ((A41*B111)*0.1)*(A133), 0)</f>
        <v>12</v>
      </c>
      <c r="B148" s="99" t="n">
        <f aca="false">A108-100</f>
        <v>99.99</v>
      </c>
      <c r="C148" s="99"/>
      <c r="D148" s="99" t="n">
        <f aca="false">(B145+D145+A148+B148)-B151</f>
        <v>594.365</v>
      </c>
      <c r="E148" s="101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0"/>
      <c r="B149" s="211"/>
      <c r="C149" s="211"/>
      <c r="D149" s="211"/>
      <c r="E149" s="212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0" t="s">
        <v>317</v>
      </c>
      <c r="B150" s="211" t="s">
        <v>318</v>
      </c>
      <c r="C150" s="211"/>
      <c r="D150" s="211"/>
      <c r="E150" s="212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v>0</v>
      </c>
      <c r="B151" s="99" t="n">
        <f aca="false">(B145+D145+A148+B148)*(A151/B70)</f>
        <v>0</v>
      </c>
      <c r="C151" s="211"/>
      <c r="D151" s="211"/>
      <c r="E151" s="21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0"/>
      <c r="B152" s="211"/>
      <c r="C152" s="211"/>
      <c r="D152" s="211"/>
      <c r="E152" s="212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0"/>
      <c r="B153" s="211"/>
      <c r="C153" s="211"/>
      <c r="D153" s="211"/>
      <c r="E153" s="212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0" t="s">
        <v>323</v>
      </c>
      <c r="B154" s="211"/>
      <c r="C154" s="211"/>
      <c r="D154" s="281"/>
      <c r="E154" s="282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0"/>
      <c r="B155" s="245"/>
      <c r="C155" s="245"/>
      <c r="D155" s="211"/>
      <c r="E155" s="212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46" t="s">
        <v>82</v>
      </c>
      <c r="B156" s="247" t="s">
        <v>83</v>
      </c>
      <c r="C156" s="247"/>
      <c r="D156" s="211"/>
      <c r="E156" s="212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46"/>
      <c r="B157" s="248" t="n">
        <f aca="false">B57</f>
        <v>5000</v>
      </c>
      <c r="C157" s="248"/>
      <c r="D157" s="211"/>
      <c r="E157" s="212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0" t="n">
        <f aca="false">A58</f>
        <v>12</v>
      </c>
      <c r="B158" s="74" t="n">
        <f aca="false">B97</f>
        <v>501.512794429732</v>
      </c>
      <c r="C158" s="74"/>
      <c r="D158" s="211"/>
      <c r="E158" s="212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0"/>
      <c r="B159" s="211"/>
      <c r="C159" s="211"/>
      <c r="D159" s="211"/>
      <c r="E159" s="212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0"/>
      <c r="B160" s="211"/>
      <c r="C160" s="211"/>
      <c r="D160" s="211"/>
      <c r="E160" s="212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0"/>
      <c r="B161" s="211"/>
      <c r="C161" s="211"/>
      <c r="D161" s="211"/>
      <c r="E161" s="212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0"/>
      <c r="B162" s="211"/>
      <c r="C162" s="211"/>
      <c r="D162" s="211"/>
      <c r="E162" s="212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4"/>
      <c r="B163" s="285"/>
      <c r="C163" s="285"/>
      <c r="D163" s="285"/>
      <c r="E163" s="286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11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21258</v>
      </c>
      <c r="F15" s="63"/>
      <c r="G15" s="273" t="n">
        <f aca="false">E15</f>
        <v>21258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21258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n">
        <f aca="false">IF(B38="YES", D38+A41, D38)</f>
        <v>500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0</v>
      </c>
      <c r="C44" s="100"/>
      <c r="D44" s="278" t="n">
        <f aca="false">A44+B44</f>
        <v>1</v>
      </c>
      <c r="E44" s="278"/>
      <c r="F44" s="63"/>
      <c r="G44" s="63" t="s">
        <v>255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1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11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20928</v>
      </c>
      <c r="C61" s="211"/>
      <c r="D61" s="211"/>
      <c r="E61" s="212"/>
      <c r="F61" s="63"/>
      <c r="G61" s="210" t="s">
        <v>14</v>
      </c>
      <c r="H61" s="290" t="n">
        <f aca="false">G18</f>
        <v>20928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1464.96</v>
      </c>
      <c r="C64" s="211" t="n">
        <v>10000</v>
      </c>
      <c r="D64" s="290" t="n">
        <f aca="false">B64</f>
        <v>1464.96</v>
      </c>
      <c r="E64" s="212"/>
      <c r="F64" s="63"/>
      <c r="G64" s="284" t="s">
        <v>90</v>
      </c>
      <c r="H64" s="129" t="n">
        <f aca="false">H61*H63</f>
        <v>1464.96</v>
      </c>
      <c r="I64" s="211"/>
      <c r="J64" s="290" t="n">
        <f aca="false">H64</f>
        <v>1464.96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209.28</v>
      </c>
      <c r="C67" s="211"/>
      <c r="D67" s="290"/>
      <c r="E67" s="212"/>
      <c r="F67" s="63"/>
      <c r="G67" s="284" t="s">
        <v>93</v>
      </c>
      <c r="H67" s="129" t="n">
        <f aca="false">H61*H66</f>
        <v>104.64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 t="n">
        <f aca="false">IF(G18&gt;40000, 325, 0)</f>
        <v>0</v>
      </c>
      <c r="D75" s="211"/>
      <c r="E75" s="212"/>
      <c r="F75" s="63"/>
      <c r="G75" s="294" t="s">
        <v>278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2791.62666666667</v>
      </c>
      <c r="C81" s="211"/>
      <c r="D81" s="211"/>
      <c r="E81" s="212"/>
      <c r="F81" s="63"/>
      <c r="G81" s="302" t="s">
        <v>102</v>
      </c>
      <c r="H81" s="303" t="n">
        <f aca="false">SUM(J64:J80)</f>
        <v>3091.46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232.635555555556</v>
      </c>
      <c r="C82" s="211"/>
      <c r="D82" s="211"/>
      <c r="E82" s="212"/>
      <c r="F82" s="63"/>
      <c r="G82" s="210" t="s">
        <v>103</v>
      </c>
      <c r="H82" s="299" t="n">
        <f aca="false">H81/H29</f>
        <v>257.621666666667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10564.352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10924.152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74.5769100443727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77.1168455022186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10638.9289100444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10901.2788455022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0</v>
      </c>
      <c r="C89" s="211"/>
      <c r="D89" s="211"/>
      <c r="E89" s="212"/>
      <c r="F89" s="63"/>
      <c r="G89" s="302" t="s">
        <v>117</v>
      </c>
      <c r="H89" s="30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886.577409170364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908.439903791851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886.577409170364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908.439903791851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19</v>
      </c>
      <c r="B105" s="311" t="n">
        <v>0</v>
      </c>
      <c r="C105" s="311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886.577409170364</v>
      </c>
      <c r="B128" s="320" t="n">
        <f aca="false">IF(A105="YES", B89, 0)</f>
        <v>0</v>
      </c>
      <c r="C128" s="325"/>
      <c r="D128" s="320" t="n">
        <f aca="false">B91</f>
        <v>886.577409170364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908.439903791851</v>
      </c>
      <c r="H130" s="174" t="n">
        <f aca="false">IF(G105="YES", H89*H57, 0)</f>
        <v>0</v>
      </c>
      <c r="I130" s="174"/>
      <c r="J130" s="333" t="n">
        <f aca="false">H91</f>
        <v>908.439903791851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886.577409170364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908.439903791851</v>
      </c>
      <c r="H133" s="99" t="n">
        <f aca="false">IF(G105="YES", H89*H57, 0)</f>
        <v>0</v>
      </c>
      <c r="I133" s="217"/>
      <c r="J133" s="181" t="n">
        <f aca="false">H91*H57</f>
        <v>908.439903791851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886.577409170364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0.127548</v>
      </c>
      <c r="H136" s="99" t="n">
        <f aca="false">IF(G105="YES", E15*0.000002, 0)</f>
        <v>0.042516</v>
      </c>
      <c r="I136" s="99"/>
      <c r="J136" s="99" t="n">
        <f aca="false">G136+H136</f>
        <v>0.170064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886.577409170364</v>
      </c>
      <c r="B137" s="38" t="n">
        <f aca="false">IF(A105="YES", B89, 0)</f>
        <v>0</v>
      </c>
      <c r="C137" s="316"/>
      <c r="D137" s="38" t="n">
        <f aca="false">B91</f>
        <v>886.577409170364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104.64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15.06816</v>
      </c>
      <c r="B140" s="342" t="n">
        <f aca="false">G18*0.000002 *1.2*100</f>
        <v>5.02272</v>
      </c>
      <c r="C140" s="316"/>
      <c r="D140" s="342" t="n">
        <f aca="false">A140+B140</f>
        <v>20.09088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1324.628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209.28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709.27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908.439903791851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886.577409170364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886.577409170364</v>
      </c>
      <c r="B171" s="354" t="n">
        <f aca="false">IF(A105="YES", B89, 0)</f>
        <v>0</v>
      </c>
      <c r="C171" s="357"/>
      <c r="D171" s="354" t="n">
        <f aca="false">B91</f>
        <v>886.577409170364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Monthly in advance </v>
      </c>
      <c r="B174" s="99" t="n">
        <f aca="false">B90*B57</f>
        <v>886.577409170364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886.577409170364</v>
      </c>
      <c r="B177" s="99" t="n">
        <f aca="false">E114</f>
        <v>4000</v>
      </c>
      <c r="C177" s="352"/>
      <c r="D177" s="360" t="n">
        <f aca="false">B58</f>
        <v>11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886.577409170364</v>
      </c>
      <c r="B180" s="99" t="n">
        <f aca="false">IF(A105="YES", B89, 0)</f>
        <v>0</v>
      </c>
      <c r="C180" s="352"/>
      <c r="D180" s="99" t="n">
        <f aca="false">B91</f>
        <v>886.577409170364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15.06816</v>
      </c>
      <c r="B183" s="364" t="n">
        <f aca="false">G18*0.000002 *1.2*100</f>
        <v>5.02272</v>
      </c>
      <c r="C183" s="352"/>
      <c r="D183" s="364" t="n">
        <f aca="false">A183+B183</f>
        <v>20.09088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209.28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709.27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1464.96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209.28</v>
      </c>
      <c r="C205" s="319" t="s">
        <v>214</v>
      </c>
      <c r="D205" s="369" t="n">
        <f aca="false">B219+E215+B215+B217</f>
        <v>339.99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1595.67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1464.96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209.28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1595.67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74.5769100443727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6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21258</v>
      </c>
      <c r="F15" s="63"/>
      <c r="G15" s="273" t="n">
        <f aca="false">E15</f>
        <v>21258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21258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45120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255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20928</v>
      </c>
      <c r="C61" s="211"/>
      <c r="D61" s="211"/>
      <c r="E61" s="212"/>
      <c r="F61" s="63"/>
      <c r="G61" s="210" t="s">
        <v>14</v>
      </c>
      <c r="H61" s="290" t="n">
        <f aca="false">G18</f>
        <v>20928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1464.96</v>
      </c>
      <c r="C64" s="211" t="n">
        <v>10000</v>
      </c>
      <c r="D64" s="290" t="n">
        <f aca="false">B64</f>
        <v>1464.96</v>
      </c>
      <c r="E64" s="212"/>
      <c r="F64" s="63"/>
      <c r="G64" s="284" t="s">
        <v>90</v>
      </c>
      <c r="H64" s="129" t="n">
        <f aca="false">H61*H63</f>
        <v>1464.96</v>
      </c>
      <c r="I64" s="211"/>
      <c r="J64" s="290" t="n">
        <f aca="false">H64</f>
        <v>1464.96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209.28</v>
      </c>
      <c r="C67" s="211"/>
      <c r="D67" s="290"/>
      <c r="E67" s="212"/>
      <c r="F67" s="63"/>
      <c r="G67" s="284" t="s">
        <v>93</v>
      </c>
      <c r="H67" s="129" t="n">
        <f aca="false">H61*H66</f>
        <v>104.64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2791.62666666667</v>
      </c>
      <c r="C81" s="211"/>
      <c r="D81" s="211"/>
      <c r="E81" s="212"/>
      <c r="F81" s="63"/>
      <c r="G81" s="302" t="s">
        <v>102</v>
      </c>
      <c r="H81" s="303" t="n">
        <f aca="false">SUM(J64:J80)</f>
        <v>3091.46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232.635555555556</v>
      </c>
      <c r="C82" s="211"/>
      <c r="D82" s="211"/>
      <c r="E82" s="212"/>
      <c r="F82" s="63"/>
      <c r="G82" s="210" t="s">
        <v>103</v>
      </c>
      <c r="H82" s="299" t="n">
        <f aca="false">H81/H29</f>
        <v>257.621666666667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8803.62666666667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10924.152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74.5769100443727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77.1168455022186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8878.20357671104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10901.2788455022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739.850298059253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908.439903791851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799.850298059253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980.439903791851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739.850298059253</v>
      </c>
      <c r="B128" s="320" t="n">
        <f aca="false">IF(A105="YES", B89, 0)</f>
        <v>60</v>
      </c>
      <c r="C128" s="325"/>
      <c r="D128" s="320" t="n">
        <f aca="false">B91</f>
        <v>799.850298059253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908.439903791851</v>
      </c>
      <c r="H130" s="174" t="n">
        <f aca="false">IF(G105="YES", H89*H57, 0)</f>
        <v>72</v>
      </c>
      <c r="I130" s="174"/>
      <c r="J130" s="333" t="n">
        <f aca="false">H91</f>
        <v>980.439903791851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6658.65268253328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908.439903791851</v>
      </c>
      <c r="H133" s="99" t="n">
        <f aca="false">IF(G105="YES", H89*H57, 0)</f>
        <v>72</v>
      </c>
      <c r="I133" s="217"/>
      <c r="J133" s="181" t="n">
        <f aca="false">H91*H57</f>
        <v>980.439903791851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7198.65268253328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0.127548</v>
      </c>
      <c r="H136" s="99" t="n">
        <f aca="false">IF(G105="YES", E15*0.000002, 0)</f>
        <v>0.042516</v>
      </c>
      <c r="I136" s="99"/>
      <c r="J136" s="99" t="n">
        <f aca="false">G136+H136</f>
        <v>0.170064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739.850298059253</v>
      </c>
      <c r="B137" s="38" t="n">
        <f aca="false">IF(A105="YES", B89, 0)</f>
        <v>60</v>
      </c>
      <c r="C137" s="316"/>
      <c r="D137" s="38" t="n">
        <f aca="false">B91</f>
        <v>799.850298059253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104.64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15.06816</v>
      </c>
      <c r="B140" s="342" t="n">
        <f aca="false">G18*0.000002 *1.2*100</f>
        <v>5.02272</v>
      </c>
      <c r="C140" s="316"/>
      <c r="D140" s="342" t="n">
        <f aca="false">A140+B140</f>
        <v>20.09088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1331.828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209.28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721.27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980.439903791851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799.850298059253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739.850298059253</v>
      </c>
      <c r="B171" s="354" t="n">
        <f aca="false">IF(A105="YES", B89, 0)</f>
        <v>60</v>
      </c>
      <c r="C171" s="357"/>
      <c r="D171" s="354" t="n">
        <f aca="false">B91</f>
        <v>799.850298059253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6658.65268253328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7198.65268253328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739.850298059253</v>
      </c>
      <c r="B180" s="99" t="n">
        <f aca="false">IF(A105="YES", B89, 0)</f>
        <v>60</v>
      </c>
      <c r="C180" s="352"/>
      <c r="D180" s="99" t="n">
        <f aca="false">B91</f>
        <v>799.850298059253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15.06816</v>
      </c>
      <c r="B183" s="364" t="n">
        <f aca="false">G18*0.000002 *1.2*100</f>
        <v>5.02272</v>
      </c>
      <c r="C183" s="352"/>
      <c r="D183" s="364" t="n">
        <f aca="false">A183+B183</f>
        <v>20.09088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209.28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721.27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1464.96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209.28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1715.67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1464.96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209.28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1715.67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74.5769100443727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4743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2023-07-12T19:29:27Z</dcterms:modified>
  <cp:revision>839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