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<sst xmlns="http://schemas.openxmlformats.org/spreadsheetml/2006/main" count="32465" uniqueCount="407">
  <si>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</si>
  <si>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</si>
  <si>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</si>
  <si>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</si>
  <si>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</si>
  <si>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</si>
  <si>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</si>
  <si>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</si>
  <si>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</si>
  <si>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</si>
  <si>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</si>
  <si>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</si>
  <si>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</si>
  <si>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</si>
  <si>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</si>
  <si>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</si>
  <si>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</si>
  <si>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</si>
  <si>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</si>
  <si>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</si>
  <si>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</si>
  <si>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</si>
  <si>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</si>
  <si>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</si>
  <si>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</si>
  <si>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</si>
  <si>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</si>
  <si>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</si>
  <si>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</si>
  <si>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</si>
  <si>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</si>
  <si>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</si>
  <si>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</si>
  <si>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</si>
  <si>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</si>
  <si>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</si>
  <si>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</si>
  <si>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</si>
  <si>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</si>
  <si>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</si>
  <si>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</si>
  <si>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</si>
  <si>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</si>
  <si>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</si>
  <si>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</si>
  <si>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</si>
  <si>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</si>
  <si>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</si>
  <si>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</si>
  <si>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</si>
  <si>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</si>
  <si>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</si>
  <si>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</si>
  <si>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</si>
  <si>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</si>
  <si>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</si>
  <si>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</si>
  <si>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</si>
  <si>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</si>
  <si>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</si>
  <si>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</si>
  <si>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</si>
  <si>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</si>
  <si>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</si>
  <si>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</si>
  <si>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</si>
  <si>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</si>
  <si>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</si>
  <si>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</si>
  <si>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</si>
  <si>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</si>
  <si>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</si>
  <si>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</si>
  <si>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</si>
  <si>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</si>
  <si>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</si>
  <si>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</si>
  <si>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</si>
  <si>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</si>
  <si>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</si>
  <si>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</si>
  <si>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</si>
  <si>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</si>
  <si>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</si>
  <si>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</si>
  <si>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</si>
  <si>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</si>
  <si>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</si>
  <si>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</si>
  <si>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</si>
  <si>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</si>
  <si>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</si>
  <si>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</si>
  <si>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</si>
  <si>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</si>
  <si>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</si>
  <si>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</si>
  <si>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</si>
  <si>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</si>
  <si>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</si>
  <si>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</si>
  <si>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</si>
  <si>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</si>
  <si>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</si>
  <si>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</si>
  <si>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</si>
  <si>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</si>
  <si>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</si>
  <si>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</si>
  <si>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</si>
  <si>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</si>
  <si>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</si>
  <si>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</si>
  <si>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</si>
  <si>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</si>
  <si>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</si>
  <si>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</si>
  <si>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</si>
  <si>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</si>
  <si>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</si>
  <si>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</si>
  <si>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</si>
  <si>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</si>
  <si>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</si>
  <si>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</si>
  <si>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</si>
  <si>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</si>
  <si>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</si>
  <si>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</si>
  <si>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</si>
  <si>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</si>
  <si>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</si>
  <si>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</si>
  <si>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</si>
  <si>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</si>
  <si>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</si>
  <si>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</si>
  <si>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</si>
  <si>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</si>
  <si>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</si>
  <si>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</si>
  <si>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</si>
  <si>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</si>
  <si>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</si>
  <si>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</si>
  <si>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</si>
  <si>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</si>
  <si>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</si>
  <si>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</si>
  <si>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</si>
  <si>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</si>
  <si>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</si>
  <si>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</si>
  <si>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</si>
  <si>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</si>
  <si>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</si>
  <si>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</si>
  <si>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</si>
  <si>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</si>
  <si>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</si>
  <si>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</si>
  <si>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</si>
  <si>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</si>
  <si>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</si>
  <si>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</si>
  <si>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</si>
  <si>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</si>
  <si>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</si>
  <si>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</si>
  <si>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</si>
  <si>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</si>
  <si>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</si>
  <si>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</si>
  <si>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</si>
  <si>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</si>
  <si>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</si>
  <si>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</si>
  <si>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</si>
  <si>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</si>
  <si>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</si>
  <si>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</si>
  <si>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</si>
  <si>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</si>
  <si>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</si>
  <si>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</si>
  <si>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</si>
  <si>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</si>
  <si>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</si>
  <si>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</si>
  <si>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</si>
  <si>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</si>
  <si>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</si>
  <si>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</si>
  <si>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</si>
  <si>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</si>
  <si>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</si>
  <si>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</si>
  <si>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</si>
  <si>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</si>
  <si>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</si>
  <si>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</si>
  <si>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</si>
  <si>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</si>
  <si>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</si>
  <si>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</si>
  <si>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</si>
  <si>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</si>
  <si>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</si>
  <si>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</si>
  <si>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</si>
  <si>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</si>
  <si>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</si>
  <si>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</si>
  <si>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</si>
  <si>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</si>
  <si>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</si>
  <si>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</si>
  <si>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</si>
  <si>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</si>
  <si>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</si>
  <si>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</si>
  <si>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</si>
  <si>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</si>
  <si>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</si>
  <si>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</si>
  <si>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</si>
  <si>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</si>
  <si>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</si>
  <si>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</si>
  <si>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</si>
  <si>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</si>
  <si>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</si>
  <si>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</si>
  <si>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</si>
  <si>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</si>
  <si>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</si>
  <si>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</si>
  <si>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</si>
  <si>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</si>
  <si>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</si>
  <si>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</si>
  <si>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</si>
  <si>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</si>
  <si>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</si>
  <si>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</si>
  <si>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</si>
  <si>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</si>
  <si>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</si>
  <si>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</si>
  <si>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</si>
  <si>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</si>
  <si>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</si>
  <si>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</si>
  <si>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</si>
  <si>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</si>
  <si>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</si>
  <si>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</si>
  <si>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</si>
  <si>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</si>
  <si>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</si>
  <si>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</si>
  <si>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</si>
  <si>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</si>
  <si>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</si>
  <si>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</si>
  <si>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</si>
  <si>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</si>
  <si>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</si>
  <si>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</si>
  <si>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</si>
  <si>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</si>
  <si>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</si>
  <si>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</si>
  <si>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</si>
  <si>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</si>
  <si>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</si>
  <si>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</si>
  <si>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</si>
  <si>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</si>
  <si>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</si>
  <si>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</si>
  <si>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</si>
  <si>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</si>
  <si>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</si>
  <si>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</si>
  <si>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</si>
  <si>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</si>
  <si>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</si>
  <si>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</si>
  <si>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</si>
  <si>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</si>
  <si>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</si>
  <si>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</si>
  <si>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</si>
  <si>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</si>
  <si>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</si>
  <si>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</si>
  <si>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</si>
  <si>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</si>
  <si>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</si>
  <si>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</si>
  <si>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</si>
  <si>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</si>
  <si>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</si>
  <si>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</si>
  <si>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</si>
  <si>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</si>
  <si>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</si>
  <si>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</si>
  <si>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</si>
  <si>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</si>
  <si>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</si>
  <si>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</si>
  <si>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</si>
  <si>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</si>
  <si>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</si>
  <si>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</si>
  <si>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</si>
  <si>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</si>
  <si>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</si>
  <si>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</si>
  <si>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</si>
  <si>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</si>
  <si>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</si>
  <si>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</si>
  <si>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</si>
  <si>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</si>
  <si>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</si>
  <si>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</si>
  <si>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</si>
  <si>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</si>
  <si>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</si>
  <si>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</si>
  <si>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</si>
  <si>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</si>
  <si>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</si>
  <si>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</si>
  <si>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</si>
  <si>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</si>
  <si>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</si>
  <si>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</si>
  <si>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</si>
  <si>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</si>
  <si>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</si>
  <si>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</si>
  <si>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</si>
  <si>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</si>
  <si>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</si>
  <si>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</si>
  <si>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</si>
  <si>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</si>
  <si>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</si>
  <si>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</si>
  <si>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</si>
  <si>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</si>
  <si>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</si>
  <si>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</si>
  <si>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</si>
  <si>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</si>
  <si>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</si>
  <si>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</si>
  <si>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</si>
  <si>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</si>
  <si>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</si>
  <si>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</si>
  <si>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</si>
  <si>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</si>
  <si>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</si>
  <si>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</si>
  <si>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</si>
  <si>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</si>
  <si>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</si>
  <si>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</si>
  <si>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</si>
  <si>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</si>
  <si>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</si>
  <si>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</si>
  <si>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</si>
  <si>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</si>
  <si>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</si>
  <si>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</si>
  <si>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Yes</t>
  </si>
  <si>
    <t xml:space="preserve">22050.00</t>
  </si>
  <si>
    <t xml:space="preserve">OTR Calculation</t>
  </si>
  <si>
    <t xml:space="preserve">660.00</t>
  </si>
  <si>
    <t xml:space="preserve">48937.50</t>
  </si>
  <si>
    <t xml:space="preserve">4.38</t>
  </si>
  <si>
    <t xml:space="preserve">58535.00</t>
  </si>
  <si>
    <t xml:space="preserve">RFL included?</t>
  </si>
  <si>
    <t>58535.00</t>
  </si>
  <si>
    <t>1000</t>
  </si>
  <si>
    <t>33</t>
  </si>
  <si>
    <t>5000</t>
  </si>
  <si>
    <t>NO</t>
  </si>
  <si>
    <t>500</t>
  </si>
  <si>
    <t>12</t>
  </si>
  <si>
    <t>239.99</t>
  </si>
  <si>
    <t>Limited Credit</t>
  </si>
  <si>
    <t>YES</t>
  </si>
  <si>
    <t>22050.00</t>
  </si>
  <si>
    <t>Yes</t>
  </si>
  <si>
    <t>30</t>
  </si>
  <si>
    <t>100</t>
  </si>
  <si>
    <t>199.99</t>
  </si>
  <si>
    <t>0</t>
  </si>
  <si>
    <t>A1 Credit</t>
  </si>
  <si>
    <t>25885.00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</si>
</sst>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39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33000.0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400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1973.30341105396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692.175097205312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695.415428003471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 t="s">
        <v>381</v>
      </c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395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12000.0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400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16327.5753291753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21050</v>
      </c>
      <c r="C81" s="93"/>
      <c r="D81" s="93"/>
      <c r="E81" s="113"/>
      <c r="F81" s="25" t="s">
        <v>105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0.1305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0.010875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5269.65007027773</v>
      </c>
      <c r="C86" s="93" t="n">
        <f aca="false">(B82/((1+B84)^(B85+1)))</f>
        <v>5269.65007027773</v>
      </c>
      <c r="D86" s="93"/>
      <c r="E86" s="113"/>
      <c r="F86" s="31" t="s">
        <v>110</v>
      </c>
      <c r="G86" s="33" t="n">
        <f aca="false">(G82/((1+G84)^(G85+1)))</f>
        <v>5595.50079509169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10.3148273595096</v>
      </c>
      <c r="C87" s="93" t="n">
        <f aca="false">((1-(1/((1+B84)^B85)))/B84)</f>
        <v>10.3148273595096</v>
      </c>
      <c r="D87" s="93"/>
      <c r="E87" s="113"/>
      <c r="F87" s="31" t="s">
        <v>111</v>
      </c>
      <c r="G87" s="33" t="n">
        <f aca="false">((1-(1/((1+G84)^G85)))/G84)</f>
        <v>10.6245366743888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15780.3499297223</v>
      </c>
      <c r="C88" s="93" t="n">
        <f aca="false">B81-B86</f>
        <v>15780.3499297223</v>
      </c>
      <c r="D88" s="93"/>
      <c r="E88" s="113"/>
      <c r="F88" s="31" t="s">
        <v>112</v>
      </c>
      <c r="G88" s="33" t="n">
        <f aca="false">G81-G86</f>
        <v>15454.4992049083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1529.87048447048</v>
      </c>
      <c r="C89" s="93" t="n">
        <f aca="false">(B88/B87)</f>
        <v>1529.87048447048</v>
      </c>
      <c r="D89" s="93"/>
      <c r="E89" s="113"/>
      <c r="F89" s="31" t="s">
        <v>113</v>
      </c>
      <c r="G89" s="33" t="n">
        <f aca="false">(G88/G87)</f>
        <v>1454.60453274753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16828.5753291753</v>
      </c>
      <c r="C90" s="93"/>
      <c r="D90" s="93"/>
      <c r="E90" s="113"/>
      <c r="F90" s="31" t="s">
        <v>114</v>
      </c>
      <c r="G90" s="33" t="n">
        <f aca="false">((G89*(G85))+G77)</f>
        <v>16000.6498602228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16828.5753291753</v>
      </c>
      <c r="C92" s="93"/>
      <c r="D92" s="93"/>
      <c r="E92" s="113"/>
      <c r="F92" s="56" t="s">
        <v>116</v>
      </c>
      <c r="G92" s="65" t="n">
        <f aca="false">(G90+G91)</f>
        <v>16000.6498602228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1529.87048447048</v>
      </c>
      <c r="C95" s="93"/>
      <c r="D95" s="93"/>
      <c r="E95" s="113"/>
      <c r="F95" s="95" t="s">
        <v>118</v>
      </c>
      <c r="G95" s="96" t="n">
        <f aca="false">G92/(G85)</f>
        <v>1454.60453274753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1529.87048447048</v>
      </c>
      <c r="C96" s="93"/>
      <c r="D96" s="93"/>
      <c r="E96" s="113"/>
      <c r="F96" s="97" t="s">
        <v>119</v>
      </c>
      <c r="G96" s="98" t="n">
        <f aca="false">G94+G95</f>
        <v>1454.60453274753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0.0</v>
      </c>
      <c r="E108" s="108" t="n">
        <f aca="false">B83</f>
        <v>0.1305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22050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1529.87048447048</v>
      </c>
      <c r="B167" s="177" t="str">
        <f aca="false">B94</f>
        <v>0</v>
      </c>
      <c r="C167" s="174"/>
      <c r="D167" s="174"/>
      <c r="E167" s="177" t="n">
        <f aca="false">B96</f>
        <v>1529.87048447048</v>
      </c>
      <c r="F167" s="23"/>
      <c r="G167" s="23" t="n">
        <f aca="false">ROUND(G95, 2)</f>
        <v>1454.6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-1421.42067082472</v>
      </c>
      <c r="B182" s="103" t="str">
        <f aca="false">B114</f>
        <v>199.99</v>
      </c>
      <c r="C182" s="103"/>
      <c r="D182" s="23"/>
      <c r="E182" s="103" t="n">
        <f aca="false">E179+A182+(B182*1.2)+A185</f>
        <v>23078.5633291753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1529.87048447048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-2249.396</v>
      </c>
      <c r="B201" s="186" t="n">
        <f aca="false">E179+A201+(B182*1.2)+A185</f>
        <v>22250.588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1529.87048447048</v>
      </c>
      <c r="B212" s="177" t="str">
        <f aca="false">B167</f>
        <v>0</v>
      </c>
      <c r="C212" s="174"/>
      <c r="D212" s="174"/>
      <c r="E212" s="177" t="n">
        <f aca="false">E167</f>
        <v>1529.87048447048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-1421.42067082472</v>
      </c>
      <c r="B224" s="103" t="str">
        <f aca="false">B182</f>
        <v>199.99</v>
      </c>
      <c r="C224" s="103"/>
      <c r="D224" s="113"/>
      <c r="E224" s="103" t="n">
        <f aca="false">E182</f>
        <v>23078.5633291753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1529.87048447048</v>
      </c>
      <c r="B230" s="103" t="str">
        <f aca="false">B167</f>
        <v>0</v>
      </c>
      <c r="C230" s="186"/>
      <c r="D230" s="186"/>
      <c r="E230" s="103" t="n">
        <f aca="false">E167</f>
        <v>1529.87048447048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837.975329175286</v>
      </c>
      <c r="C254" s="197"/>
      <c r="D254" s="198" t="s">
        <v>216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816.715349175286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0.1305</v>
      </c>
      <c r="C260" s="43"/>
      <c r="D260" s="166" t="s">
        <v>215</v>
      </c>
      <c r="E260" s="166"/>
      <c r="F260" s="146" t="n">
        <f aca="false">B254</f>
        <v>837.975329175286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816.715349175286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21020.9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21169.2927995159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1764.10773329299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1764.10773329299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1764.10773329299</v>
      </c>
      <c r="B134" s="321" t="n">
        <f aca="false">IF(A111="YES", B95, 0)</f>
        <v>0</v>
      </c>
      <c r="C134" s="326"/>
      <c r="D134" s="321" t="n">
        <f aca="false">B97</f>
        <v>1764.10773329299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1764.10773329299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1764.10773329299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1764.10773329299</v>
      </c>
      <c r="B143" s="38" t="n">
        <f aca="false">IF(A111="YES", B95, 0)</f>
        <v>0</v>
      </c>
      <c r="C143" s="317"/>
      <c r="D143" s="38" t="n">
        <f aca="false">B97</f>
        <v>1764.10773329299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1764.10773329299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1764.10773329299</v>
      </c>
      <c r="B177" s="355" t="n">
        <f aca="false">IF(A111="YES", B95, 0)</f>
        <v>0</v>
      </c>
      <c r="C177" s="358"/>
      <c r="D177" s="355" t="n">
        <f aca="false">B91</f>
        <v>21020.9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1764.10773329299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1764.10773329299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1764.10773329299</v>
      </c>
      <c r="B186" s="103" t="n">
        <f aca="false">IF(A111="YES", B95, 0)</f>
        <v>0</v>
      </c>
      <c r="C186" s="353"/>
      <c r="D186" s="103" t="n">
        <f aca="false">B97</f>
        <v>1764.10773329299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10119.4916666667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10119.4916666667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1000</v>
      </c>
      <c r="E32" s="226"/>
      <c r="F32" s="63"/>
      <c r="G32" s="227" t="s">
        <v>243</v>
      </c>
      <c r="H32" s="225" t="n">
        <f aca="false">A41</f>
        <v>1000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1500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381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</v>
      </c>
      <c r="B41" s="241" t="n">
        <f aca="false">IF(B38="YES", D38+A41, D38)</f>
        <v>1500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1000</v>
      </c>
      <c r="I44" s="394" t="n">
        <f aca="false">((A41*(B35-1))+D32)/B35</f>
        <v>1000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1501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1501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220.5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11505.4166666667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958.784722222222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17517.4166666667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148.392799515934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17665.8094661826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1309.09090909091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1565.98267874387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2875.07358783478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381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1565.98267874387</v>
      </c>
      <c r="B134" s="321" t="n">
        <f aca="false">IF(A111="YES", B95, 0)</f>
        <v>1309.09090909091</v>
      </c>
      <c r="C134" s="326"/>
      <c r="D134" s="321" t="n">
        <f aca="false">B97</f>
        <v>2875.07358783478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1565.98267874387</v>
      </c>
      <c r="C137" s="317"/>
      <c r="D137" s="38" t="n">
        <f aca="false">IF(A111="YES", B95*B63, 0)</f>
        <v>1309.09090909091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2875.07358783478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1565.98267874387</v>
      </c>
      <c r="B143" s="38" t="n">
        <f aca="false">IF(A111="YES", B95, 0)</f>
        <v>1309.09090909091</v>
      </c>
      <c r="C143" s="317"/>
      <c r="D143" s="38" t="n">
        <f aca="false">B97</f>
        <v>2875.07358783478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240</v>
      </c>
      <c r="H148" s="103" t="n">
        <f aca="false">G108-100</f>
        <v>139.988</v>
      </c>
      <c r="I148" s="103"/>
      <c r="J148" s="103" t="n">
        <f aca="false">(H145+J145+G148+H148)-H151</f>
        <v>1615.838</v>
      </c>
      <c r="K148" s="105"/>
      <c r="L148" s="63"/>
      <c r="M148" s="111" t="n">
        <f aca="false">IF(M111="YES", ((A41*N111)*0.1)*(M133), 0)</f>
        <v>240</v>
      </c>
      <c r="N148" s="103" t="n">
        <f aca="false">M108-100</f>
        <v>99.99</v>
      </c>
      <c r="O148" s="103"/>
      <c r="P148" s="103" t="n">
        <f aca="false">(N145+P145+M148+N148)-N151</f>
        <v>1575.84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240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960.49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2875.07358783478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1565.98267874387</v>
      </c>
      <c r="B177" s="355" t="n">
        <f aca="false">IF(A111="YES", B95, 0)</f>
        <v>1309.09090909091</v>
      </c>
      <c r="C177" s="358"/>
      <c r="D177" s="355" t="n">
        <f aca="false">B91</f>
        <v>17517.4166666667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1565.98267874387</v>
      </c>
      <c r="C180" s="353"/>
      <c r="D180" s="103" t="n">
        <f aca="false">IF(A111="YES", B95*B63, 0)</f>
        <v>1309.09090909091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2875.07358783478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1565.98267874387</v>
      </c>
      <c r="B186" s="103" t="n">
        <f aca="false">IF(A111="YES", B95, 0)</f>
        <v>1309.09090909091</v>
      </c>
      <c r="C186" s="353"/>
      <c r="D186" s="103" t="n">
        <f aca="false">B97</f>
        <v>2875.07358783478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240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960.49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2739.99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12519.49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12519.49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2400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148.392799515934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7" colorId="64" zoomScale="85" zoomScaleNormal="85" zoomScalePageLayoutView="100" workbookViewId="0">
      <selection pane="topLeft" activeCell="A201" activeCellId="0" sqref="A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577.753498373238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577.753498373238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25443.3768750692</v>
      </c>
      <c r="N39" s="1" t="n">
        <f aca="false">K39-L39</f>
        <v>-7068.37687506925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-7068.37687506925</v>
      </c>
      <c r="N40" s="1" t="n">
        <f aca="false">N38-N39</f>
        <v>9980.05687506925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18375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577.753498373238</v>
      </c>
      <c r="L47" s="2" t="n">
        <f aca="false">L49-K42</f>
        <v>800</v>
      </c>
      <c r="M47" s="1" t="n">
        <f aca="false">K47-L47</f>
        <v>-222.246501626762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577.753498373238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577.753498373238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5367.29075683624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177.473925694445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2766.41145833333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366.257291666667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577.753498373238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577.753498373238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577.753498373238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577.753498373238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21749.996</v>
      </c>
      <c r="C88" s="93"/>
      <c r="D88" s="93"/>
      <c r="E88" s="113"/>
      <c r="F88" s="31" t="s">
        <v>112</v>
      </c>
      <c r="G88" s="33" t="n">
        <f aca="false">G81-G86</f>
        <v>21749.996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752.607741173517</v>
      </c>
      <c r="C89" s="93"/>
      <c r="D89" s="93"/>
      <c r="E89" s="113"/>
      <c r="F89" s="31" t="s">
        <v>113</v>
      </c>
      <c r="G89" s="33" t="n">
        <f aca="false">(G88/G87)</f>
        <v>683.871362100894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25588.6631998996</v>
      </c>
      <c r="C90" s="93"/>
      <c r="D90" s="93"/>
      <c r="E90" s="113"/>
      <c r="F90" s="31" t="s">
        <v>114</v>
      </c>
      <c r="G90" s="33" t="n">
        <f aca="false">((G89*(G85))+G77)</f>
        <v>23935.4976735313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25588.6631998996</v>
      </c>
      <c r="C92" s="93"/>
      <c r="D92" s="93"/>
      <c r="E92" s="113"/>
      <c r="F92" s="56" t="s">
        <v>116</v>
      </c>
      <c r="G92" s="65" t="n">
        <f aca="false">(G90+G91)</f>
        <v>23935.4976735313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752.607741173517</v>
      </c>
      <c r="C95" s="93"/>
      <c r="D95" s="93"/>
      <c r="E95" s="113"/>
      <c r="F95" s="95" t="s">
        <v>118</v>
      </c>
      <c r="G95" s="96" t="n">
        <f aca="false">G92/(G85)</f>
        <v>683.871362100894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752.607741173517</v>
      </c>
      <c r="C96" s="93"/>
      <c r="D96" s="93"/>
      <c r="E96" s="113"/>
      <c r="F96" s="97" t="s">
        <v>119</v>
      </c>
      <c r="G96" s="98" t="n">
        <f aca="false">G94+G95</f>
        <v>683.871362100894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752.607741173517</v>
      </c>
      <c r="B167" s="177" t="str">
        <f aca="false">B94</f>
        <v>0</v>
      </c>
      <c r="C167" s="174"/>
      <c r="D167" s="174"/>
      <c r="E167" s="177" t="n">
        <f aca="false">B96</f>
        <v>752.607741173517</v>
      </c>
      <c r="F167" s="23"/>
      <c r="G167" s="23" t="n">
        <f aca="false">ROUND(G95, 2)</f>
        <v>683.87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4591.27494107308</v>
      </c>
      <c r="B182" s="103" t="str">
        <f aca="false">B114</f>
        <v>239.99</v>
      </c>
      <c r="C182" s="103"/>
      <c r="D182" s="23"/>
      <c r="E182" s="103" t="n">
        <f aca="false">E179+A182+B182+A185</f>
        <v>26591.2609410731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IF(A40=0,(E167+A185),(E170+A185))</f>
        <v>762.607741173516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177.473925694445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277.465592361111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752.607741173517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2938.06174117351</v>
      </c>
      <c r="B201" s="186" t="n">
        <f aca="false">E179+A201+B182+A185</f>
        <v>24938.0477411735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752.607741173517</v>
      </c>
      <c r="B212" s="177" t="str">
        <f aca="false">B167</f>
        <v>0</v>
      </c>
      <c r="C212" s="174"/>
      <c r="D212" s="174"/>
      <c r="E212" s="177" t="n">
        <f aca="false">E167</f>
        <v>752.607741173517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4591.27494107308</v>
      </c>
      <c r="B224" s="103" t="str">
        <f aca="false">B182</f>
        <v>239.99</v>
      </c>
      <c r="C224" s="103"/>
      <c r="D224" s="113"/>
      <c r="E224" s="103" t="n">
        <f aca="false">E182</f>
        <v>26591.2609410731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752.607741173517</v>
      </c>
      <c r="B230" s="103" t="str">
        <f aca="false">B167</f>
        <v>0</v>
      </c>
      <c r="C230" s="186"/>
      <c r="D230" s="186"/>
      <c r="E230" s="103" t="n">
        <f aca="false">E167</f>
        <v>752.607741173517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762.607741173516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177.473925694445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2110.79559236111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1663.21319989956</v>
      </c>
      <c r="C254" s="197"/>
      <c r="D254" s="198" t="s">
        <v>216</v>
      </c>
      <c r="E254" s="198"/>
      <c r="F254" s="200" t="n">
        <f aca="false">F261+F267+F269+B270+B271</f>
        <v>212.968710833333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1550.23615573289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1663.21319989956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212.968710833333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1550.23615573289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4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4" colorId="64" zoomScale="85" zoomScaleNormal="85" zoomScalePageLayoutView="100" workbookViewId="0">
      <selection pane="topLeft" activeCell="C122" activeCellId="0" sqref="C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356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21749.996</v>
      </c>
      <c r="C81" s="93"/>
      <c r="D81" s="93"/>
      <c r="E81" s="113"/>
      <c r="F81" s="25" t="s">
        <v>105</v>
      </c>
      <c r="G81" s="27" t="n">
        <f aca="false">G158</f>
        <v>21749.996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15100</v>
      </c>
      <c r="C82" s="93"/>
      <c r="D82" s="93"/>
      <c r="E82" s="113"/>
      <c r="F82" s="31" t="s">
        <v>106</v>
      </c>
      <c r="G82" s="33" t="n">
        <f aca="false">IF(A111 = "Yes", A40, 0)</f>
        <v>15100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10553.7667393716</v>
      </c>
      <c r="C86" s="93"/>
      <c r="D86" s="93"/>
      <c r="E86" s="113"/>
      <c r="F86" s="31" t="s">
        <v>110</v>
      </c>
      <c r="G86" s="33" t="n">
        <f aca="false">(G82/((1+G84)^(G85+1)))</f>
        <v>12247.2922562186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11196.2292606284</v>
      </c>
      <c r="C88" s="93"/>
      <c r="D88" s="93"/>
      <c r="E88" s="113"/>
      <c r="F88" s="31" t="s">
        <v>112</v>
      </c>
      <c r="G88" s="33" t="n">
        <f aca="false">G81-G86</f>
        <v>9502.70374378136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380.71301733236</v>
      </c>
      <c r="C89" s="93"/>
      <c r="D89" s="93"/>
      <c r="E89" s="113"/>
      <c r="F89" s="31" t="s">
        <v>113</v>
      </c>
      <c r="G89" s="33" t="n">
        <f aca="false">(G88/G87)</f>
        <v>300.952897170694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13324.9556066326</v>
      </c>
      <c r="C90" s="93"/>
      <c r="D90" s="93"/>
      <c r="E90" s="113"/>
      <c r="F90" s="31" t="s">
        <v>114</v>
      </c>
      <c r="G90" s="33" t="n">
        <f aca="false">((G89*(G85))+G77)</f>
        <v>10533.3514009743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13324.9556066326</v>
      </c>
      <c r="C92" s="93"/>
      <c r="D92" s="93"/>
      <c r="E92" s="113"/>
      <c r="F92" s="56" t="s">
        <v>116</v>
      </c>
      <c r="G92" s="65" t="n">
        <f aca="false">(G90+G91)</f>
        <v>10533.3514009743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380.71301733236</v>
      </c>
      <c r="C95" s="93"/>
      <c r="D95" s="93"/>
      <c r="E95" s="113"/>
      <c r="F95" s="95" t="s">
        <v>118</v>
      </c>
      <c r="G95" s="96" t="n">
        <f aca="false">G92/(G85)</f>
        <v>300.952897170694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380.71301733236</v>
      </c>
      <c r="C96" s="93"/>
      <c r="D96" s="93"/>
      <c r="E96" s="113"/>
      <c r="F96" s="97" t="s">
        <v>119</v>
      </c>
      <c r="G96" s="98" t="n">
        <f aca="false">G94+G95</f>
        <v>300.952897170694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18375</v>
      </c>
      <c r="C121" s="121" t="n">
        <v>20208.33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IF(A40=0,((G167*(B59+1))+E185-E179-A185), ((G167*B59)+E185-E179-A185))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2801.7056066326</v>
      </c>
      <c r="C254" s="197"/>
      <c r="D254" s="198" t="s">
        <v>216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-38786.3120530432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4935.41495666158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220.5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152.391285687645</v>
      </c>
      <c r="C83" s="473"/>
      <c r="D83" s="215"/>
      <c r="E83" s="466" t="n">
        <f aca="false">B83+E80+E77+E64</f>
        <v>450.224619020978</v>
      </c>
      <c r="F83" s="63"/>
      <c r="G83" s="305" t="s">
        <v>104</v>
      </c>
      <c r="H83" s="306" t="n">
        <f aca="false">H47</f>
        <v>152.391285687645</v>
      </c>
      <c r="I83" s="215"/>
      <c r="J83" s="215"/>
      <c r="K83" s="216"/>
      <c r="L83" s="63"/>
      <c r="M83" s="305" t="s">
        <v>104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16208.0862847552</v>
      </c>
      <c r="C85" s="473"/>
      <c r="D85" s="473"/>
      <c r="E85" s="466" t="n">
        <f aca="false">B85/(B58+B57)</f>
        <v>450.224619020978</v>
      </c>
      <c r="F85" s="63"/>
      <c r="G85" s="288" t="s">
        <v>114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114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137.301255336773</v>
      </c>
      <c r="C86" s="473" t="s">
        <v>230</v>
      </c>
      <c r="D86" s="215"/>
      <c r="E86" s="466" t="n">
        <f aca="false">B86/(B58+B57)</f>
        <v>3.8139237593548</v>
      </c>
      <c r="F86" s="63"/>
      <c r="G86" s="214" t="s">
        <v>115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115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16345.387540092</v>
      </c>
      <c r="C87" s="473"/>
      <c r="D87" s="475"/>
      <c r="E87" s="466" t="n">
        <f aca="false">E86+E85</f>
        <v>454.038542780333</v>
      </c>
      <c r="F87" s="63"/>
      <c r="G87" s="285" t="s">
        <v>116</v>
      </c>
      <c r="H87" s="133" t="n">
        <f aca="false">IF(H110="YES",((H85+H86)-K114),(H85+H86))</f>
        <v>7917.70518026206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454.038542780333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519.038542780333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454.038542780333</v>
      </c>
      <c r="B128" s="321" t="n">
        <f aca="false">IF(A105="YES", B89, 0)</f>
        <v>65</v>
      </c>
      <c r="C128" s="325"/>
      <c r="D128" s="321" t="n">
        <f aca="false">B91</f>
        <v>519.038542780333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454.038542780333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916.196482367281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519.038542780333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454.038542780333</v>
      </c>
      <c r="B137" s="38" t="n">
        <f aca="false">IF(A105="YES", B89, 0)</f>
        <v>65</v>
      </c>
      <c r="C137" s="317"/>
      <c r="D137" s="38" t="n">
        <f aca="false">B91</f>
        <v>519.038542780333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374.49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519.038542780333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454.038542780333</v>
      </c>
      <c r="B177" s="355" t="n">
        <f aca="false">IF(A105="YES", B89, 0)</f>
        <v>65</v>
      </c>
      <c r="C177" s="357"/>
      <c r="D177" s="355" t="n">
        <f aca="false">B91</f>
        <v>519.038542780333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454.038542780333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519.038542780333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454.038542780333</v>
      </c>
      <c r="B186" s="103" t="n">
        <f aca="false">IF(A105="YES", B89, 0)</f>
        <v>65</v>
      </c>
      <c r="C186" s="353"/>
      <c r="D186" s="103" t="n">
        <f aca="false">B91</f>
        <v>519.038542780333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220.5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374.49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220.5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10419.49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220.5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10419.49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137.301255336773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38765.506823095</v>
      </c>
      <c r="C85" s="473"/>
      <c r="D85" s="473"/>
      <c r="E85" s="466" t="n">
        <f aca="false">B85/(B58+B57)</f>
        <v>1107.58590923129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39039.1640919148</v>
      </c>
      <c r="C87" s="473"/>
      <c r="D87" s="475"/>
      <c r="E87" s="466" t="n">
        <f aca="false">E86+E85</f>
        <v>1115.40468834042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1482.35294117647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1133.50482623279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2615.85776740926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1133.50482623279</v>
      </c>
      <c r="B128" s="321" t="n">
        <f aca="false">IF(A105="YES", B89, 0)</f>
        <v>1482.35294117647</v>
      </c>
      <c r="C128" s="325"/>
      <c r="D128" s="321" t="n">
        <f aca="false">B91</f>
        <v>2615.85776740926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1133.50482623279</v>
      </c>
      <c r="C131" s="317"/>
      <c r="D131" s="38" t="n">
        <f aca="false">IF(A105="YES", B89*B57, 0)</f>
        <v>1482.35294117647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2615.85776740926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1133.50482623279</v>
      </c>
      <c r="B137" s="38" t="n">
        <f aca="false">IF(A105="YES", B89, 0)</f>
        <v>1482.35294117647</v>
      </c>
      <c r="C137" s="317"/>
      <c r="D137" s="38" t="n">
        <f aca="false">B91</f>
        <v>2615.85776740926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1671.8025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2615.85776740926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1133.50482623279</v>
      </c>
      <c r="B177" s="355" t="n">
        <f aca="false">IF(A105="YES", B89, 0)</f>
        <v>1482.35294117647</v>
      </c>
      <c r="C177" s="357"/>
      <c r="D177" s="355" t="n">
        <f aca="false">B91</f>
        <v>2615.85776740926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1133.50482623279</v>
      </c>
      <c r="C180" s="353"/>
      <c r="D180" s="103" t="n">
        <f aca="false">IF(A105="YES", B89*B57, 0)</f>
        <v>1482.35294117647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2615.85776740926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1133.50482623279</v>
      </c>
      <c r="B186" s="103" t="n">
        <f aca="false">IF(A105="YES", B89, 0)</f>
        <v>1482.35294117647</v>
      </c>
      <c r="C186" s="353"/>
      <c r="D186" s="103" t="n">
        <f aca="false">B91</f>
        <v>2615.85776740926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1671.8025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16908.1791666667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16908.1791666667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45300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1581.94063864512</v>
      </c>
      <c r="E33" s="216"/>
      <c r="F33" s="63"/>
      <c r="G33" s="219" t="s">
        <v>356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581.94063864512</v>
      </c>
      <c r="B36" s="103" t="n">
        <f aca="false">IF(B26="YES", H42, "")</f>
        <v>1000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18375</v>
      </c>
      <c r="I39" s="238" t="n">
        <f aca="false">(I48*H46)+H44</f>
        <v>12630.1541977071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1000</v>
      </c>
      <c r="C40" s="107"/>
      <c r="D40" s="184" t="n">
        <f aca="false">I32</f>
        <v>35000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5744.84580229291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1000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581.94063864512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1581.94063864512</v>
      </c>
      <c r="I48" s="238" t="n">
        <f aca="false">I49-H42</f>
        <v>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1581.94063864512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431.8125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581.94063864512</v>
      </c>
      <c r="C83" s="473"/>
      <c r="D83" s="215"/>
      <c r="E83" s="466" t="n">
        <f aca="false">B83+E80+E77+E64</f>
        <v>916.639051343532</v>
      </c>
      <c r="F83" s="63"/>
      <c r="G83" s="305" t="s">
        <v>104</v>
      </c>
      <c r="H83" s="306" t="n">
        <f aca="false">H47</f>
        <v>581.94063864512</v>
      </c>
      <c r="I83" s="215"/>
      <c r="J83" s="215"/>
      <c r="K83" s="216"/>
      <c r="L83" s="63"/>
      <c r="M83" s="305" t="s">
        <v>104</v>
      </c>
      <c r="N83" s="306" t="n">
        <f aca="false">H47</f>
        <v>581.94063864512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32304.5890192458</v>
      </c>
      <c r="C85" s="473"/>
      <c r="D85" s="473"/>
      <c r="E85" s="466" t="n">
        <f aca="false">B85/(B58+B57)</f>
        <v>922.988257692738</v>
      </c>
      <c r="F85" s="63"/>
      <c r="G85" s="288" t="s">
        <v>114</v>
      </c>
      <c r="H85" s="131" t="n">
        <f aca="false">((H83*H29)+H81)*1.2</f>
        <v>25698.506823095</v>
      </c>
      <c r="I85" s="215"/>
      <c r="J85" s="215"/>
      <c r="K85" s="216"/>
      <c r="L85" s="63"/>
      <c r="M85" s="288" t="s">
        <v>114</v>
      </c>
      <c r="N85" s="131" t="n">
        <f aca="false">((N83*H29)+N81)</f>
        <v>21085.4223525792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273.657268819751</v>
      </c>
      <c r="C86" s="473" t="s">
        <v>230</v>
      </c>
      <c r="D86" s="215"/>
      <c r="E86" s="466" t="n">
        <f aca="false">B86/(B58+B57)</f>
        <v>7.81877910913574</v>
      </c>
      <c r="F86" s="63"/>
      <c r="G86" s="214" t="s">
        <v>115</v>
      </c>
      <c r="H86" s="300" t="n">
        <f aca="false">((((H83*H29)+H81))/(1-H70))*H70</f>
        <v>181.413420493813</v>
      </c>
      <c r="I86" s="215"/>
      <c r="J86" s="215"/>
      <c r="K86" s="216"/>
      <c r="L86" s="63"/>
      <c r="M86" s="214" t="s">
        <v>115</v>
      </c>
      <c r="N86" s="300" t="n">
        <f aca="false">(N85/(1-N70))*N70</f>
        <v>178.6179384446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32578.2462880656</v>
      </c>
      <c r="C87" s="473"/>
      <c r="D87" s="475"/>
      <c r="E87" s="466" t="n">
        <f aca="false">E86+E85</f>
        <v>930.807036801874</v>
      </c>
      <c r="F87" s="63"/>
      <c r="G87" s="285" t="s">
        <v>116</v>
      </c>
      <c r="H87" s="133" t="n">
        <f aca="false">IF(H110="YES",((H85+H86)-K114),(H85+H86))</f>
        <v>25879.9202435888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21264.0402910238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1235.29411764706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943.477832001929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646.998006089721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531.601007275595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2178.77194964899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1906.99800608972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1581.60100727559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400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1239.988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646.998006089721</v>
      </c>
      <c r="H127" s="177" t="n">
        <f aca="false">IF(G105="YES", H89*H57, 0)</f>
        <v>7560</v>
      </c>
      <c r="I127" s="177"/>
      <c r="J127" s="334" t="n">
        <f aca="false">H91</f>
        <v>1906.99800608972</v>
      </c>
      <c r="K127" s="216"/>
      <c r="L127" s="63"/>
      <c r="M127" s="333" t="n">
        <f aca="false">N90</f>
        <v>531.601007275595</v>
      </c>
      <c r="N127" s="177" t="n">
        <f aca="false">IF(M105="YES", N89*N57, 0)</f>
        <v>6300</v>
      </c>
      <c r="O127" s="177"/>
      <c r="P127" s="177" t="n">
        <f aca="false">N91</f>
        <v>1581.60100727559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943.477832001929</v>
      </c>
      <c r="B128" s="321" t="n">
        <f aca="false">IF(A105="YES", B89, 0)</f>
        <v>1235.29411764706</v>
      </c>
      <c r="C128" s="325"/>
      <c r="D128" s="321" t="n">
        <f aca="false">B91</f>
        <v>2178.77194964899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943.477832001929</v>
      </c>
      <c r="C131" s="317"/>
      <c r="D131" s="38" t="n">
        <f aca="false">IF(A105="YES", B89*B57, 0)</f>
        <v>1235.29411764706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3881.98803653832</v>
      </c>
      <c r="H133" s="103" t="n">
        <f aca="false">IF(G105="YES", H89*H57, 0)</f>
        <v>7560</v>
      </c>
      <c r="I133" s="221"/>
      <c r="J133" s="184" t="n">
        <f aca="false">H91*H57</f>
        <v>11441.9880365383</v>
      </c>
      <c r="K133" s="216"/>
      <c r="L133" s="63"/>
      <c r="M133" s="185" t="n">
        <f aca="false">N90*N57</f>
        <v>3189.60604365357</v>
      </c>
      <c r="N133" s="103" t="n">
        <f aca="false">IF(M105="YES", N89*N57, 0)</f>
        <v>6300</v>
      </c>
      <c r="O133" s="221"/>
      <c r="P133" s="184" t="n">
        <f aca="false">N91*N57</f>
        <v>9489.60604365357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2178.77194964899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943.477832001929</v>
      </c>
      <c r="B137" s="38" t="n">
        <f aca="false">IF(A105="YES", B89, 0)</f>
        <v>1235.29411764706</v>
      </c>
      <c r="C137" s="317"/>
      <c r="D137" s="38" t="n">
        <f aca="false">B91</f>
        <v>2178.77194964899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700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700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700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1631.8025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1906.99800608972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1581.60100727559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2178.77194964899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943.477832001929</v>
      </c>
      <c r="B177" s="355" t="n">
        <f aca="false">IF(A105="YES", B89, 0)</f>
        <v>1235.29411764706</v>
      </c>
      <c r="C177" s="357"/>
      <c r="D177" s="355" t="n">
        <f aca="false">B91</f>
        <v>2178.77194964899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943.477832001929</v>
      </c>
      <c r="C180" s="353"/>
      <c r="D180" s="103" t="n">
        <f aca="false">IF(A105="YES", B89*B57, 0)</f>
        <v>1235.29411764706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2178.77194964899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943.477832001929</v>
      </c>
      <c r="B186" s="103" t="n">
        <f aca="false">IF(A105="YES", B89, 0)</f>
        <v>1235.29411764706</v>
      </c>
      <c r="C186" s="353"/>
      <c r="D186" s="103" t="n">
        <f aca="false">B91</f>
        <v>2178.77194964899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700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1631.8025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431.8125</v>
      </c>
      <c r="C211" s="320" t="s">
        <v>217</v>
      </c>
      <c r="D211" s="370" t="n">
        <f aca="false">B225+E221+B221+B223</f>
        <v>7339.99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16908.1775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431.8125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16908.1775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7000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273.657268819751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19.95</v>
      </c>
      <c r="E32" s="226"/>
      <c r="F32" s="63"/>
      <c r="G32" s="227" t="s">
        <v>243</v>
      </c>
      <c r="H32" s="225" t="n">
        <f aca="false">A41</f>
        <v>19.95</v>
      </c>
      <c r="I32" s="0"/>
      <c r="J32" s="44" t="s">
        <v>37</v>
      </c>
      <c r="K32" s="45" t="s">
        <v>389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519.95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19.95</v>
      </c>
      <c r="B41" s="241" t="n">
        <f aca="false">IF(B38="YES", D38+A41, D38)</f>
        <v>519.95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19.95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520.313636363636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520.313636363636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50662.7161294116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464.859375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43616.8815528445</v>
      </c>
      <c r="C88" s="93" t="n">
        <f aca="false">B81-B86</f>
        <v>43616.8815528445</v>
      </c>
      <c r="D88" s="93"/>
      <c r="E88" s="113"/>
      <c r="F88" s="31" t="s">
        <v>112</v>
      </c>
      <c r="G88" s="33" t="n">
        <f aca="false">G81-G86</f>
        <v>42985.3652134499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1599.46968018048</v>
      </c>
      <c r="C89" s="93" t="n">
        <f aca="false">(B88/B87)</f>
        <v>1599.46968018048</v>
      </c>
      <c r="D89" s="93"/>
      <c r="E89" s="113"/>
      <c r="F89" s="31" t="s">
        <v>113</v>
      </c>
      <c r="G89" s="33" t="n">
        <f aca="false">(G88/G87)</f>
        <v>1476.46773143572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51183.0297657753</v>
      </c>
      <c r="C90" s="93"/>
      <c r="D90" s="93"/>
      <c r="E90" s="113"/>
      <c r="F90" s="31" t="s">
        <v>114</v>
      </c>
      <c r="G90" s="33" t="n">
        <f aca="false">((G89*(G85))+G77)</f>
        <v>47246.9674059431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51183.0297657753</v>
      </c>
      <c r="C92" s="93"/>
      <c r="D92" s="93"/>
      <c r="E92" s="113"/>
      <c r="F92" s="56" t="s">
        <v>116</v>
      </c>
      <c r="G92" s="65" t="n">
        <f aca="false">(G90+G91)</f>
        <v>47246.9674059431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29.62575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1599.46968018048</v>
      </c>
      <c r="C95" s="93"/>
      <c r="D95" s="93"/>
      <c r="E95" s="113"/>
      <c r="F95" s="95" t="s">
        <v>118</v>
      </c>
      <c r="G95" s="96" t="n">
        <f aca="false">G92/(G85)</f>
        <v>1476.46773143572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1629.09543018048</v>
      </c>
      <c r="C96" s="93"/>
      <c r="D96" s="93"/>
      <c r="E96" s="113"/>
      <c r="F96" s="97" t="s">
        <v>119</v>
      </c>
      <c r="G96" s="98" t="n">
        <f aca="false">G94+G95</f>
        <v>1476.46773143572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396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1599.46968018048</v>
      </c>
      <c r="B167" s="177" t="n">
        <f aca="false">B94</f>
        <v>29.62575</v>
      </c>
      <c r="C167" s="174"/>
      <c r="D167" s="174"/>
      <c r="E167" s="177" t="n">
        <f aca="false">B96</f>
        <v>1629.09543018048</v>
      </c>
      <c r="F167" s="23"/>
      <c r="G167" s="23" t="n">
        <f aca="false">ROUND(G95, 2)</f>
        <v>1476.47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7598.02976577526</v>
      </c>
      <c r="B182" s="103" t="str">
        <f aca="false">B114</f>
        <v>239.99</v>
      </c>
      <c r="C182" s="103"/>
      <c r="D182" s="23"/>
      <c r="E182" s="103" t="n">
        <f aca="false">E179+A182+B182+A185</f>
        <v>57433.0197657753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9239.99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387.3828125</v>
      </c>
      <c r="C188" s="93"/>
      <c r="D188" s="93"/>
      <c r="E188" s="103" t="n">
        <f aca="false">IF(E105 = "YES" , (H36*A108)*0.1 , 0)</f>
        <v>13.167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500.541479166667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1629.09543018048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3662.04</v>
      </c>
      <c r="B201" s="186" t="n">
        <f aca="false">E179+A201+B182+A185</f>
        <v>53497.03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1599.46968018048</v>
      </c>
      <c r="B212" s="177" t="n">
        <f aca="false">B167</f>
        <v>29.62575</v>
      </c>
      <c r="C212" s="174"/>
      <c r="D212" s="174"/>
      <c r="E212" s="177" t="n">
        <f aca="false">E167</f>
        <v>1629.09543018048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7598.02976577526</v>
      </c>
      <c r="B224" s="103" t="str">
        <f aca="false">B182</f>
        <v>239.99</v>
      </c>
      <c r="C224" s="103"/>
      <c r="D224" s="113"/>
      <c r="E224" s="103" t="n">
        <f aca="false">E182</f>
        <v>57433.0197657753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1599.46968018048</v>
      </c>
      <c r="B230" s="103" t="n">
        <f aca="false">B167</f>
        <v>29.62575</v>
      </c>
      <c r="C230" s="186"/>
      <c r="D230" s="186"/>
      <c r="E230" s="103" t="n">
        <f aca="false">E167</f>
        <v>1629.09543018048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387.3828125</v>
      </c>
      <c r="C240" s="93"/>
      <c r="D240" s="93"/>
      <c r="E240" s="103" t="n">
        <f aca="false">IF(E105 = "YES" , (H36*A108)*0.1 , 0)</f>
        <v>13.167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500.541479166667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3945.98976577526</v>
      </c>
      <c r="C254" s="197"/>
      <c r="D254" s="198" t="s">
        <v>216</v>
      </c>
      <c r="E254" s="198"/>
      <c r="F254" s="200" t="n">
        <f aca="false">F261+F267+F269+B270+B271</f>
        <v>464.859375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231.661666666667</v>
      </c>
      <c r="C255" s="197"/>
      <c r="D255" s="198" t="s">
        <v>218</v>
      </c>
      <c r="E255" s="198"/>
      <c r="F255" s="200" t="n">
        <f aca="false">(B254-F254)+B255</f>
        <v>3712.79205744193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3945.98976577526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464.859375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131.67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3712.79205744193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20858.4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21005.645663574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1750.4704719645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1750.4704719645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1750.4704719645</v>
      </c>
      <c r="B134" s="321" t="n">
        <f aca="false">IF(A111="YES", B95, 0)</f>
        <v>0</v>
      </c>
      <c r="C134" s="326"/>
      <c r="D134" s="321" t="n">
        <f aca="false">B97</f>
        <v>1750.4704719645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1750.4704719645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1750.4704719645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1750.4704719645</v>
      </c>
      <c r="B143" s="38" t="n">
        <f aca="false">IF(A111="YES", B95, 0)</f>
        <v>0</v>
      </c>
      <c r="C143" s="317"/>
      <c r="D143" s="38" t="n">
        <f aca="false">B97</f>
        <v>1750.4704719645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1750.4704719645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1750.4704719645</v>
      </c>
      <c r="B177" s="355" t="n">
        <f aca="false">IF(A111="YES", B95, 0)</f>
        <v>0</v>
      </c>
      <c r="C177" s="358"/>
      <c r="D177" s="355" t="n">
        <f aca="false">B91</f>
        <v>20858.4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1750.4704719645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1750.4704719645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1750.4704719645</v>
      </c>
      <c r="B186" s="103" t="n">
        <f aca="false">IF(A111="YES", B95, 0)</f>
        <v>0</v>
      </c>
      <c r="C186" s="353"/>
      <c r="D186" s="103" t="n">
        <f aca="false">B97</f>
        <v>1750.4704719645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9761.14166666667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9761.14166666667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n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400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215" t="n">
        <v>10000.0</v>
      </c>
      <c r="D70" s="291" t="n">
        <f aca="false">B70-A149</f>
        <v>10000</v>
      </c>
      <c r="E70" s="216" t="n">
        <f aca="false">D70/12</f>
        <v>833.333333333333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11370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947.5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17382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147.245663574022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17529.245663574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6.912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1553.56778759764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1560.47978759764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400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6300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2539.988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1553.56778759764</v>
      </c>
      <c r="B134" s="321" t="n">
        <f aca="false">IF(A111="YES", B95, 0)</f>
        <v>6.912</v>
      </c>
      <c r="C134" s="326"/>
      <c r="D134" s="321" t="n">
        <f aca="false">B97</f>
        <v>1560.47978759764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Spread rentals initial payment </v>
      </c>
      <c r="B137" s="38" t="n">
        <f aca="false">B96*B63</f>
        <v>1553.56778759764</v>
      </c>
      <c r="C137" s="317"/>
      <c r="D137" s="38" t="n">
        <f aca="false">IF(A111="YES", B95*B63, 0)</f>
        <v>6.912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1560.47978759764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1553.56778759764</v>
      </c>
      <c r="B143" s="38" t="n">
        <f aca="false">IF(A111="YES", B95, 0)</f>
        <v>6.912</v>
      </c>
      <c r="C143" s="317"/>
      <c r="D143" s="38" t="n">
        <f aca="false">B97</f>
        <v>1560.47978759764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1560.47978759764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1553.56778759764</v>
      </c>
      <c r="B177" s="355" t="n">
        <f aca="false">IF(A111="YES", B95, 0)</f>
        <v>6.912</v>
      </c>
      <c r="C177" s="358"/>
      <c r="D177" s="355" t="n">
        <f aca="false">B91</f>
        <v>17382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Spread rentals initial payment </v>
      </c>
      <c r="B180" s="103" t="n">
        <f aca="false">B96*B63</f>
        <v>1553.56778759764</v>
      </c>
      <c r="C180" s="353"/>
      <c r="D180" s="103" t="n">
        <f aca="false">IF(A111="YES", B95*B63, 0)</f>
        <v>6.912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1560.47978759764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1553.56778759764</v>
      </c>
      <c r="B186" s="103" t="n">
        <f aca="false">IF(A111="YES", B95, 0)</f>
        <v>6.912</v>
      </c>
      <c r="C186" s="353"/>
      <c r="D186" s="103" t="n">
        <f aca="false">B97</f>
        <v>1560.47978759764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9773.812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9773.812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147.245663574022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</v>
      </c>
      <c r="E32" s="226"/>
      <c r="F32" s="63"/>
      <c r="G32" s="227" t="s">
        <v>243</v>
      </c>
      <c r="H32" s="225" t="n">
        <f aca="false">A41</f>
        <v>14.24</v>
      </c>
      <c r="I32" s="0"/>
      <c r="J32" s="44" t="s">
        <v>37</v>
      </c>
      <c r="K32" s="263" t="s">
        <v>406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514.24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371.58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400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</v>
      </c>
      <c r="B41" s="241" t="n">
        <f aca="false">IF(B38="YES", D38+A41, D38)</f>
        <v>514.24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61930.7885608448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464.390625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93" t="n">
        <f aca="false">(B82/((1+B84)^(B85+1)))</f>
        <v>4320.61844715549</v>
      </c>
      <c r="D86" s="93"/>
      <c r="E86" s="113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93" t="n">
        <f aca="false">((1-(1/((1+B84)^B85)))/B84)</f>
        <v>27.2695894728826</v>
      </c>
      <c r="D87" s="93"/>
      <c r="E87" s="113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53214.3815528445</v>
      </c>
      <c r="C88" s="93" t="n">
        <f aca="false">B81-B86</f>
        <v>53214.3815528445</v>
      </c>
      <c r="D88" s="93"/>
      <c r="E88" s="113"/>
      <c r="F88" s="31" t="s">
        <v>112</v>
      </c>
      <c r="G88" s="33" t="n">
        <f aca="false">G81-G86</f>
        <v>52582.8652134499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1951.41850616276</v>
      </c>
      <c r="C89" s="93" t="n">
        <f aca="false">(B88/B87)</f>
        <v>1951.41850616276</v>
      </c>
      <c r="D89" s="93"/>
      <c r="E89" s="113"/>
      <c r="F89" s="31" t="s">
        <v>113</v>
      </c>
      <c r="G89" s="33" t="n">
        <f aca="false">(G88/G87)</f>
        <v>1806.12409196888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62445.3921972085</v>
      </c>
      <c r="C90" s="93"/>
      <c r="D90" s="93"/>
      <c r="E90" s="113"/>
      <c r="F90" s="31" t="s">
        <v>114</v>
      </c>
      <c r="G90" s="33" t="n">
        <f aca="false">((G89*(G85))+G77)</f>
        <v>57795.9709430041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62445.3921972085</v>
      </c>
      <c r="C92" s="93"/>
      <c r="D92" s="93"/>
      <c r="E92" s="113"/>
      <c r="F92" s="56" t="s">
        <v>116</v>
      </c>
      <c r="G92" s="65" t="n">
        <f aca="false">(G90+G91)</f>
        <v>57795.9709430041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17.622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1951.41850616276</v>
      </c>
      <c r="C95" s="93"/>
      <c r="D95" s="93"/>
      <c r="E95" s="113"/>
      <c r="F95" s="95" t="s">
        <v>118</v>
      </c>
      <c r="G95" s="96" t="n">
        <f aca="false">G92/(G85)</f>
        <v>1806.12409196888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1969.04050616276</v>
      </c>
      <c r="C96" s="93"/>
      <c r="D96" s="93"/>
      <c r="E96" s="113"/>
      <c r="F96" s="97" t="s">
        <v>119</v>
      </c>
      <c r="G96" s="98" t="n">
        <f aca="false">G94+G95</f>
        <v>1806.12409196888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0.12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49535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1951.41850616276</v>
      </c>
      <c r="B167" s="177" t="n">
        <f aca="false">B94</f>
        <v>17.622</v>
      </c>
      <c r="C167" s="174"/>
      <c r="D167" s="174"/>
      <c r="E167" s="177" t="n">
        <f aca="false">B96</f>
        <v>1969.04050616276</v>
      </c>
      <c r="F167" s="23"/>
      <c r="G167" s="23" t="n">
        <f aca="false">ROUND(G95, 2)</f>
        <v>1806.12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0</v>
      </c>
      <c r="C179" s="103"/>
      <c r="D179" s="23"/>
      <c r="E179" s="103" t="n">
        <f aca="false">A176-A179-B179</f>
        <v>49535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18910.3921972085</v>
      </c>
      <c r="B182" s="103" t="str">
        <f aca="false">B114</f>
        <v>199.99</v>
      </c>
      <c r="C182" s="103"/>
      <c r="D182" s="23"/>
      <c r="E182" s="103" t="n">
        <f aca="false">E179+A182+(B182*1.2)+A185</f>
        <v>68695.3801972085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386.9921875</v>
      </c>
      <c r="C188" s="93"/>
      <c r="D188" s="93"/>
      <c r="E188" s="103" t="n">
        <f aca="false">IF(E105 ="YES" , (H36*A108)*0.1 , 0)</f>
        <v>9.3984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496.3805875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1969.04050616276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14260.84</v>
      </c>
      <c r="B201" s="186" t="n">
        <f aca="false">E179+A201+(B182*1.2)+A185</f>
        <v>64045.828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1951.41850616276</v>
      </c>
      <c r="B212" s="177" t="n">
        <f aca="false">B167</f>
        <v>17.622</v>
      </c>
      <c r="C212" s="174"/>
      <c r="D212" s="174"/>
      <c r="E212" s="177" t="n">
        <f aca="false">E167</f>
        <v>1969.04050616276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0</v>
      </c>
      <c r="C221" s="103"/>
      <c r="D221" s="113"/>
      <c r="E221" s="103" t="n">
        <f aca="false">E179</f>
        <v>49535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18910.3921972085</v>
      </c>
      <c r="B224" s="103" t="str">
        <f aca="false">B182</f>
        <v>199.99</v>
      </c>
      <c r="C224" s="103"/>
      <c r="D224" s="113"/>
      <c r="E224" s="103" t="n">
        <f aca="false">E182</f>
        <v>68695.3801972085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1951.41850616276</v>
      </c>
      <c r="B230" s="103" t="n">
        <f aca="false">B167</f>
        <v>17.622</v>
      </c>
      <c r="C230" s="186"/>
      <c r="D230" s="186"/>
      <c r="E230" s="103" t="n">
        <f aca="false">E167</f>
        <v>1969.04050616276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386.9921875</v>
      </c>
      <c r="C240" s="93"/>
      <c r="D240" s="93"/>
      <c r="E240" s="103" t="n">
        <f aca="false">IF(E105 = "YES" , (H36*A108)*0.1 , 0)</f>
        <v>9.3984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496.3805875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4659.55219720846</v>
      </c>
      <c r="C254" s="197"/>
      <c r="D254" s="198" t="s">
        <v>216</v>
      </c>
      <c r="E254" s="198"/>
      <c r="F254" s="200" t="n">
        <f aca="false">F261+F267+F269+B270+B271</f>
        <v>464.390625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193.974</v>
      </c>
      <c r="C255" s="197"/>
      <c r="D255" s="198" t="s">
        <v>218</v>
      </c>
      <c r="E255" s="198"/>
      <c r="F255" s="200" t="n">
        <f aca="false">(B254-F254)+B255</f>
        <v>4389.13557220846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4659.55219720846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464.390625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93.984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4389.13557220846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1476.75857252986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133.976285714286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27518.5871858192</v>
      </c>
      <c r="N39" s="1" t="n">
        <f aca="false">K39-L39</f>
        <v>21368.9128141808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21368.9128141808</v>
      </c>
      <c r="N40" s="1" t="n">
        <f aca="false">N38-N39</f>
        <v>-18457.2328141808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1342.78228681558</v>
      </c>
      <c r="L47" s="2" t="n">
        <f aca="false">L49-K42</f>
        <v>666.023714285714</v>
      </c>
      <c r="M47" s="1" t="n">
        <f aca="false">K47-L47</f>
        <v>676.758572529863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1476.75857252986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1476.75857252986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16927.6043699493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495.637814583333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1476.75857252986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1476.75857252986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60741.996</v>
      </c>
      <c r="C81" s="93"/>
      <c r="D81" s="93"/>
      <c r="E81" s="113"/>
      <c r="F81" s="25" t="s">
        <v>105</v>
      </c>
      <c r="G81" s="27" t="n">
        <f aca="false">G158</f>
        <v>60741.996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6776.7763115859</v>
      </c>
      <c r="C86" s="93"/>
      <c r="D86" s="93"/>
      <c r="E86" s="113"/>
      <c r="F86" s="31" t="s">
        <v>110</v>
      </c>
      <c r="G86" s="33" t="n">
        <f aca="false">(G82/((1+G84)^(G85+1)))</f>
        <v>7831.77841232101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53965.2196884141</v>
      </c>
      <c r="C88" s="93"/>
      <c r="D88" s="93"/>
      <c r="E88" s="113"/>
      <c r="F88" s="31" t="s">
        <v>112</v>
      </c>
      <c r="G88" s="33" t="n">
        <f aca="false">G81-G86</f>
        <v>52910.217587679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1880.14660024984</v>
      </c>
      <c r="C89" s="93"/>
      <c r="D89" s="93"/>
      <c r="E89" s="113"/>
      <c r="F89" s="31" t="s">
        <v>113</v>
      </c>
      <c r="G89" s="33" t="n">
        <f aca="false">(G88/G87)</f>
        <v>1720.12185375502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63924.9844084945</v>
      </c>
      <c r="C90" s="93"/>
      <c r="D90" s="93"/>
      <c r="E90" s="113"/>
      <c r="F90" s="31" t="s">
        <v>114</v>
      </c>
      <c r="G90" s="33" t="n">
        <f aca="false">((G89*(G85))+G77)</f>
        <v>58484.1430276705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63924.9844084945</v>
      </c>
      <c r="C92" s="93"/>
      <c r="D92" s="93"/>
      <c r="E92" s="113"/>
      <c r="F92" s="56" t="s">
        <v>116</v>
      </c>
      <c r="G92" s="65" t="n">
        <f aca="false">(G90+G91)</f>
        <v>58484.1430276705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165.500117647059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1880.14660024984</v>
      </c>
      <c r="C95" s="93"/>
      <c r="D95" s="93"/>
      <c r="E95" s="113"/>
      <c r="F95" s="95" t="s">
        <v>118</v>
      </c>
      <c r="G95" s="96" t="n">
        <f aca="false">G92/(G85)</f>
        <v>1720.12185375502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2045.6467178969</v>
      </c>
      <c r="C96" s="93"/>
      <c r="D96" s="93"/>
      <c r="E96" s="113"/>
      <c r="F96" s="97" t="s">
        <v>119</v>
      </c>
      <c r="G96" s="98" t="n">
        <f aca="false">G94+G95</f>
        <v>1885.62197140207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1541.34788129735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1574.44790482676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9000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-42488.4716666667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9000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1880.14660024984</v>
      </c>
      <c r="B167" s="177" t="n">
        <f aca="false">B94</f>
        <v>165.500117647059</v>
      </c>
      <c r="C167" s="174"/>
      <c r="D167" s="174"/>
      <c r="E167" s="177" t="n">
        <f aca="false">B96</f>
        <v>2045.6467178969</v>
      </c>
      <c r="F167" s="23"/>
      <c r="G167" s="23" t="n">
        <f aca="false">ROUND(G95, 2)</f>
        <v>1720.12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1375.84776365029</v>
      </c>
      <c r="T167" s="177" t="n">
        <f aca="false">T94</f>
        <v>165.500117647059</v>
      </c>
      <c r="U167" s="174"/>
      <c r="V167" s="174"/>
      <c r="W167" s="177" t="n">
        <f aca="false">T96</f>
        <v>1541.34788129735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198.600141176471</v>
      </c>
      <c r="AD167" s="174"/>
      <c r="AE167" s="174"/>
      <c r="AF167" s="177" t="n">
        <f aca="false">AC96</f>
        <v>1574.44790482676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5000</v>
      </c>
      <c r="C176" s="103"/>
      <c r="D176" s="23"/>
      <c r="E176" s="103" t="n">
        <f aca="false">E111</f>
        <v>4000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9000</v>
      </c>
      <c r="B179" s="103" t="n">
        <f aca="false">G154</f>
        <v>500</v>
      </c>
      <c r="C179" s="103"/>
      <c r="D179" s="23"/>
      <c r="E179" s="103" t="n">
        <f aca="false">A176-A179-B179</f>
        <v>60741.996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12782.9884084945</v>
      </c>
      <c r="B182" s="103" t="str">
        <f aca="false">B114</f>
        <v>199.99</v>
      </c>
      <c r="C182" s="103"/>
      <c r="D182" s="23"/>
      <c r="E182" s="103" t="n">
        <f aca="false">E179+A182+(B182*1.2)+A185</f>
        <v>73774.9724084945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9239.988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495.637814583333</v>
      </c>
      <c r="C188" s="93"/>
      <c r="D188" s="93"/>
      <c r="E188" s="103" t="n">
        <f aca="false">(E40*A108)*0.1*(C45/100)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689.411214583333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1564.78576163194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2045.6467178969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1541.34788129735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1574.44790482676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7342.08399999999</v>
      </c>
      <c r="B201" s="186" t="n">
        <f aca="false">E179+A201+(B182*1.2)+A185</f>
        <v>68334.068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1880.14660024984</v>
      </c>
      <c r="B212" s="177" t="n">
        <f aca="false">B167</f>
        <v>165.500117647059</v>
      </c>
      <c r="C212" s="174"/>
      <c r="D212" s="174"/>
      <c r="E212" s="177" t="n">
        <f aca="false">E167</f>
        <v>2045.6467178969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4000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9000</v>
      </c>
      <c r="B221" s="103" t="n">
        <f aca="false">B179</f>
        <v>500</v>
      </c>
      <c r="C221" s="103"/>
      <c r="D221" s="113"/>
      <c r="E221" s="103" t="n">
        <f aca="false">E179</f>
        <v>60741.996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12782.9884084945</v>
      </c>
      <c r="B224" s="103" t="str">
        <f aca="false">B182</f>
        <v>199.99</v>
      </c>
      <c r="C224" s="103"/>
      <c r="D224" s="113"/>
      <c r="E224" s="103" t="n">
        <f aca="false">E182</f>
        <v>73774.9724084945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9239.988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1880.14660024984</v>
      </c>
      <c r="B230" s="103" t="n">
        <f aca="false">B167</f>
        <v>165.500117647059</v>
      </c>
      <c r="C230" s="186"/>
      <c r="D230" s="186"/>
      <c r="E230" s="103" t="n">
        <f aca="false">E167</f>
        <v>2045.6467178969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495.637814583333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10445.2412145833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5450.90440849448</v>
      </c>
      <c r="C254" s="197"/>
      <c r="D254" s="198" t="s">
        <v>216</v>
      </c>
      <c r="E254" s="198"/>
      <c r="F254" s="200" t="n">
        <f aca="false">F261+F267+F269+B270+B271</f>
        <v>594.7653775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1037.824</v>
      </c>
      <c r="C255" s="197"/>
      <c r="D255" s="198" t="s">
        <v>218</v>
      </c>
      <c r="E255" s="198"/>
      <c r="F255" s="200" t="n">
        <f aca="false">(B254-F254)+B255</f>
        <v>5893.96303099448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5450.90440849448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594.7653775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5893.96303099448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1546.86467489522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n">
        <f aca="false">IF(B26="YES", K42, "0.00")</f>
        <v>133.976285714286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25134.0507524561</v>
      </c>
      <c r="N39" s="1" t="n">
        <f aca="false">K39-L39</f>
        <v>23753.4492475439</v>
      </c>
      <c r="P39" s="212"/>
    </row>
    <row r="40" customFormat="false" ht="17.35" hidden="false" customHeight="false" outlineLevel="0" collapsed="false">
      <c r="A40" s="313" t="n">
        <f aca="false">E36*A45/100</f>
        <v>5760</v>
      </c>
      <c r="B40" s="107" t="n">
        <f aca="false">IF(B26="YES", K42, "0.00")</f>
        <v>133.976285714286</v>
      </c>
      <c r="C40" s="107"/>
      <c r="D40" s="107"/>
      <c r="E40" s="182" t="n">
        <f aca="false">K32</f>
        <v>4689.17</v>
      </c>
      <c r="F40" s="186"/>
      <c r="G40" s="186"/>
      <c r="H40" s="47"/>
      <c r="J40" s="2" t="s">
        <v>106</v>
      </c>
      <c r="K40" s="2" t="n">
        <f aca="false">(A40)/1.2</f>
        <v>4800</v>
      </c>
      <c r="L40" s="2" t="n">
        <f aca="false">K39-L39</f>
        <v>23753.4492475439</v>
      </c>
      <c r="N40" s="1" t="n">
        <f aca="false">N38-N39</f>
        <v>-20841.7692475439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133.976285714286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1412.88838918093</v>
      </c>
      <c r="L47" s="2" t="n">
        <f aca="false">L49-K42</f>
        <v>666.023714285714</v>
      </c>
      <c r="M47" s="1" t="n">
        <f aca="false">K47-L47</f>
        <v>746.864674895218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1546.86467489522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1546.86467489522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12452.049792366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462.998925694444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1546.86467489522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1546.86467489522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56741.996</v>
      </c>
      <c r="C81" s="93"/>
      <c r="D81" s="93"/>
      <c r="E81" s="113"/>
      <c r="F81" s="25" t="s">
        <v>105</v>
      </c>
      <c r="G81" s="27" t="n">
        <f aca="false">G158</f>
        <v>56741.996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93"/>
      <c r="D82" s="93"/>
      <c r="E82" s="113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93"/>
      <c r="D86" s="93"/>
      <c r="E86" s="113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52616.7823272869</v>
      </c>
      <c r="C88" s="93"/>
      <c r="D88" s="93"/>
      <c r="E88" s="113"/>
      <c r="F88" s="31" t="s">
        <v>112</v>
      </c>
      <c r="G88" s="33" t="n">
        <f aca="false">G81-G86</f>
        <v>51974.2876981277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1820.6806886382</v>
      </c>
      <c r="C89" s="93"/>
      <c r="D89" s="93"/>
      <c r="E89" s="113"/>
      <c r="F89" s="31" t="s">
        <v>113</v>
      </c>
      <c r="G89" s="33" t="n">
        <f aca="false">(G88/G87)</f>
        <v>1677.8621805437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61903.1434136987</v>
      </c>
      <c r="C90" s="93"/>
      <c r="D90" s="93"/>
      <c r="E90" s="113"/>
      <c r="F90" s="31" t="s">
        <v>114</v>
      </c>
      <c r="G90" s="33" t="n">
        <f aca="false">((G89*(G85))+G77)</f>
        <v>57047.3141384857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61903.1434136987</v>
      </c>
      <c r="C92" s="93"/>
      <c r="D92" s="93"/>
      <c r="E92" s="113"/>
      <c r="F92" s="56" t="s">
        <v>116</v>
      </c>
      <c r="G92" s="65" t="n">
        <f aca="false">(G90+G91)</f>
        <v>57047.3141384857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198.600141176471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165.500117647059</v>
      </c>
      <c r="H94" s="33"/>
      <c r="J94" s="88" t="s">
        <v>117</v>
      </c>
      <c r="K94" s="89" t="n">
        <f aca="false">((E40/K85)*(1+J108))*1.2</f>
        <v>209.003005714286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165.500117647059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198.600141176471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1820.6806886382</v>
      </c>
      <c r="C95" s="93"/>
      <c r="D95" s="93"/>
      <c r="E95" s="113"/>
      <c r="F95" s="95" t="s">
        <v>118</v>
      </c>
      <c r="G95" s="96" t="n">
        <f aca="false">G92/(G85)</f>
        <v>1677.8621805437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2019.28082981467</v>
      </c>
      <c r="C96" s="93"/>
      <c r="D96" s="93"/>
      <c r="E96" s="113"/>
      <c r="F96" s="97" t="s">
        <v>119</v>
      </c>
      <c r="G96" s="98" t="n">
        <f aca="false">G94+G95</f>
        <v>1843.36229819076</v>
      </c>
      <c r="H96" s="33"/>
      <c r="J96" s="97" t="s">
        <v>119</v>
      </c>
      <c r="K96" s="98" t="n">
        <f aca="false">(K94+K95)</f>
        <v>1715.28619279198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2126.35135425766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1667.31727551536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8000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13000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-39155.1383333333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13000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1820.6806886382</v>
      </c>
      <c r="B167" s="177" t="n">
        <f aca="false">B94</f>
        <v>198.600141176471</v>
      </c>
      <c r="C167" s="174"/>
      <c r="D167" s="174"/>
      <c r="E167" s="177" t="n">
        <f aca="false">B96</f>
        <v>2019.28082981467</v>
      </c>
      <c r="F167" s="23"/>
      <c r="G167" s="23" t="n">
        <f aca="false">ROUND(G95, 2)</f>
        <v>1677.86</v>
      </c>
      <c r="H167" s="33"/>
      <c r="J167" s="176" t="n">
        <f aca="false">K95</f>
        <v>1506.2831870777</v>
      </c>
      <c r="K167" s="177" t="n">
        <f aca="false">K94</f>
        <v>209.003005714286</v>
      </c>
      <c r="L167" s="174"/>
      <c r="M167" s="174"/>
      <c r="N167" s="177" t="n">
        <f aca="false">K96</f>
        <v>1715.28619279198</v>
      </c>
      <c r="O167" s="23"/>
      <c r="P167" s="23"/>
      <c r="Q167" s="33"/>
      <c r="S167" s="176" t="n">
        <f aca="false">T95</f>
        <v>1960.8512366106</v>
      </c>
      <c r="T167" s="177" t="n">
        <f aca="false">T94</f>
        <v>165.500117647059</v>
      </c>
      <c r="U167" s="174"/>
      <c r="V167" s="174"/>
      <c r="W167" s="177" t="n">
        <f aca="false">T96</f>
        <v>2126.35135425766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198.600141176471</v>
      </c>
      <c r="AD167" s="174"/>
      <c r="AE167" s="174"/>
      <c r="AF167" s="177" t="n">
        <f aca="false">AC96</f>
        <v>1667.31727551536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5000</v>
      </c>
      <c r="C176" s="103"/>
      <c r="D176" s="23"/>
      <c r="E176" s="103" t="n">
        <f aca="false">E111</f>
        <v>8000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13000</v>
      </c>
      <c r="B179" s="103" t="n">
        <f aca="false">G154</f>
        <v>500</v>
      </c>
      <c r="C179" s="103"/>
      <c r="D179" s="23"/>
      <c r="E179" s="103" t="n">
        <f aca="false">A176-A179-B179</f>
        <v>56741.996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10921.1474136987</v>
      </c>
      <c r="B182" s="103" t="str">
        <f aca="false">B114</f>
        <v>239.99</v>
      </c>
      <c r="C182" s="103"/>
      <c r="D182" s="23"/>
      <c r="E182" s="103" t="n">
        <f aca="false">E179+A182+B182+A185</f>
        <v>67913.1334136987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13239.99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462.998925694444</v>
      </c>
      <c r="C188" s="93"/>
      <c r="D188" s="93"/>
      <c r="E188" s="103" t="n">
        <f aca="false">(E40*A108)*0.1*C45/100</f>
        <v>93.7834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140.6751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93.7834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93.7834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656.773992361111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3601.41596805556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1678.33391424132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1604.78576163194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2019.28082981467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1715.28619279198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2126.35135425766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1667.31727551536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6065.244</v>
      </c>
      <c r="B201" s="186" t="n">
        <f aca="false">E179+A201+B182+A185</f>
        <v>63057.23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1820.6806886382</v>
      </c>
      <c r="B212" s="177" t="n">
        <f aca="false">B167</f>
        <v>198.600141176471</v>
      </c>
      <c r="C212" s="174"/>
      <c r="D212" s="174"/>
      <c r="E212" s="177" t="n">
        <f aca="false">E167</f>
        <v>2019.28082981467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5000</v>
      </c>
      <c r="C218" s="103"/>
      <c r="D218" s="113"/>
      <c r="E218" s="103" t="n">
        <f aca="false">E176</f>
        <v>8000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13000</v>
      </c>
      <c r="B221" s="103" t="n">
        <f aca="false">B179</f>
        <v>500</v>
      </c>
      <c r="C221" s="103"/>
      <c r="D221" s="113"/>
      <c r="E221" s="103" t="n">
        <f aca="false">E179</f>
        <v>56741.996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10921.1474136987</v>
      </c>
      <c r="B224" s="103" t="str">
        <f aca="false">B182</f>
        <v>239.99</v>
      </c>
      <c r="C224" s="103"/>
      <c r="D224" s="113"/>
      <c r="E224" s="103" t="n">
        <f aca="false">E182</f>
        <v>67913.1334136987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13239.99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1820.6806886382</v>
      </c>
      <c r="B230" s="103" t="n">
        <f aca="false">B167</f>
        <v>198.600141176471</v>
      </c>
      <c r="C230" s="186"/>
      <c r="D230" s="186"/>
      <c r="E230" s="103" t="n">
        <f aca="false">E167</f>
        <v>2019.28082981467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462.998925694444</v>
      </c>
      <c r="C240" s="93"/>
      <c r="D240" s="93"/>
      <c r="E240" s="103" t="n">
        <f aca="false">E188</f>
        <v>93.7834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10412.6039923611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4865.90341369865</v>
      </c>
      <c r="C254" s="197"/>
      <c r="D254" s="198" t="s">
        <v>216</v>
      </c>
      <c r="E254" s="198"/>
      <c r="F254" s="200" t="n">
        <f aca="false">F261+F267+F269+B270+B271</f>
        <v>555.598710833333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1037.82566666667</v>
      </c>
      <c r="C255" s="197"/>
      <c r="D255" s="198" t="s">
        <v>218</v>
      </c>
      <c r="E255" s="198"/>
      <c r="F255" s="200" t="n">
        <f aca="false">(B254-F254)+B255</f>
        <v>5348.13036953199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4865.90341369865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555.598710833333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937.834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5348.13036953199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383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1536.67734506445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1536.67734506445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24807.4161256803</v>
      </c>
      <c r="N39" s="1" t="n">
        <f aca="false">K39-L39</f>
        <v>22080.0838743197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22080.0838743197</v>
      </c>
      <c r="N40" s="1" t="n">
        <f aca="false">N38-N39</f>
        <v>-19168.4038743197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46058.1079275914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1536.67734506445</v>
      </c>
      <c r="L47" s="2" t="n">
        <f aca="false">L49-K42</f>
        <v>800</v>
      </c>
      <c r="M47" s="1" t="n">
        <f aca="false">K47-L47</f>
        <v>736.677345064454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1536.67734506445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1536.67734506445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17174.824779152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-2570.07871661424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13618.0892785195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-2400.23027184609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472.363055555556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4103.578125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543.290625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427.589833958333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1536.67734506445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1536.67734506445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1536.67734506445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1536.67734506445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57889.6</v>
      </c>
      <c r="C81" s="93"/>
      <c r="D81" s="93"/>
      <c r="E81" s="113"/>
      <c r="F81" s="25" t="s">
        <v>105</v>
      </c>
      <c r="G81" s="27" t="n">
        <f aca="false">G158</f>
        <v>57889.6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56990.43749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57020.3788114429</v>
      </c>
      <c r="C88" s="93"/>
      <c r="D88" s="93"/>
      <c r="E88" s="113"/>
      <c r="F88" s="31" t="s">
        <v>112</v>
      </c>
      <c r="G88" s="33" t="n">
        <f aca="false">G81-G86</f>
        <v>56885.4964875385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56054.9271036088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42733.2386136088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2087.01564283553</v>
      </c>
      <c r="C89" s="93"/>
      <c r="D89" s="93"/>
      <c r="E89" s="113"/>
      <c r="F89" s="31" t="s">
        <v>113</v>
      </c>
      <c r="G89" s="33" t="n">
        <f aca="false">(G88/G87)</f>
        <v>1945.56580946547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1982.40577516987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1511.27872957088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70958.5318564079</v>
      </c>
      <c r="C90" s="93"/>
      <c r="D90" s="93"/>
      <c r="E90" s="113"/>
      <c r="F90" s="31" t="s">
        <v>114</v>
      </c>
      <c r="G90" s="33" t="n">
        <f aca="false">((G89*(G85))+G77)</f>
        <v>66149.237521826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67401.7963557754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51383.4768054098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70958.5318564079</v>
      </c>
      <c r="C92" s="93"/>
      <c r="D92" s="93"/>
      <c r="E92" s="113"/>
      <c r="F92" s="56" t="s">
        <v>116</v>
      </c>
      <c r="G92" s="65" t="n">
        <f aca="false">(G90+G91)</f>
        <v>66149.237521826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67401.7963557754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51383.4768054098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2087.01564283553</v>
      </c>
      <c r="C95" s="93"/>
      <c r="D95" s="93"/>
      <c r="E95" s="113"/>
      <c r="F95" s="95" t="s">
        <v>118</v>
      </c>
      <c r="G95" s="96" t="n">
        <f aca="false">G92/(G85)</f>
        <v>1945.56580946547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1982.40577516987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1511.27872957088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2087.01564283553</v>
      </c>
      <c r="C96" s="93"/>
      <c r="D96" s="93"/>
      <c r="E96" s="113"/>
      <c r="F96" s="97" t="s">
        <v>119</v>
      </c>
      <c r="G96" s="98" t="n">
        <f aca="false">G94+G95</f>
        <v>1945.56580946547</v>
      </c>
      <c r="H96" s="33"/>
      <c r="J96" s="97" t="s">
        <v>119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1982.40577516987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1511.27872957088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112.135425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48399.67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44742.034575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49233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45575.364575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9956.6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9225.072915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60389.6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55990.43749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60389.6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55990.43749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-45286.75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-144.562510000003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57889.6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56990.43749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2087.01564283553</v>
      </c>
      <c r="B167" s="177" t="str">
        <f aca="false">B94</f>
        <v>0</v>
      </c>
      <c r="C167" s="174"/>
      <c r="D167" s="174"/>
      <c r="E167" s="177" t="n">
        <f aca="false">B96</f>
        <v>2087.01564283553</v>
      </c>
      <c r="F167" s="23"/>
      <c r="G167" s="23" t="n">
        <f aca="false">ROUND(G95, 2)</f>
        <v>1945.57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1982.40577516987</v>
      </c>
      <c r="T167" s="177" t="n">
        <f aca="false">T94</f>
        <v>0</v>
      </c>
      <c r="U167" s="174"/>
      <c r="V167" s="174"/>
      <c r="W167" s="177" t="n">
        <f aca="false">T96</f>
        <v>1982.40577516987</v>
      </c>
      <c r="X167" s="23"/>
      <c r="Y167" s="23"/>
      <c r="Z167" s="33"/>
      <c r="AB167" s="176" t="n">
        <f aca="false">AC95</f>
        <v>1511.27872957088</v>
      </c>
      <c r="AC167" s="177" t="n">
        <f aca="false">AC94</f>
        <v>0</v>
      </c>
      <c r="AD167" s="174"/>
      <c r="AE167" s="174"/>
      <c r="AF167" s="177" t="n">
        <f aca="false">AC96</f>
        <v>1511.27872957088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49783</v>
      </c>
      <c r="B173" s="103" t="n">
        <f aca="false">H137</f>
        <v>9956.6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46125.364575</v>
      </c>
      <c r="T173" s="103" t="n">
        <f aca="false">Z137</f>
        <v>9225.072915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60389.6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55990.43749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57889.6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56990.43749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14436.9318564079</v>
      </c>
      <c r="B182" s="103" t="str">
        <f aca="false">B114</f>
        <v>199.99</v>
      </c>
      <c r="C182" s="103"/>
      <c r="D182" s="23"/>
      <c r="E182" s="103" t="n">
        <f aca="false">E179+A182+(B182*1.2)+A185</f>
        <v>72576.5198564079</v>
      </c>
      <c r="F182" s="23"/>
      <c r="G182" s="23"/>
      <c r="H182" s="105"/>
      <c r="J182" s="111" t="n">
        <f aca="false">(J167*K59)+N185-N179-J185</f>
        <v>14926.6283606416</v>
      </c>
      <c r="K182" s="103" t="n">
        <f aca="false">K114</f>
        <v>239.99</v>
      </c>
      <c r="L182" s="103"/>
      <c r="M182" s="23"/>
      <c r="N182" s="103" t="n">
        <f aca="false">N179+J182+K182+J185</f>
        <v>52841.6183606416</v>
      </c>
      <c r="O182" s="23"/>
      <c r="P182" s="23"/>
      <c r="Q182" s="105"/>
      <c r="S182" s="111" t="n">
        <f aca="false">(S167*T59)+W185-W179-S185</f>
        <v>11779.3588657754</v>
      </c>
      <c r="T182" s="103" t="n">
        <f aca="false">T114</f>
        <v>199.99</v>
      </c>
      <c r="U182" s="103"/>
      <c r="V182" s="23"/>
      <c r="W182" s="103" t="n">
        <f aca="false">W179+S182+T182+S185</f>
        <v>68979.7863557754</v>
      </c>
      <c r="X182" s="23"/>
      <c r="Y182" s="23"/>
      <c r="Z182" s="105"/>
      <c r="AB182" s="111" t="n">
        <f aca="false">(AB167*AC59)+AF185-AF179-AB185</f>
        <v>9082.72780540979</v>
      </c>
      <c r="AC182" s="103" t="n">
        <f aca="false">AC114</f>
        <v>239.99</v>
      </c>
      <c r="AD182" s="103"/>
      <c r="AE182" s="23"/>
      <c r="AF182" s="103" t="n">
        <f aca="false">AF179+AB182+AC182+AB185</f>
        <v>53001.4668054098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472.363055555556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465.02613924132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356.324861631944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572.353055555556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1565.01613924132</v>
      </c>
      <c r="U191" s="93"/>
      <c r="V191" s="93"/>
      <c r="W191" s="103" t="n">
        <f aca="false">Z148</f>
        <v>-144.562510000003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1496.31486163194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2087.01564283553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1982.40577516987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1511.27872957088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9627.78000000001</v>
      </c>
      <c r="B201" s="186" t="n">
        <f aca="false">E179+A201+(B182*1.2)+A185</f>
        <v>67767.368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2087.01564283553</v>
      </c>
      <c r="B212" s="177" t="str">
        <f aca="false">B167</f>
        <v>0</v>
      </c>
      <c r="C212" s="174"/>
      <c r="D212" s="174"/>
      <c r="E212" s="177" t="n">
        <f aca="false">E167</f>
        <v>2087.01564283553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49783</v>
      </c>
      <c r="B215" s="103" t="n">
        <f aca="false">B173</f>
        <v>9956.6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60389.6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57889.6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14436.9318564079</v>
      </c>
      <c r="B224" s="103" t="str">
        <f aca="false">B182</f>
        <v>199.99</v>
      </c>
      <c r="C224" s="103"/>
      <c r="D224" s="113"/>
      <c r="E224" s="103" t="n">
        <f aca="false">E182</f>
        <v>72576.5198564079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2087.01564283553</v>
      </c>
      <c r="B230" s="103" t="str">
        <f aca="false">B167</f>
        <v>0</v>
      </c>
      <c r="C230" s="186"/>
      <c r="D230" s="186"/>
      <c r="E230" s="103" t="n">
        <f aca="false">E167</f>
        <v>2087.01564283553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33.291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33.291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472.363055555556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4117.85305555555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4819.15185640792</v>
      </c>
      <c r="C254" s="197"/>
      <c r="D254" s="198" t="s">
        <v>216</v>
      </c>
      <c r="E254" s="198"/>
      <c r="F254" s="200" t="n">
        <f aca="false">F261+F267+F269+B270+B271</f>
        <v>566.835666666667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4352.30618974125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4819.15185640792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566.835666666667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4352.30618974125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55895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1055.2102017996</v>
      </c>
      <c r="E33" s="216"/>
      <c r="F33" s="63"/>
      <c r="G33" s="219" t="s">
        <v>356</v>
      </c>
      <c r="H33" s="460" t="n">
        <f aca="false">E21-E11+((E16*20%)+(E19*20%)+(E20*20%))</f>
        <v>46687.5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1026.59909068849</v>
      </c>
      <c r="B36" s="103" t="n">
        <f aca="false">IF(B26="YES", H42, "")</f>
        <v>28.6111111111111</v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46687.5</v>
      </c>
      <c r="I39" s="238" t="n">
        <f aca="false">(I48*H46)+H44</f>
        <v>57854.0225427032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(A40)/1.2</f>
        <v>16666.6666666667</v>
      </c>
      <c r="I40" s="238" t="n">
        <f aca="false">H39-I39</f>
        <v>-11166.5225427032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33247.9149566616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1026.59909068849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1055.2102017996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1055.2102017996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215" t="n">
        <v>10000</v>
      </c>
      <c r="D64" s="291" t="n">
        <f aca="false">B64-A143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5825.925</v>
      </c>
      <c r="I64" s="215"/>
      <c r="J64" s="291" t="n">
        <f aca="false">H64-G145</f>
        <v>5825.925</v>
      </c>
      <c r="K64" s="216"/>
      <c r="L64" s="63"/>
      <c r="M64" s="285" t="s">
        <v>90</v>
      </c>
      <c r="N64" s="133" t="n">
        <f aca="false">N61*N63</f>
        <v>5825.925</v>
      </c>
      <c r="O64" s="215"/>
      <c r="P64" s="291" t="n">
        <f aca="false">N64-M145</f>
        <v>5825.925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1109.7</v>
      </c>
      <c r="C67" s="215"/>
      <c r="D67" s="291"/>
      <c r="E67" s="216"/>
      <c r="F67" s="63"/>
      <c r="G67" s="285" t="s">
        <v>93</v>
      </c>
      <c r="H67" s="133" t="n">
        <f aca="false">(H61*H66)/1.2</f>
        <v>924.75</v>
      </c>
      <c r="I67" s="215"/>
      <c r="J67" s="291"/>
      <c r="K67" s="216"/>
      <c r="L67" s="63"/>
      <c r="M67" s="285" t="s">
        <v>93</v>
      </c>
      <c r="N67" s="133" t="n">
        <f aca="false">(N61*N66)/1.2</f>
        <v>924.75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291" t="n">
        <f aca="false">B73+B71</f>
        <v>380</v>
      </c>
      <c r="E73" s="216"/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215"/>
      <c r="D81" s="215"/>
      <c r="E81" s="466"/>
      <c r="F81" s="63"/>
      <c r="G81" s="303" t="s">
        <v>102</v>
      </c>
      <c r="H81" s="304" t="n">
        <f aca="false">SUM(J64:J80)</f>
        <v>6891.675</v>
      </c>
      <c r="I81" s="215"/>
      <c r="J81" s="215"/>
      <c r="K81" s="216"/>
      <c r="L81" s="63"/>
      <c r="M81" s="303" t="s">
        <v>102</v>
      </c>
      <c r="N81" s="304" t="n">
        <f aca="false">SUM(P64:P80)</f>
        <v>6547.925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215"/>
      <c r="D82" s="215"/>
      <c r="E82" s="466"/>
      <c r="F82" s="63"/>
      <c r="G82" s="214" t="s">
        <v>103</v>
      </c>
      <c r="H82" s="300" t="n">
        <f aca="false">H81/H29</f>
        <v>191.435416666667</v>
      </c>
      <c r="I82" s="215"/>
      <c r="J82" s="215"/>
      <c r="K82" s="216"/>
      <c r="L82" s="63"/>
      <c r="M82" s="214" t="s">
        <v>103</v>
      </c>
      <c r="N82" s="300" t="n">
        <f aca="false">N81/H29</f>
        <v>181.886805555556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1026.59909068849</v>
      </c>
      <c r="C83" s="215"/>
      <c r="D83" s="215"/>
      <c r="E83" s="466" t="n">
        <f aca="false">B83+E80+E77+E64</f>
        <v>1368.48180673787</v>
      </c>
      <c r="F83" s="63"/>
      <c r="G83" s="305" t="s">
        <v>104</v>
      </c>
      <c r="H83" s="306" t="n">
        <f aca="false">H47</f>
        <v>1026.59909068849</v>
      </c>
      <c r="I83" s="215"/>
      <c r="J83" s="215"/>
      <c r="K83" s="216"/>
      <c r="L83" s="63"/>
      <c r="M83" s="305" t="s">
        <v>104</v>
      </c>
      <c r="N83" s="306" t="n">
        <f aca="false">H47</f>
        <v>1026.59909068849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59385.0807177425</v>
      </c>
      <c r="C85" s="215"/>
      <c r="D85" s="215"/>
      <c r="E85" s="466" t="n">
        <f aca="false">B85/(B58+B57)</f>
        <v>1649.58557549285</v>
      </c>
      <c r="F85" s="63"/>
      <c r="G85" s="288" t="s">
        <v>114</v>
      </c>
      <c r="H85" s="131" t="n">
        <f aca="false">((H83*H29)+H81)*1.2</f>
        <v>52619.0907177426</v>
      </c>
      <c r="I85" s="215"/>
      <c r="J85" s="215"/>
      <c r="K85" s="216"/>
      <c r="L85" s="63"/>
      <c r="M85" s="288" t="s">
        <v>114</v>
      </c>
      <c r="N85" s="131" t="n">
        <f aca="false">((N83*H29)+N81)</f>
        <v>43505.4922647855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419.216987721055</v>
      </c>
      <c r="C86" s="215"/>
      <c r="D86" s="215"/>
      <c r="E86" s="466" t="n">
        <f aca="false">B86/(B58+B57)</f>
        <v>11.6449163255849</v>
      </c>
      <c r="F86" s="63"/>
      <c r="G86" s="214" t="s">
        <v>115</v>
      </c>
      <c r="H86" s="300" t="n">
        <f aca="false">((((H83*H29)+H81))/(1-H70))*H70</f>
        <v>371.45384734187</v>
      </c>
      <c r="I86" s="215"/>
      <c r="J86" s="215"/>
      <c r="K86" s="216"/>
      <c r="L86" s="63"/>
      <c r="M86" s="214" t="s">
        <v>115</v>
      </c>
      <c r="N86" s="300" t="n">
        <f aca="false">(N85/(1-N70))*N70</f>
        <v>368.541886873939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59804.2977054636</v>
      </c>
      <c r="C87" s="215"/>
      <c r="D87" s="215"/>
      <c r="E87" s="466" t="n">
        <f aca="false">E86+E85</f>
        <v>1661.23049181843</v>
      </c>
      <c r="F87" s="63"/>
      <c r="G87" s="285" t="s">
        <v>116</v>
      </c>
      <c r="H87" s="133" t="n">
        <f aca="false">IF(H110="YES",((H85+H86)-K114),(H85+H86))</f>
        <v>52990.5445650844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43874.0341516594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42.3771428571429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1694.40850587039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1292.45230646547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1070.09839394291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1736.78564872753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1328.62791622157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1100.24473540633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381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5000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1292.45230646547</v>
      </c>
      <c r="H127" s="177" t="n">
        <f aca="false">IF(G105="YES", H89*H57, 0)</f>
        <v>217.053658536585</v>
      </c>
      <c r="I127" s="177"/>
      <c r="J127" s="334" t="n">
        <f aca="false">H91</f>
        <v>1328.62791622157</v>
      </c>
      <c r="K127" s="216"/>
      <c r="L127" s="63"/>
      <c r="M127" s="333" t="n">
        <f aca="false">N90</f>
        <v>1070.09839394291</v>
      </c>
      <c r="N127" s="177" t="n">
        <f aca="false">IF(M105="YES", N89*N57, 0)</f>
        <v>180.878048780488</v>
      </c>
      <c r="O127" s="177"/>
      <c r="P127" s="177" t="n">
        <f aca="false">N91</f>
        <v>1100.24473540633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1694.40850587039</v>
      </c>
      <c r="B128" s="321" t="n">
        <f aca="false">IF(A105="YES", B89, 0)</f>
        <v>42.3771428571429</v>
      </c>
      <c r="C128" s="325"/>
      <c r="D128" s="321" t="n">
        <f aca="false">B91</f>
        <v>1736.78564872753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1694.40850587039</v>
      </c>
      <c r="C131" s="317"/>
      <c r="D131" s="38" t="n">
        <f aca="false">IF(A105="YES", B89*B57, 0)</f>
        <v>42.3771428571429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7754.71383879284</v>
      </c>
      <c r="H133" s="103" t="n">
        <f aca="false">IF(G105="YES", H89*H57, 0)</f>
        <v>217.053658536585</v>
      </c>
      <c r="I133" s="221"/>
      <c r="J133" s="184" t="n">
        <f aca="false">H91*H57</f>
        <v>7971.76749732943</v>
      </c>
      <c r="K133" s="216"/>
      <c r="L133" s="63"/>
      <c r="M133" s="185" t="n">
        <f aca="false">N90*N57</f>
        <v>6420.59036365747</v>
      </c>
      <c r="N133" s="103" t="n">
        <f aca="false">IF(M105="YES", N89*N57, 0)</f>
        <v>180.878048780488</v>
      </c>
      <c r="O133" s="221"/>
      <c r="P133" s="184" t="n">
        <f aca="false">N91*N57</f>
        <v>6601.46841243796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1736.78564872753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1694.40850587039</v>
      </c>
      <c r="B137" s="38" t="n">
        <f aca="false">IF(A105="YES", B89, 0)</f>
        <v>42.3771428571429</v>
      </c>
      <c r="C137" s="317"/>
      <c r="D137" s="38" t="n">
        <f aca="false">B91</f>
        <v>1736.78564872753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924.75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924.75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1045.34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1045.34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1109.7</v>
      </c>
      <c r="B148" s="38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1630.29166666667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1328.62791622157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1100.24473540633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1736.78564872753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1694.40850587039</v>
      </c>
      <c r="B177" s="355" t="n">
        <f aca="false">IF(A105="YES", B89, 0)</f>
        <v>42.3771428571429</v>
      </c>
      <c r="C177" s="357"/>
      <c r="D177" s="355" t="n">
        <f aca="false">B91</f>
        <v>1736.78564872753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1694.40850587039</v>
      </c>
      <c r="C180" s="353"/>
      <c r="D180" s="103" t="n">
        <f aca="false">IF(A105="YES", B89*B57, 0)</f>
        <v>42.3771428571429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1736.78564872753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1694.40850587039</v>
      </c>
      <c r="B186" s="103" t="n">
        <f aca="false">IF(A105="YES", B89, 0)</f>
        <v>42.3771428571429</v>
      </c>
      <c r="C186" s="353"/>
      <c r="D186" s="103" t="n">
        <f aca="false">B91</f>
        <v>1736.78564872753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1109.7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1630.29166666667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1109.7</v>
      </c>
      <c r="C211" s="320" t="s">
        <v>217</v>
      </c>
      <c r="D211" s="370" t="n">
        <f aca="false">B225+E221+B221+B223</f>
        <v>545.991666666667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9436.29166666667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1109.7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9436.29166666667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419.216987721055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404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1271.26205816104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1137.28577244676</v>
      </c>
      <c r="B36" s="103" t="n">
        <f aca="false">IF(B26="YES", H42, "")</f>
        <v>133.976285714286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52952.4501413037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133.976285714286</v>
      </c>
      <c r="C40" s="107"/>
      <c r="D40" s="184" t="n">
        <f aca="false">I32</f>
        <v>4689.17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-4064.95014130365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133.976285714286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12977.2633178476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35910.2366821524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1137.28577244676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1271.26205816104</v>
      </c>
      <c r="I48" s="238" t="n">
        <f aca="false">I49-H42</f>
        <v>1266.02371428571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1271.26205816104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11815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337.571428571429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1137.28577244676</v>
      </c>
      <c r="C83" s="473"/>
      <c r="D83" s="215"/>
      <c r="E83" s="466" t="n">
        <f aca="false">B83+E80+E77+E64</f>
        <v>1474.85720101819</v>
      </c>
      <c r="F83" s="63"/>
      <c r="G83" s="305" t="s">
        <v>104</v>
      </c>
      <c r="H83" s="306" t="n">
        <f aca="false">H47</f>
        <v>1137.28577244676</v>
      </c>
      <c r="I83" s="215"/>
      <c r="J83" s="215"/>
      <c r="K83" s="216"/>
      <c r="L83" s="63"/>
      <c r="M83" s="305" t="s">
        <v>104</v>
      </c>
      <c r="N83" s="306" t="n">
        <f aca="false">H47</f>
        <v>1137.28577244676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51620.0020356366</v>
      </c>
      <c r="C85" s="473"/>
      <c r="D85" s="473"/>
      <c r="E85" s="466" t="n">
        <f aca="false">B85/(B58+B57)</f>
        <v>1474.85720101819</v>
      </c>
      <c r="F85" s="63"/>
      <c r="G85" s="288" t="s">
        <v>114</v>
      </c>
      <c r="H85" s="131" t="n">
        <f aca="false">((H83*H29)+H81)*1.2</f>
        <v>56215.2136927639</v>
      </c>
      <c r="I85" s="215"/>
      <c r="J85" s="215"/>
      <c r="K85" s="216"/>
      <c r="L85" s="63"/>
      <c r="M85" s="288" t="s">
        <v>114</v>
      </c>
      <c r="N85" s="131" t="n">
        <f aca="false">((N83*H29)+N81)</f>
        <v>46516.0114106366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437.281179002972</v>
      </c>
      <c r="C86" s="473" t="s">
        <v>230</v>
      </c>
      <c r="D86" s="215"/>
      <c r="E86" s="466" t="n">
        <f aca="false">B86/(B58+B57)</f>
        <v>12.4937479715135</v>
      </c>
      <c r="F86" s="63"/>
      <c r="G86" s="214" t="s">
        <v>115</v>
      </c>
      <c r="H86" s="300" t="n">
        <f aca="false">((((H83*H29)+H81))/(1-H70))*H70</f>
        <v>396.839951441455</v>
      </c>
      <c r="I86" s="215"/>
      <c r="J86" s="215"/>
      <c r="K86" s="216"/>
      <c r="L86" s="63"/>
      <c r="M86" s="214" t="s">
        <v>115</v>
      </c>
      <c r="N86" s="300" t="n">
        <f aca="false">(N85/(1-N70))*N70</f>
        <v>394.044469392242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52057.2832146395</v>
      </c>
      <c r="C87" s="473"/>
      <c r="D87" s="475"/>
      <c r="E87" s="466" t="n">
        <f aca="false">E86+E85</f>
        <v>1487.3509489897</v>
      </c>
      <c r="F87" s="63"/>
      <c r="G87" s="285" t="s">
        <v>116</v>
      </c>
      <c r="H87" s="133" t="n">
        <f aca="false">IF(H110="YES",((H85+H86)-K114),(H85+H86))</f>
        <v>56612.0536442053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46910.0558800288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165.500117647059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168.81012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140.6751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1516.39068278352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1415.30134110513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1172.75139700072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1681.89080043057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1584.11146110513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1313.42649700072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400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1415.30134110513</v>
      </c>
      <c r="H127" s="177" t="n">
        <f aca="false">IF(G105="YES", H89*H57, 0)</f>
        <v>1012.86072</v>
      </c>
      <c r="I127" s="177"/>
      <c r="J127" s="334" t="n">
        <f aca="false">H91</f>
        <v>1584.11146110513</v>
      </c>
      <c r="K127" s="216"/>
      <c r="L127" s="63"/>
      <c r="M127" s="333" t="n">
        <f aca="false">N90</f>
        <v>1172.75139700072</v>
      </c>
      <c r="N127" s="177" t="n">
        <f aca="false">IF(M105="YES", N89*N57, 0)</f>
        <v>844.0506</v>
      </c>
      <c r="O127" s="177"/>
      <c r="P127" s="177" t="n">
        <f aca="false">N91</f>
        <v>1313.42649700072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1516.39068278352</v>
      </c>
      <c r="B128" s="321" t="n">
        <f aca="false">IF(A105="YES", B89, 0)</f>
        <v>165.500117647059</v>
      </c>
      <c r="C128" s="325"/>
      <c r="D128" s="321" t="n">
        <f aca="false">B91</f>
        <v>1681.89080043057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1516.39068278352</v>
      </c>
      <c r="C131" s="317"/>
      <c r="D131" s="38" t="n">
        <f aca="false">IF(A105="YES", B89*B57, 0)</f>
        <v>165.500117647059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8491.8080466308</v>
      </c>
      <c r="H133" s="103" t="n">
        <f aca="false">IF(G105="YES", H89*H57, 0)</f>
        <v>1012.86072</v>
      </c>
      <c r="I133" s="221"/>
      <c r="J133" s="184" t="n">
        <f aca="false">H91*H57</f>
        <v>9504.6687666308</v>
      </c>
      <c r="K133" s="216"/>
      <c r="L133" s="63"/>
      <c r="M133" s="185" t="n">
        <f aca="false">N90*N57</f>
        <v>7036.50838200432</v>
      </c>
      <c r="N133" s="103" t="n">
        <f aca="false">IF(M105="YES", N89*N57, 0)</f>
        <v>844.0506</v>
      </c>
      <c r="O133" s="221"/>
      <c r="P133" s="184" t="n">
        <f aca="false">N91*N57</f>
        <v>7880.55898200432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1681.89080043057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1516.39068278352</v>
      </c>
      <c r="B137" s="38" t="n">
        <f aca="false">IF(A105="YES", B89, 0)</f>
        <v>165.500117647059</v>
      </c>
      <c r="C137" s="317"/>
      <c r="D137" s="38" t="n">
        <f aca="false">B91</f>
        <v>1681.89080043057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93.7834</v>
      </c>
      <c r="H142" s="103" t="n">
        <f aca="false">G102-100</f>
        <v>99.99</v>
      </c>
      <c r="I142" s="103"/>
      <c r="J142" s="103" t="n">
        <f aca="false">(H139+J139+G142+H142)-H145</f>
        <v>1138.42444166667</v>
      </c>
      <c r="K142" s="105"/>
      <c r="L142" s="63"/>
      <c r="M142" s="111" t="n">
        <f aca="false">IF(M105="YES", ((B36*N105)*0.1)*(M130), 0)</f>
        <v>93.7834</v>
      </c>
      <c r="N142" s="103" t="n">
        <f aca="false">M102-100</f>
        <v>99.99</v>
      </c>
      <c r="O142" s="103"/>
      <c r="P142" s="103" t="n">
        <f aca="false">(N139+P139+M142+N142)-N145</f>
        <v>1138.42444166667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93.7834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1327.35465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1584.11146110513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1313.42649700072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1681.89080043057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1516.39068278352</v>
      </c>
      <c r="B177" s="355" t="n">
        <f aca="false">IF(A105="YES", B89, 0)</f>
        <v>165.500117647059</v>
      </c>
      <c r="C177" s="357"/>
      <c r="D177" s="355" t="n">
        <f aca="false">B91</f>
        <v>1681.89080043057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1516.39068278352</v>
      </c>
      <c r="C180" s="353"/>
      <c r="D180" s="103" t="n">
        <f aca="false">IF(A105="YES", B89*B57, 0)</f>
        <v>165.500117647059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1681.89080043057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1516.39068278352</v>
      </c>
      <c r="B186" s="103" t="n">
        <f aca="false">IF(A105="YES", B89, 0)</f>
        <v>165.500117647059</v>
      </c>
      <c r="C186" s="353"/>
      <c r="D186" s="103" t="n">
        <f aca="false">B91</f>
        <v>1681.89080043057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93.7834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1327.35465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1037.824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9904.24275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9904.24275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937.834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437.281179002972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383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45300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2024-01-08T13:45:32Z</dcterms:modified>
  <cp:revision>882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