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<sst xmlns="http://schemas.openxmlformats.org/spreadsheetml/2006/main" count="31741" uniqueCount="386">
  <si>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</si>
  <si>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</si>
  <si>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</si>
  <si>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</si>
  <si>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</si>
  <si>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</si>
  <si>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</si>
  <si>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</si>
  <si>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</si>
  <si>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</si>
  <si>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</si>
  <si>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</si>
  <si>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</si>
  <si>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</si>
  <si>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</si>
  <si>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</si>
  <si>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</si>
  <si>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</si>
  <si>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</si>
  <si>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</si>
  <si>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</si>
  <si>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</si>
  <si>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</si>
  <si>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</si>
  <si>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</si>
  <si>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</si>
  <si>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</si>
  <si>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</si>
  <si>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</si>
  <si>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</si>
  <si>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</si>
  <si>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</si>
  <si>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</si>
  <si>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</si>
  <si>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</si>
  <si>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</si>
  <si>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</si>
  <si>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</si>
  <si>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</si>
  <si>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</si>
  <si>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</si>
  <si>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</si>
  <si>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</si>
  <si>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</si>
  <si>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</si>
  <si>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</si>
  <si>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</si>
  <si>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</si>
  <si>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</si>
  <si>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</si>
  <si>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</si>
  <si>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</si>
  <si>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</si>
  <si>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</si>
  <si>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</si>
  <si>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</si>
  <si>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</si>
  <si>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</si>
  <si>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</si>
  <si>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</si>
  <si>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</si>
  <si>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</si>
  <si>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</si>
  <si>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</si>
  <si>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</si>
  <si>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</si>
  <si>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</si>
  <si>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</si>
  <si>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</si>
  <si>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</si>
  <si>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</si>
  <si>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</si>
  <si>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</si>
  <si>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</si>
  <si>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</si>
  <si>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</si>
  <si>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</si>
  <si>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</si>
  <si>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</si>
  <si>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110.00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</si>
  <si>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</si>
  <si>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</si>
  <si>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</si>
  <si>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</si>
  <si>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</si>
  <si>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</si>
  <si>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</si>
  <si>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</si>
  <si>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</si>
  <si>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</si>
  <si>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</si>
  <si>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</si>
  <si>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</si>
  <si>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</si>
  <si>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</si>
  <si>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</si>
  <si>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</si>
  <si>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</si>
  <si>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</si>
  <si>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</si>
  <si>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</si>
  <si>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</si>
  <si>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</si>
  <si>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</si>
  <si>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</si>
  <si>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</si>
  <si>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</si>
  <si>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</si>
  <si>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</si>
  <si>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</si>
  <si>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</si>
  <si>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</si>
  <si>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</si>
  <si>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</si>
  <si>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</si>
  <si>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</si>
  <si>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</si>
  <si>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</si>
  <si>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</si>
  <si>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</si>
  <si>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</si>
  <si>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</si>
  <si>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</si>
  <si>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</si>
  <si>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</si>
  <si>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</si>
  <si>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</si>
  <si>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</si>
  <si>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</si>
  <si>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</si>
  <si>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</si>
  <si>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</si>
  <si>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</si>
  <si>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</si>
  <si>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</si>
  <si>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</si>
  <si>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</si>
  <si>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</si>
  <si>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</si>
  <si>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</si>
  <si>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</si>
  <si>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</si>
  <si>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</si>
  <si>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</si>
  <si>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</si>
  <si>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</si>
  <si>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</si>
  <si>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</si>
  <si>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</si>
  <si>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</si>
  <si>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</si>
  <si>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</si>
  <si>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</si>
  <si>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</si>
  <si>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</si>
  <si>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</si>
  <si>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</si>
  <si>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</si>
  <si>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</si>
  <si>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</si>
  <si>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</si>
  <si>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</si>
  <si>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</si>
  <si>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</si>
  <si>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</si>
  <si>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</si>
  <si>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</si>
  <si>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</si>
  <si>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</si>
  <si>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</si>
  <si>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</si>
  <si>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</si>
  <si>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</si>
  <si>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</si>
  <si>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</si>
  <si>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</si>
  <si>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</si>
  <si>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</si>
  <si>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</si>
  <si>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</si>
  <si>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</si>
  <si>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</si>
  <si>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</si>
  <si>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</si>
  <si>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</si>
  <si>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</si>
  <si>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</si>
  <si>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</si>
  <si>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</si>
  <si>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</si>
  <si>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</si>
  <si>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</si>
  <si>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</si>
  <si>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</si>
  <si>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</si>
  <si>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</si>
  <si>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</si>
  <si>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</si>
  <si>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</si>
  <si>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</si>
  <si>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</si>
  <si>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</si>
  <si>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</si>
  <si>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</si>
  <si>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</si>
  <si>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</si>
  <si>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</si>
  <si>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</si>
  <si>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</si>
  <si>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</si>
  <si>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</si>
  <si>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</si>
  <si>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</si>
  <si>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</si>
  <si>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</si>
  <si>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</si>
  <si>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</si>
  <si>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</si>
  <si>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</si>
  <si>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</si>
  <si>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</si>
  <si>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</si>
  <si>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</si>
  <si>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</si>
  <si>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</si>
  <si>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</si>
  <si>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</si>
  <si>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</si>
  <si>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</si>
  <si>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</si>
  <si>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</si>
  <si>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108.00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</si>
  <si>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</si>
  <si>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</si>
  <si>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</si>
  <si>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</si>
  <si>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</si>
  <si>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</si>
  <si>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</si>
  <si>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</si>
  <si>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</si>
  <si>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20916.67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</si>
  <si>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</si>
  <si>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</si>
  <si>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</si>
  <si>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</si>
  <si>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711.00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</si>
  <si>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</si>
  <si>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</si>
  <si>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</si>
  <si>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</si>
  <si>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</si>
  <si>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</si>
  <si>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</si>
  <si>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</si>
  <si>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</si>
  <si>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</si>
  <si>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</si>
  <si>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</si>
  <si>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</si>
  <si>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</si>
  <si>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</si>
  <si>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</si>
  <si>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</si>
  <si>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</si>
  <si>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</si>
  <si>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</si>
  <si>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</si>
  <si>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</si>
  <si>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</si>
  <si>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</si>
  <si>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</si>
  <si>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</si>
  <si>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</si>
  <si>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</si>
  <si>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</si>
  <si>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</si>
  <si>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</si>
  <si>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</si>
  <si>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</si>
  <si>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</si>
  <si>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</si>
  <si>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</si>
  <si>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</si>
  <si>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</si>
  <si>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</si>
  <si>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</si>
  <si>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</si>
  <si>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</si>
  <si>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</si>
  <si>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</si>
  <si>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</si>
  <si>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</si>
  <si>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</si>
  <si>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</si>
  <si>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</si>
  <si>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</si>
  <si>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</si>
  <si>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</si>
  <si>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</si>
  <si>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</si>
  <si>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</si>
  <si>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</si>
  <si>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</si>
  <si>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</si>
  <si>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</si>
  <si>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</si>
  <si>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</si>
  <si>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</si>
  <si>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</si>
  <si>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</si>
  <si>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</si>
  <si>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</si>
  <si>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</si>
  <si>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</si>
  <si>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</si>
  <si>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</si>
  <si>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</si>
  <si>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</si>
  <si>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</si>
  <si>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</si>
  <si>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</si>
  <si>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</si>
  <si>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</si>
  <si>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</si>
  <si>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</si>
  <si>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</si>
  <si>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</si>
  <si>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</si>
  <si>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</si>
  <si>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</si>
  <si>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</si>
  <si>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</si>
  <si>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</si>
  <si>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</si>
  <si>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</si>
  <si>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</si>
  <si>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</si>
  <si>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</si>
  <si>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</si>
  <si>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</si>
  <si>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</si>
  <si>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</si>
  <si>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</si>
  <si>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</si>
  <si>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</si>
  <si>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</si>
  <si>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</si>
  <si>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</si>
  <si>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</si>
  <si>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9.00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</si>
  <si>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</si>
  <si>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</si>
  <si>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</si>
  <si>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</si>
  <si>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</si>
  <si>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</si>
  <si>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</si>
  <si>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</si>
  <si>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</si>
  <si>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</si>
  <si>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</si>
  <si>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</si>
  <si>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</si>
  <si>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</si>
  <si>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</si>
  <si>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</si>
  <si>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</si>
  <si>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</si>
  <si>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</si>
  <si>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</si>
  <si>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</si>
  <si>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</si>
  <si>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</si>
  <si>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</si>
  <si>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</si>
  <si>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</si>
  <si>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</si>
  <si>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0.00</t>
  </si>
  <si>
    <t xml:space="preserve">OTR Calculation</t>
  </si>
  <si>
    <t xml:space="preserve">370.83</t>
  </si>
  <si>
    <t xml:space="preserve">470.00</t>
  </si>
  <si>
    <t xml:space="preserve">46877.50</t>
  </si>
  <si>
    <t xml:space="preserve">5.28</t>
  </si>
  <si>
    <t xml:space="preserve">Yes</t>
  </si>
  <si>
    <t xml:space="preserve">RFL included?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</si>
</sst>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65" zoomScaleNormal="6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20333.33</v>
      </c>
      <c r="C2" s="4" t="s">
        <v>2</v>
      </c>
      <c r="D2" s="5" t="n">
        <f aca="false">C9</f>
        <v>4066.666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24399.996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20333.33</v>
      </c>
      <c r="C9" s="14" t="n">
        <f aca="false">B9*0.2</f>
        <v>4066.666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20333.33</v>
      </c>
      <c r="C15" s="14" t="n">
        <f aca="false">SUM(C9:C13)</f>
        <v>4066.666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24399.996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20333.33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20333.33</v>
      </c>
      <c r="B37" s="32"/>
      <c r="C37" s="41" t="s">
        <v>45</v>
      </c>
      <c r="D37" s="41"/>
      <c r="E37" s="32"/>
      <c r="F37" s="43" t="n">
        <f aca="false">A37-C37</f>
        <v>19333.33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4066.666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255.5555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244.4445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247.111166666667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247.111166666667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247.111166666667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13654.2172707873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133.75002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247.111166666667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247.111166666667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247.111166666667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19333.33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12911.9787395771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1242.38338825339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13666.2172707873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13666.2172707873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1242.38338825339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1242.38338825339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24399.996</v>
      </c>
      <c r="C130" s="117" t="n">
        <v>22291.67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24399.996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24399.996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24399.996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24399.996</v>
      </c>
      <c r="C134" s="129" t="n">
        <f aca="false">C130-C133</f>
        <v>22291.67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20333.33</v>
      </c>
      <c r="H144" s="150" t="n">
        <f aca="false">C134+E134+G134+H137</f>
        <v>22291.67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4066.666</v>
      </c>
      <c r="H146" s="33" t="n">
        <f aca="false">(H144+H145)*20%</f>
        <v>4458.334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24399.996</v>
      </c>
      <c r="H150" s="154" t="n">
        <f aca="false">(H144+H145+H148+H149+H146)-H147</f>
        <v>26750.004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24399.996</v>
      </c>
      <c r="H156" s="161" t="n">
        <f aca="false">H150-((H153*1.2)+(H154*1.2)+(H155*1.2)+(H151*1.2))</f>
        <v>26750.004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1958.34</v>
      </c>
      <c r="I157" s="1" t="n">
        <f aca="false">(H157-G90)/1.2</f>
        <v>1631.95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26750.004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1242.38338825339</v>
      </c>
      <c r="B176" s="174" t="n">
        <f aca="false">B103</f>
        <v>0</v>
      </c>
      <c r="C176" s="171"/>
      <c r="D176" s="171"/>
      <c r="E176" s="174" t="n">
        <f aca="false">B105</f>
        <v>1242.38338825339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22291.67</v>
      </c>
      <c r="B182" s="99" t="n">
        <f aca="false">H146</f>
        <v>4458.334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26750.004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26750.004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-7083.78672921269</v>
      </c>
      <c r="B191" s="99" t="str">
        <f aca="false">B123</f>
        <v>239.99</v>
      </c>
      <c r="C191" s="99"/>
      <c r="D191" s="23"/>
      <c r="E191" s="99" t="n">
        <f aca="false">E188+A191+B191+A194</f>
        <v>19916.2072707873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111.45835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211.450016666667</v>
      </c>
      <c r="C200" s="130"/>
      <c r="D200" s="130"/>
      <c r="E200" s="99" t="n">
        <f aca="false">H157</f>
        <v>1958.34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1242.38338825339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1242.38338825339</v>
      </c>
      <c r="B221" s="174" t="n">
        <f aca="false">B176</f>
        <v>0</v>
      </c>
      <c r="C221" s="171"/>
      <c r="D221" s="171"/>
      <c r="E221" s="174" t="n">
        <f aca="false">E176</f>
        <v>1242.38338825339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22291.67</v>
      </c>
      <c r="B224" s="99" t="n">
        <f aca="false">B182</f>
        <v>4458.334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26750.004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26750.004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-7083.78672921269</v>
      </c>
      <c r="B233" s="99" t="str">
        <f aca="false">B191</f>
        <v>239.99</v>
      </c>
      <c r="C233" s="99"/>
      <c r="D233" s="109"/>
      <c r="E233" s="99" t="n">
        <f aca="false">E191</f>
        <v>19916.2072707873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1242.38338825339</v>
      </c>
      <c r="B239" s="99" t="n">
        <f aca="false">B176</f>
        <v>0</v>
      </c>
      <c r="C239" s="183"/>
      <c r="D239" s="183"/>
      <c r="E239" s="99" t="n">
        <f aca="false">E176</f>
        <v>1242.38338825339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1958.34</v>
      </c>
      <c r="B249" s="99" t="n">
        <f aca="false">B197</f>
        <v>111.45835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2169.79001666666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133.75002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-33.7583533333333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13666.2172707873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133.75002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-33.7583533333333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3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20916.67</v>
      </c>
      <c r="B37" s="32"/>
      <c r="C37" s="41" t="s">
        <v>45</v>
      </c>
      <c r="D37" s="41"/>
      <c r="E37" s="32"/>
      <c r="F37" s="43" t="n">
        <f aca="false">A37-C37</f>
        <v>19916.67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4183.334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265.277833333333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284.722166666667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287.388833333333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237.388833333333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287.388833333333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0.099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15047.2103774934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137.50002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287.388833333333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287.388833333333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287.388833333333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19916.67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6072.64939684978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10.1123646471031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13844.0206031502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1369.01912522667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15059.2103774934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15059.2103774934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1369.01912522667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1434.47367068121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0.1715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25100.004</v>
      </c>
      <c r="C130" s="117" t="n">
        <v>22916.67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25100.004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25100.004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25100.004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25100.004</v>
      </c>
      <c r="C134" s="129" t="n">
        <f aca="false">C130-C133</f>
        <v>22916.67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20916.67</v>
      </c>
      <c r="H144" s="150" t="n">
        <f aca="false">C134+E134+G134+H137</f>
        <v>22916.67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4183.334</v>
      </c>
      <c r="H146" s="33" t="n">
        <f aca="false">(H144+H145)*20%</f>
        <v>4583.334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25100.004</v>
      </c>
      <c r="H150" s="154" t="n">
        <f aca="false">(H144+H145+H148+H149+H146)-H147</f>
        <v>27500.004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25100.004</v>
      </c>
      <c r="H156" s="161" t="n">
        <f aca="false">H150-((H153*1.2)+(H154*1.2)+(H155*1.2)+(H151*1.2))</f>
        <v>27500.004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27500.004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1369.01912522667</v>
      </c>
      <c r="B176" s="174" t="n">
        <f aca="false">B103</f>
        <v>65.4545454545455</v>
      </c>
      <c r="C176" s="171"/>
      <c r="D176" s="171"/>
      <c r="E176" s="174" t="n">
        <f aca="false">B105</f>
        <v>1434.47367068121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22916.67</v>
      </c>
      <c r="B182" s="99" t="n">
        <f aca="false">H146</f>
        <v>4583.334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27500.004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27500.004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-6440.79362250664</v>
      </c>
      <c r="B191" s="99" t="str">
        <f aca="false">B123</f>
        <v>199.99</v>
      </c>
      <c r="C191" s="99"/>
      <c r="D191" s="23"/>
      <c r="E191" s="99" t="n">
        <f aca="false">E188+A191+B191+A194</f>
        <v>21269.2003774934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114.58335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214.57335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1434.47367068121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1369.01912522667</v>
      </c>
      <c r="B221" s="174" t="n">
        <f aca="false">B176</f>
        <v>65.4545454545455</v>
      </c>
      <c r="C221" s="171"/>
      <c r="D221" s="171"/>
      <c r="E221" s="174" t="n">
        <f aca="false">E176</f>
        <v>1434.47367068121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22916.67</v>
      </c>
      <c r="B224" s="99" t="n">
        <f aca="false">B182</f>
        <v>4583.334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27500.004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27500.004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-6440.79362250664</v>
      </c>
      <c r="B233" s="99" t="str">
        <f aca="false">B191</f>
        <v>199.99</v>
      </c>
      <c r="C233" s="99"/>
      <c r="D233" s="109"/>
      <c r="E233" s="99" t="n">
        <f aca="false">E191</f>
        <v>21269.2003774934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1369.01912522667</v>
      </c>
      <c r="B239" s="99" t="n">
        <f aca="false">B176</f>
        <v>65.4545454545455</v>
      </c>
      <c r="C239" s="183"/>
      <c r="D239" s="183"/>
      <c r="E239" s="99" t="n">
        <f aca="false">E176</f>
        <v>1434.47367068121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114.58335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2214.57335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0.099</v>
      </c>
      <c r="C262" s="194"/>
      <c r="D262" s="195" t="s">
        <v>211</v>
      </c>
      <c r="E262" s="195"/>
      <c r="F262" s="193" t="n">
        <f aca="false">B92</f>
        <v>0.1715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137.50002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-37.51002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0.099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0.1715</v>
      </c>
      <c r="C269" s="43"/>
      <c r="D269" s="163" t="s">
        <v>212</v>
      </c>
      <c r="E269" s="163"/>
      <c r="F269" s="143" t="n">
        <f aca="false">(B98*B68)-(C98*B68)</f>
        <v>15059.2103774934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137.50002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-37.51002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65" zoomScaleNormal="6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21.5454545454545</v>
      </c>
      <c r="E32" s="222"/>
      <c r="F32" s="63"/>
      <c r="G32" s="223" t="s">
        <v>240</v>
      </c>
      <c r="H32" s="221" t="n">
        <f aca="false">A41</f>
        <v>21.5454545454545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521.545454545455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246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21.5454545454545</v>
      </c>
      <c r="B41" s="237" t="n">
        <f aca="false">IF(B38="YES", D38+A41, D38)</f>
        <v>521.545454545455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21.5454545454545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521.909090909091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521.909090909091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18786.143930932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257.8125375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4507.73319608384</v>
      </c>
      <c r="C86" s="130" t="n">
        <f aca="false">(B82/((1+B84)^(B85+1)))</f>
        <v>4507.73319608384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25.537840463124</v>
      </c>
      <c r="C87" s="130" t="n">
        <f aca="false">((1-(1/((1+B84)^B85)))/B84)</f>
        <v>25.537840463124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15408.9368039162</v>
      </c>
      <c r="C88" s="130" t="n">
        <f aca="false">B81-B86</f>
        <v>15408.9368039162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603.376656932534</v>
      </c>
      <c r="C89" s="130" t="n">
        <f aca="false">(B88/B87)</f>
        <v>603.376656932534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19308.0530218411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19308.0530218411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31.995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603.376656932534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635.371656932534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603.376656932534</v>
      </c>
      <c r="B167" s="174" t="n">
        <f aca="false">B94</f>
        <v>31.995</v>
      </c>
      <c r="C167" s="171"/>
      <c r="D167" s="171"/>
      <c r="E167" s="174" t="n">
        <f aca="false">B96</f>
        <v>635.371656932534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-991.950978158908</v>
      </c>
      <c r="B182" s="99" t="str">
        <f aca="false">B114</f>
        <v>239.99</v>
      </c>
      <c r="C182" s="99"/>
      <c r="D182" s="23"/>
      <c r="E182" s="99" t="n">
        <f aca="false">E179+A182+B182+A185</f>
        <v>26758.0430218411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214.84378125</v>
      </c>
      <c r="C188" s="130"/>
      <c r="D188" s="130"/>
      <c r="E188" s="99" t="n">
        <f aca="false">IF(E105 = "YES" , (H36*A108)*0.1 , 0)</f>
        <v>14.22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329.055447916667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635.371656932534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603.376656932534</v>
      </c>
      <c r="B212" s="174" t="n">
        <f aca="false">B167</f>
        <v>31.995</v>
      </c>
      <c r="C212" s="171"/>
      <c r="D212" s="171"/>
      <c r="E212" s="174" t="n">
        <f aca="false">E167</f>
        <v>635.371656932534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-991.950978158908</v>
      </c>
      <c r="B224" s="99" t="str">
        <f aca="false">B182</f>
        <v>239.99</v>
      </c>
      <c r="C224" s="99"/>
      <c r="D224" s="109"/>
      <c r="E224" s="99" t="n">
        <f aca="false">E182</f>
        <v>26758.0430218411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603.376656932534</v>
      </c>
      <c r="B230" s="99" t="n">
        <f aca="false">B167</f>
        <v>31.995</v>
      </c>
      <c r="C230" s="183"/>
      <c r="D230" s="183"/>
      <c r="E230" s="99" t="n">
        <f aca="false">E167</f>
        <v>635.371656932534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214.84378125</v>
      </c>
      <c r="C240" s="130"/>
      <c r="D240" s="130"/>
      <c r="E240" s="99" t="n">
        <f aca="false">IF(E105 = "YES" , (H36*A108)*0.1 , 0)</f>
        <v>14.22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2329.05544791667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257.8125375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242.191666666667</v>
      </c>
      <c r="C255" s="194"/>
      <c r="D255" s="195" t="s">
        <v>215</v>
      </c>
      <c r="E255" s="195"/>
      <c r="F255" s="196" t="n">
        <f aca="false">(B254-F254)+B255</f>
        <v>-15.6208708333333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257.8125375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142.2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-15.6208708333333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65" zoomScaleNormal="6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14549.2103774934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6072.64939684978</v>
      </c>
      <c r="C86" s="130" t="n">
        <f aca="false">(B82/((1+B84)^(B85+1)))</f>
        <v>6072.64939684978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10.1123646471031</v>
      </c>
      <c r="C87" s="130" t="n">
        <f aca="false">((1-(1/((1+B84)^B85)))/B84)</f>
        <v>10.1123646471031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13844.0206031502</v>
      </c>
      <c r="C88" s="130" t="n">
        <f aca="false">B81-B86</f>
        <v>13844.0206031502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1369.01912522667</v>
      </c>
      <c r="C89" s="130" t="n">
        <f aca="false">(B88/B87)</f>
        <v>1369.01912522667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15059.2103774934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15059.2103774934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11.7818181818182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1369.01912522667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1380.80094340849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1369.01912522667</v>
      </c>
      <c r="B167" s="174" t="n">
        <f aca="false">B94</f>
        <v>11.7818181818182</v>
      </c>
      <c r="C167" s="171"/>
      <c r="D167" s="171"/>
      <c r="E167" s="174" t="n">
        <f aca="false">B96</f>
        <v>1380.80094340849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-5240.79362250664</v>
      </c>
      <c r="B182" s="99" t="str">
        <f aca="false">B114</f>
        <v>199.99</v>
      </c>
      <c r="C182" s="99"/>
      <c r="D182" s="23"/>
      <c r="E182" s="99" t="n">
        <f aca="false">E179+A182+B182+A185</f>
        <v>22469.2003774934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216.73335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1380.80094340849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1369.01912522667</v>
      </c>
      <c r="B212" s="174" t="n">
        <f aca="false">B167</f>
        <v>11.7818181818182</v>
      </c>
      <c r="C212" s="171"/>
      <c r="D212" s="171"/>
      <c r="E212" s="174" t="n">
        <f aca="false">E167</f>
        <v>1380.80094340849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-5240.79362250664</v>
      </c>
      <c r="B224" s="99" t="str">
        <f aca="false">B182</f>
        <v>199.99</v>
      </c>
      <c r="C224" s="99"/>
      <c r="D224" s="109"/>
      <c r="E224" s="99" t="n">
        <f aca="false">E182</f>
        <v>22469.2003774934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1369.01912522667</v>
      </c>
      <c r="B230" s="99" t="n">
        <f aca="false">B167</f>
        <v>11.7818181818182</v>
      </c>
      <c r="C230" s="183"/>
      <c r="D230" s="183"/>
      <c r="E230" s="99" t="n">
        <f aca="false">E167</f>
        <v>1380.80094340849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2216.73335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</v>
      </c>
      <c r="C255" s="194"/>
      <c r="D255" s="195" t="s">
        <v>215</v>
      </c>
      <c r="E255" s="195"/>
      <c r="F255" s="196" t="n">
        <f aca="false">(B254-F254)+B255</f>
        <v>-15.91002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-15.91002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65" zoomScaleNormal="6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45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14136.9270328096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6255.17290161953</v>
      </c>
      <c r="C86" s="130" t="n">
        <f aca="false">(B82/((1+B84)^(B85+1)))</f>
        <v>6255.17290161953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 t="n">
        <f aca="false">((1-(1/((1+B84)^B85)))/B84)</f>
        <v>10.2599315027351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13661.4970983805</v>
      </c>
      <c r="C88" s="130" t="n">
        <f aca="false">B81-B86</f>
        <v>13661.4970983805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1331.53882116451</v>
      </c>
      <c r="C89" s="130" t="n">
        <f aca="false">(B88/B87)</f>
        <v>1331.53882116451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14646.9270328096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14646.9270328096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14.1381818181818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1331.53882116451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1345.67700298269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1331.53882116451</v>
      </c>
      <c r="B167" s="174" t="n">
        <f aca="false">B94</f>
        <v>14.1381818181818</v>
      </c>
      <c r="C167" s="171"/>
      <c r="D167" s="171"/>
      <c r="E167" s="174" t="n">
        <f aca="false">B96</f>
        <v>1345.67700298269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-5653.07696719039</v>
      </c>
      <c r="B182" s="99" t="str">
        <f aca="false">B114</f>
        <v>239.99</v>
      </c>
      <c r="C182" s="99"/>
      <c r="D182" s="23"/>
      <c r="E182" s="99" t="n">
        <f aca="false">E179+A182+B182+A185</f>
        <v>22096.9170328096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114.58335</v>
      </c>
      <c r="C188" s="130"/>
      <c r="D188" s="130"/>
      <c r="E188" s="99" t="n">
        <f aca="false">IF(E105 = "YES" , (H36*A108)*0.1 , 0)</f>
        <v>2.16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216.735016666667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1345.67700298269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1331.53882116451</v>
      </c>
      <c r="B212" s="174" t="n">
        <f aca="false">B167</f>
        <v>14.1381818181818</v>
      </c>
      <c r="C212" s="171"/>
      <c r="D212" s="171"/>
      <c r="E212" s="174" t="n">
        <f aca="false">E167</f>
        <v>1345.67700298269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-5653.07696719039</v>
      </c>
      <c r="B224" s="99" t="str">
        <f aca="false">B182</f>
        <v>239.99</v>
      </c>
      <c r="C224" s="99"/>
      <c r="D224" s="109"/>
      <c r="E224" s="99" t="n">
        <f aca="false">E182</f>
        <v>22096.9170328096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1331.53882116451</v>
      </c>
      <c r="B230" s="99" t="n">
        <f aca="false">B167</f>
        <v>14.1381818181818</v>
      </c>
      <c r="C230" s="183"/>
      <c r="D230" s="183"/>
      <c r="E230" s="99" t="n">
        <f aca="false">E167</f>
        <v>1345.67700298269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E188</f>
        <v>2.16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2216.73501666667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121.591666666667</v>
      </c>
      <c r="C255" s="194"/>
      <c r="D255" s="195" t="s">
        <v>215</v>
      </c>
      <c r="E255" s="195"/>
      <c r="F255" s="196" t="n">
        <f aca="false">(B254-F254)+B255</f>
        <v>-15.9083533333333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-15.9083533333333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65" zoomScaleNormal="6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9</v>
      </c>
      <c r="E32" s="222"/>
      <c r="F32" s="63"/>
      <c r="G32" s="223" t="s">
        <v>240</v>
      </c>
      <c r="H32" s="221" t="n">
        <f aca="false">A41</f>
        <v>9</v>
      </c>
      <c r="I32" s="0"/>
      <c r="J32" s="44" t="s">
        <v>37</v>
      </c>
      <c r="K32" s="262" t="s">
        <v>241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509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231</v>
      </c>
      <c r="I36" s="0"/>
      <c r="J36" s="44" t="s">
        <v>51</v>
      </c>
      <c r="K36" s="52" t="n">
        <f aca="false">K32-K34</f>
        <v>19916.67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9</v>
      </c>
      <c r="B41" s="237" t="n">
        <f aca="false">IF(B38="YES", D38+A41, D38)</f>
        <v>509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9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510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13773.6324124577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137.50002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19916.67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6421.35126042292</v>
      </c>
      <c r="C86" s="130" t="n">
        <f aca="false">(B82/((1+B84)^(B85+1)))</f>
        <v>6421.35126042292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13495.3187395771</v>
      </c>
      <c r="C88" s="130" t="n">
        <f aca="false">B81-B86</f>
        <v>13495.3187395771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1298.51203749615</v>
      </c>
      <c r="C89" s="130" t="n">
        <f aca="false">(B88/B87)</f>
        <v>1298.51203749615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14283.6324124577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14283.6324124577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12.7636363636364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1298.51203749615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1311.27567385979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25100.004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25100.004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20916.67</v>
      </c>
      <c r="H135" s="150" t="n">
        <f aca="false">C125+E125+G125+H128</f>
        <v>22916.67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1298.51203749615</v>
      </c>
      <c r="B167" s="174" t="n">
        <f aca="false">B94</f>
        <v>12.7636363636364</v>
      </c>
      <c r="C167" s="171"/>
      <c r="D167" s="171"/>
      <c r="E167" s="174" t="n">
        <f aca="false">B96</f>
        <v>1311.27567385979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-6016.37158754231</v>
      </c>
      <c r="B182" s="99" t="str">
        <f aca="false">B114</f>
        <v>199.99</v>
      </c>
      <c r="C182" s="99"/>
      <c r="D182" s="23"/>
      <c r="E182" s="99" t="n">
        <f aca="false">E179+A182+B182+A185</f>
        <v>21693.6224124577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114.58335</v>
      </c>
      <c r="C188" s="130"/>
      <c r="D188" s="130"/>
      <c r="E188" s="99" t="n">
        <f aca="false">IF(E105 ="YES" , (H36*A108)*0.1 , 0)</f>
        <v>3.24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217.81335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1311.27567385979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1298.51203749615</v>
      </c>
      <c r="B212" s="174" t="n">
        <f aca="false">B167</f>
        <v>12.7636363636364</v>
      </c>
      <c r="C212" s="171"/>
      <c r="D212" s="171"/>
      <c r="E212" s="174" t="n">
        <f aca="false">E167</f>
        <v>1311.27567385979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-6016.37158754231</v>
      </c>
      <c r="B224" s="99" t="str">
        <f aca="false">B182</f>
        <v>199.99</v>
      </c>
      <c r="C224" s="99"/>
      <c r="D224" s="109"/>
      <c r="E224" s="99" t="n">
        <f aca="false">E182</f>
        <v>21693.6224124577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1298.51203749615</v>
      </c>
      <c r="B230" s="99" t="n">
        <f aca="false">B167</f>
        <v>12.7636363636364</v>
      </c>
      <c r="C230" s="183"/>
      <c r="D230" s="183"/>
      <c r="E230" s="99" t="n">
        <f aca="false">E167</f>
        <v>1311.27567385979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114.58335</v>
      </c>
      <c r="C240" s="130"/>
      <c r="D240" s="130"/>
      <c r="E240" s="99" t="n">
        <f aca="false">IF(E105 = "YES" , (H36*A108)*0.1 , 0)</f>
        <v>3.24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2217.81335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132.39</v>
      </c>
      <c r="C255" s="194"/>
      <c r="D255" s="195" t="s">
        <v>215</v>
      </c>
      <c r="E255" s="195"/>
      <c r="F255" s="196" t="n">
        <f aca="false">(B254-F254)+B255</f>
        <v>-5.11001999999996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32.4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-5.11001999999996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10859.600336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10936.2614920629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911.355124338577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983.355124338577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911.355124338577</v>
      </c>
      <c r="B128" s="320" t="n">
        <f aca="false">IF(A105="YES", B89, 0)</f>
        <v>72</v>
      </c>
      <c r="C128" s="325"/>
      <c r="D128" s="320" t="n">
        <f aca="false">B91</f>
        <v>983.355124338577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8202.1961190472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8850.1961190472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911.355124338577</v>
      </c>
      <c r="B137" s="38" t="n">
        <f aca="false">IF(A105="YES", B89, 0)</f>
        <v>72</v>
      </c>
      <c r="C137" s="316"/>
      <c r="D137" s="38" t="n">
        <f aca="false">B91</f>
        <v>983.355124338577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983.355124338577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911.355124338577</v>
      </c>
      <c r="B171" s="354" t="n">
        <f aca="false">IF(A105="YES", B89, 0)</f>
        <v>72</v>
      </c>
      <c r="C171" s="357"/>
      <c r="D171" s="354" t="n">
        <f aca="false">B91</f>
        <v>983.355124338577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8202.1961190472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8850.1961190472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911.355124338577</v>
      </c>
      <c r="B180" s="99" t="n">
        <f aca="false">IF(A105="YES", B89, 0)</f>
        <v>72</v>
      </c>
      <c r="C180" s="352"/>
      <c r="D180" s="99" t="n">
        <f aca="false">B91</f>
        <v>983.355124338577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211" t="n">
        <v>10000</v>
      </c>
      <c r="D64" s="290" t="n">
        <f aca="false">B64</f>
        <v>1757.00028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9049.66694666667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76.6611560629286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9126.32810272959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760.527341894133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820.527341894133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760.527341894133</v>
      </c>
      <c r="B128" s="320" t="n">
        <f aca="false">IF(A105="YES", B89, 0)</f>
        <v>60</v>
      </c>
      <c r="C128" s="325"/>
      <c r="D128" s="320" t="n">
        <f aca="false">B91</f>
        <v>820.527341894133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6844.7460770472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7384.7460770472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760.527341894133</v>
      </c>
      <c r="B137" s="38" t="n">
        <f aca="false">IF(A105="YES", B89, 0)</f>
        <v>60</v>
      </c>
      <c r="C137" s="316"/>
      <c r="D137" s="38" t="n">
        <f aca="false">B91</f>
        <v>820.527341894133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637.49002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820.527341894133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760.527341894133</v>
      </c>
      <c r="B171" s="354" t="n">
        <f aca="false">IF(A105="YES", B89, 0)</f>
        <v>60</v>
      </c>
      <c r="C171" s="357"/>
      <c r="D171" s="354" t="n">
        <f aca="false">B91</f>
        <v>820.527341894133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6844.7460770472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7384.7460770472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760.527341894133</v>
      </c>
      <c r="B180" s="99" t="n">
        <f aca="false">IF(A105="YES", B89, 0)</f>
        <v>60</v>
      </c>
      <c r="C180" s="352"/>
      <c r="D180" s="99" t="n">
        <f aca="false">B91</f>
        <v>820.527341894133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125.50002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637.49002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1757.00028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125.50002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2091.49026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1757.00028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125.50002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2091.49026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76.6611560629286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284.722166666667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287.388833333333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287.388833333333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287.388833333333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8736.3832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8798.05593336023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733.171327780019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811.171327780019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733.171327780019</v>
      </c>
      <c r="B134" s="320" t="n">
        <f aca="false">IF(A111="YES", B95, 0)</f>
        <v>78</v>
      </c>
      <c r="C134" s="324"/>
      <c r="D134" s="320" t="n">
        <f aca="false">B97</f>
        <v>811.171327780019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733.171327780019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811.171327780019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733.171327780019</v>
      </c>
      <c r="B143" s="38" t="n">
        <f aca="false">IF(A111="YES", B95, 0)</f>
        <v>78</v>
      </c>
      <c r="C143" s="316"/>
      <c r="D143" s="38" t="n">
        <f aca="false">B97</f>
        <v>811.171327780019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811.171327780019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733.171327780019</v>
      </c>
      <c r="B177" s="354" t="n">
        <f aca="false">IF(A111="YES", B95, 0)</f>
        <v>78</v>
      </c>
      <c r="C177" s="356"/>
      <c r="D177" s="354" t="n">
        <f aca="false">A177+B177</f>
        <v>811.171327780019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733.171327780019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811.171327780019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733.171327780019</v>
      </c>
      <c r="B186" s="99" t="n">
        <f aca="false">IF(A111="YES", B95, 0)</f>
        <v>78</v>
      </c>
      <c r="C186" s="352"/>
      <c r="D186" s="99" t="n">
        <f aca="false">B97</f>
        <v>811.171327780019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3231.31164666667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3231.31164666667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4183.334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265.277833333333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234.722166666667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237.388833333333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237.388833333333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237.388833333333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290</v>
      </c>
      <c r="C80" s="316"/>
      <c r="D80" s="316"/>
      <c r="E80" s="403" t="n">
        <f aca="false">E79+D82</f>
        <v>928.166666666667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77.3472222222222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314.166666666667</v>
      </c>
      <c r="C82" s="316"/>
      <c r="D82" s="32" t="n">
        <f aca="false">IF(A50="YES", 0, B82)</f>
        <v>314.166666666667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4431.65333333333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369.304444444444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237.388833333333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7280.31933333333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61.6727333602259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7341.99206669356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611.832672224463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611.832672224463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611.832672224463</v>
      </c>
      <c r="B134" s="320" t="n">
        <f aca="false">IF(A111="YES", B95, 0)</f>
        <v>0</v>
      </c>
      <c r="C134" s="325"/>
      <c r="D134" s="320" t="n">
        <f aca="false">B97</f>
        <v>611.832672224463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5506.49405002017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5506.49405002017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611.832672224463</v>
      </c>
      <c r="B143" s="38" t="n">
        <f aca="false">IF(A111="YES", B95, 0)</f>
        <v>0</v>
      </c>
      <c r="C143" s="316"/>
      <c r="D143" s="38" t="n">
        <f aca="false">B97</f>
        <v>611.832672224463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4183.334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611.832672224463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611.832672224463</v>
      </c>
      <c r="B177" s="354" t="n">
        <f aca="false">IF(A111="YES", B95, 0)</f>
        <v>0</v>
      </c>
      <c r="C177" s="357"/>
      <c r="D177" s="354" t="n">
        <f aca="false">B91</f>
        <v>7280.31933333333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5506.49405002017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5506.49405002017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611.832672224463</v>
      </c>
      <c r="B186" s="99" t="n">
        <f aca="false">IF(A111="YES", B95, 0)</f>
        <v>0</v>
      </c>
      <c r="C186" s="352"/>
      <c r="D186" s="99" t="n">
        <f aca="false">B97</f>
        <v>611.832672224463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3051.30998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3051.30998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61.6727333602259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838.527341894133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78</v>
      </c>
      <c r="C134" s="325"/>
      <c r="D134" s="320" t="n">
        <f aca="false">B97</f>
        <v>838.527341894133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760.527341894133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838.527341894133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78</v>
      </c>
      <c r="C143" s="316"/>
      <c r="D143" s="38" t="n">
        <f aca="false">B97</f>
        <v>838.527341894133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1403.24633333333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1363.24833333333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647.09002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838.527341894133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78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760.527341894133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838.527341894133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78</v>
      </c>
      <c r="C186" s="352"/>
      <c r="D186" s="99" t="n">
        <f aca="false">B97</f>
        <v>838.527341894133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647.09002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2187.49026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2187.49026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11315.9228474482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942.99357062068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1020.99357062068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942.99357062068</v>
      </c>
      <c r="B134" s="320" t="n">
        <f aca="false">IF(A111="YES", B95, 0)</f>
        <v>78</v>
      </c>
      <c r="C134" s="325"/>
      <c r="D134" s="320" t="n">
        <f aca="false">B97</f>
        <v>1020.99357062068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942.99357062068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1020.99357062068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942.99357062068</v>
      </c>
      <c r="B143" s="38" t="n">
        <f aca="false">IF(A111="YES", B95, 0)</f>
        <v>78</v>
      </c>
      <c r="C143" s="316"/>
      <c r="D143" s="38" t="n">
        <f aca="false">B97</f>
        <v>1020.99357062068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643.491686666667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1020.99357062068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942.99357062068</v>
      </c>
      <c r="B177" s="354" t="n">
        <f aca="false">IF(A111="YES", B95, 0)</f>
        <v>78</v>
      </c>
      <c r="C177" s="357"/>
      <c r="D177" s="354" t="n">
        <f aca="false">B97</f>
        <v>1020.99357062068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942.99357062068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1020.99357062068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942.99357062068</v>
      </c>
      <c r="B186" s="99" t="n">
        <f aca="false">IF(A111="YES", B95, 0)</f>
        <v>78</v>
      </c>
      <c r="C186" s="352"/>
      <c r="D186" s="99" t="n">
        <f aca="false">B97</f>
        <v>1020.99357062068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643.491686666667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65</v>
      </c>
      <c r="C134" s="325"/>
      <c r="D134" s="320" t="n">
        <f aca="false">B97</f>
        <v>851.929677065125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786.929677065125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851.929677065125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65</v>
      </c>
      <c r="C143" s="316"/>
      <c r="D143" s="38" t="n">
        <f aca="false">B97</f>
        <v>851.929677065125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643.49002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65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786.929677065125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851.929677065125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65</v>
      </c>
      <c r="C186" s="352"/>
      <c r="D186" s="99" t="n">
        <f aca="false">B97</f>
        <v>851.929677065125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643.49002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2151.49026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2151.49026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9.00</v>
      </c>
      <c r="E32" s="222"/>
      <c r="F32" s="63"/>
      <c r="G32" s="223" t="s">
        <v>240</v>
      </c>
      <c r="H32" s="221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509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350</v>
      </c>
      <c r="B41" s="237" t="n">
        <f aca="false">IF(B38="YES", D38+A41, D38)</f>
        <v>509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9.00</v>
      </c>
      <c r="I44" s="393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510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3037.66694666667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253.138912222222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9049.66694666667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76.6611560629286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9126.32810272959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760.527341894133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772.227341894133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760.527341894133</v>
      </c>
      <c r="B134" s="320" t="n">
        <f aca="false">IF(A111="YES", B95, 0)</f>
        <v>11.7</v>
      </c>
      <c r="C134" s="325"/>
      <c r="D134" s="320" t="n">
        <f aca="false">B97</f>
        <v>772.227341894133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760.527341894133</v>
      </c>
      <c r="C137" s="316"/>
      <c r="D137" s="38" t="n">
        <f aca="false">IF(A111="YES", B95*B63, 0)</f>
        <v>11.7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772.227341894133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760.527341894133</v>
      </c>
      <c r="B143" s="38" t="n">
        <f aca="false">IF(A111="YES", B95, 0)</f>
        <v>11.7</v>
      </c>
      <c r="C143" s="316"/>
      <c r="D143" s="38" t="n">
        <f aca="false">B97</f>
        <v>772.227341894133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2.16</v>
      </c>
      <c r="H148" s="99" t="n">
        <f aca="false">G108-100</f>
        <v>139.988</v>
      </c>
      <c r="I148" s="99"/>
      <c r="J148" s="99" t="n">
        <f aca="false">(H145+J145+G148+H148)-H151</f>
        <v>1391.00633333333</v>
      </c>
      <c r="K148" s="101"/>
      <c r="L148" s="63"/>
      <c r="M148" s="107" t="n">
        <f aca="false">IF(M111="YES", ((A41*N111)*0.1)*(M133), 0)</f>
        <v>2.16</v>
      </c>
      <c r="N148" s="99" t="n">
        <f aca="false">M108-100</f>
        <v>99.99</v>
      </c>
      <c r="O148" s="99"/>
      <c r="P148" s="99" t="n">
        <f aca="false">(N145+P145+M148+N148)-N151</f>
        <v>1351.00833333333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628.73002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772.227341894133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760.527341894133</v>
      </c>
      <c r="B177" s="354" t="n">
        <f aca="false">IF(A111="YES", B95, 0)</f>
        <v>11.7</v>
      </c>
      <c r="C177" s="357"/>
      <c r="D177" s="354" t="n">
        <f aca="false">B91</f>
        <v>9049.66694666667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760.527341894133</v>
      </c>
      <c r="C180" s="352"/>
      <c r="D180" s="99" t="n">
        <f aca="false">IF(A111="YES", B95*B63, 0)</f>
        <v>11.7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772.227341894133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760.527341894133</v>
      </c>
      <c r="B186" s="99" t="n">
        <f aca="false">IF(A111="YES", B95, 0)</f>
        <v>11.7</v>
      </c>
      <c r="C186" s="352"/>
      <c r="D186" s="99" t="n">
        <f aca="false">B97</f>
        <v>772.227341894133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3.24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628.73002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372.39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2003.89026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2003.89026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32.4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76.6611560629286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65" zoomScaleNormal="6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2685.16694666667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223.763912222222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10436.600336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73.6750729649052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10510.2754089649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875.856284080409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875.856284080409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875.856284080409</v>
      </c>
      <c r="B134" s="320" t="n">
        <f aca="false">IF(A111="YES", B95, 0)</f>
        <v>0</v>
      </c>
      <c r="C134" s="325"/>
      <c r="D134" s="320" t="n">
        <f aca="false">B97</f>
        <v>875.856284080409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875.856284080409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875.856284080409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875.856284080409</v>
      </c>
      <c r="B143" s="38" t="n">
        <f aca="false">IF(A111="YES", B95, 0)</f>
        <v>0</v>
      </c>
      <c r="C143" s="316"/>
      <c r="D143" s="38" t="n">
        <f aca="false">B97</f>
        <v>875.856284080409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225.491686666667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875.856284080409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875.856284080409</v>
      </c>
      <c r="B177" s="354" t="n">
        <f aca="false">IF(A111="YES", B95, 0)</f>
        <v>0</v>
      </c>
      <c r="C177" s="357"/>
      <c r="D177" s="354" t="n">
        <f aca="false">B91</f>
        <v>10436.600336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875.856284080409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875.856284080409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875.856284080409</v>
      </c>
      <c r="B186" s="99" t="n">
        <f aca="false">IF(A111="YES", B95, 0)</f>
        <v>0</v>
      </c>
      <c r="C186" s="352"/>
      <c r="D186" s="99" t="n">
        <f aca="false">B97</f>
        <v>875.856284080409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225.491686666667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1731.49192666667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1731.49192666667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73.6750729649052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25100.004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1757.00028</v>
      </c>
      <c r="C70" s="211" t="n">
        <v>10000</v>
      </c>
      <c r="D70" s="290" t="n">
        <f aca="false">B70-A149</f>
        <v>1757.00028</v>
      </c>
      <c r="E70" s="212" t="n">
        <f aca="false">D70/12</f>
        <v>146.41669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125.50002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290</v>
      </c>
      <c r="C80" s="211"/>
      <c r="D80" s="211"/>
      <c r="E80" s="429" t="n">
        <f aca="false">E79+D82</f>
        <v>928.166666666667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77.3472222222222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314.166666666667</v>
      </c>
      <c r="C82" s="211"/>
      <c r="D82" s="290" t="n">
        <f aca="false">IF(A50="YES", 0, B82)</f>
        <v>314.166666666667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3351.83361333333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279.319467777778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9363.83361333333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79.3225114481646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9443.1561247815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786.929677065125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786.929677065125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786.929677065125</v>
      </c>
      <c r="B134" s="320" t="n">
        <f aca="false">IF(A111="YES", B95, 0)</f>
        <v>0</v>
      </c>
      <c r="C134" s="325"/>
      <c r="D134" s="320" t="n">
        <f aca="false">B97</f>
        <v>786.929677065125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7082.36709358612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7082.36709358612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786.929677065125</v>
      </c>
      <c r="B143" s="38" t="n">
        <f aca="false">IF(A111="YES", B95, 0)</f>
        <v>0</v>
      </c>
      <c r="C143" s="316"/>
      <c r="D143" s="38" t="n">
        <f aca="false">B97</f>
        <v>786.929677065125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125.50002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625.49002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786.929677065125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786.929677065125</v>
      </c>
      <c r="B177" s="354" t="n">
        <f aca="false">IF(A111="YES", B95, 0)</f>
        <v>0</v>
      </c>
      <c r="C177" s="357"/>
      <c r="D177" s="354" t="n">
        <f aca="false">B91</f>
        <v>9363.83361333333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7082.36709358612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7082.36709358612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786.929677065125</v>
      </c>
      <c r="B186" s="99" t="n">
        <f aca="false">IF(A111="YES", B95, 0)</f>
        <v>0</v>
      </c>
      <c r="C186" s="352"/>
      <c r="D186" s="99" t="n">
        <f aca="false">B97</f>
        <v>786.929677065125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125.50002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625.49002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1971.49026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1757.00028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1971.49026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79.3225114481646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6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3697.61082582053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110.83335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26600.004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8727.24299182288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839.730450070947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9237.03495078042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9237.03495078042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22.1236363636364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839.730450070947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861.854086434584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26600.004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839.730450070947</v>
      </c>
      <c r="B167" s="174" t="n">
        <f aca="false">B94</f>
        <v>22.1236363636364</v>
      </c>
      <c r="C167" s="171"/>
      <c r="D167" s="171"/>
      <c r="E167" s="174" t="n">
        <f aca="false">B96</f>
        <v>861.854086434584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26600.004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2677.03095078042</v>
      </c>
      <c r="B182" s="99" t="str">
        <f aca="false">B114</f>
        <v>239.99</v>
      </c>
      <c r="C182" s="99"/>
      <c r="D182" s="23"/>
      <c r="E182" s="99" t="n">
        <f aca="false">E179+A182+B182+A185</f>
        <v>29527.0249507804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110.83335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215.505016666667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861.854086434584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839.730450070947</v>
      </c>
      <c r="B212" s="174" t="n">
        <f aca="false">B167</f>
        <v>22.1236363636364</v>
      </c>
      <c r="C212" s="171"/>
      <c r="D212" s="171"/>
      <c r="E212" s="174" t="n">
        <f aca="false">E167</f>
        <v>861.854086434584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26600.004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2677.03095078042</v>
      </c>
      <c r="B224" s="99" t="str">
        <f aca="false">B182</f>
        <v>239.99</v>
      </c>
      <c r="C224" s="99"/>
      <c r="D224" s="109"/>
      <c r="E224" s="99" t="n">
        <f aca="false">E182</f>
        <v>29527.0249507804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839.730450070947</v>
      </c>
      <c r="B230" s="99" t="n">
        <f aca="false">B167</f>
        <v>22.1236363636364</v>
      </c>
      <c r="C230" s="183"/>
      <c r="D230" s="183"/>
      <c r="E230" s="99" t="n">
        <f aca="false">E167</f>
        <v>861.854086434584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110.83335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2215.50501666667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133.00002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146.791666666667</v>
      </c>
      <c r="C255" s="194"/>
      <c r="D255" s="195" t="s">
        <v>215</v>
      </c>
      <c r="E255" s="195"/>
      <c r="F255" s="196" t="n">
        <f aca="false">(B254-F254)+B255</f>
        <v>13.7916466666667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9237.03495078042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133.00002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13.7916466666667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2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532.171001673586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519.171001673586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23964.7054288077</v>
      </c>
      <c r="N39" s="1" t="n">
        <f aca="false">K39-L39</f>
        <v>-3048.03542880767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-3048.03542880767</v>
      </c>
      <c r="N40" s="1" t="n">
        <f aca="false">N38-N39</f>
        <v>5959.71542880767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15008.2298512523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5908.44014874765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519.171001673586</v>
      </c>
      <c r="L47" s="2" t="n">
        <f aca="false">L49-K42</f>
        <v>787</v>
      </c>
      <c r="M47" s="1" t="n">
        <f aca="false">K47-L47</f>
        <v>-267.828998326414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532.171001673586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532.171001673586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1907.18557321794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519.171001673586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519.171001673586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532.171001673586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532.171001673586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17410.231242841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7589.77275715897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739.74887211827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8137.23759330097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8137.23759330097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17.0181818181818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739.74887211827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756.767053936452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739.74887211827</v>
      </c>
      <c r="B167" s="174" t="n">
        <f aca="false">B94</f>
        <v>17.0181818181818</v>
      </c>
      <c r="C167" s="171"/>
      <c r="D167" s="171"/>
      <c r="E167" s="174" t="n">
        <f aca="false">B96</f>
        <v>756.767053936452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3177.23359330097</v>
      </c>
      <c r="B182" s="99" t="str">
        <f aca="false">B114</f>
        <v>199.99</v>
      </c>
      <c r="C182" s="99"/>
      <c r="D182" s="23"/>
      <c r="E182" s="99" t="n">
        <f aca="false">E179+A182+B182+A185</f>
        <v>28387.227593301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20050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3.12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207.276683333333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756.767053936452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739.74887211827</v>
      </c>
      <c r="B212" s="174" t="n">
        <f aca="false">B167</f>
        <v>17.0181818181818</v>
      </c>
      <c r="C212" s="171"/>
      <c r="D212" s="171"/>
      <c r="E212" s="174" t="n">
        <f aca="false">E167</f>
        <v>756.767053936452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3177.23359330097</v>
      </c>
      <c r="B224" s="99" t="str">
        <f aca="false">B182</f>
        <v>199.99</v>
      </c>
      <c r="C224" s="99"/>
      <c r="D224" s="109"/>
      <c r="E224" s="99" t="n">
        <f aca="false">E182</f>
        <v>28387.227593301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739.74887211827</v>
      </c>
      <c r="B230" s="99" t="n">
        <f aca="false">B167</f>
        <v>17.0181818181818</v>
      </c>
      <c r="C230" s="183"/>
      <c r="D230" s="183"/>
      <c r="E230" s="99" t="n">
        <f aca="false">E167</f>
        <v>756.767053936452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3.12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2207.27668333333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131.19</v>
      </c>
      <c r="C255" s="194"/>
      <c r="D255" s="195" t="s">
        <v>215</v>
      </c>
      <c r="E255" s="195"/>
      <c r="F255" s="196" t="n">
        <f aca="false">(B254-F254)+B255</f>
        <v>6.18998000000005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8137.23759330097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6.18998000000005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0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17910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980.1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1399.16656589948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1366.49656589948</v>
      </c>
      <c r="B36" s="228" t="n">
        <f aca="false">IF(B26="YES", K42, "0.00")</f>
        <v>32.67</v>
      </c>
      <c r="C36" s="228"/>
      <c r="D36" s="228"/>
      <c r="E36" s="228" t="n">
        <f aca="false">K31</f>
        <v>17910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14097.8380884798</v>
      </c>
      <c r="N39" s="1" t="n">
        <f aca="false">K39-L39</f>
        <v>6818.83191152015</v>
      </c>
      <c r="P39" s="208"/>
    </row>
    <row r="40" customFormat="false" ht="17.35" hidden="false" customHeight="false" outlineLevel="0" collapsed="false">
      <c r="A40" s="103" t="n">
        <f aca="false">E36*A45/100</f>
        <v>7164</v>
      </c>
      <c r="B40" s="103" t="n">
        <f aca="false">IF(B26="YES", K42, "0.00")</f>
        <v>32.67</v>
      </c>
      <c r="C40" s="103"/>
      <c r="D40" s="103"/>
      <c r="E40" s="179" t="n">
        <f aca="false">K32</f>
        <v>980.1</v>
      </c>
      <c r="F40" s="183"/>
      <c r="G40" s="183"/>
      <c r="H40" s="47"/>
      <c r="J40" s="2" t="s">
        <v>106</v>
      </c>
      <c r="K40" s="2" t="n">
        <f aca="false">(A40)/1.2</f>
        <v>5970</v>
      </c>
      <c r="L40" s="2" t="n">
        <f aca="false">K39-L39</f>
        <v>6818.83191152015</v>
      </c>
      <c r="N40" s="1" t="n">
        <f aca="false">N38-N39</f>
        <v>-3907.15191152015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32.67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5365.21749772314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15551.4525022769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11.3805280528022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1366.49656589948</v>
      </c>
      <c r="L47" s="2" t="n">
        <f aca="false">L49-K42</f>
        <v>767.33</v>
      </c>
      <c r="M47" s="1" t="n">
        <f aca="false">K47-L47</f>
        <v>599.166565899478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1399.16656589948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1399.16656589948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6412.83449075841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114.58335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1366.49656589948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1366.49656589948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1399.16656589948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1399.16656589948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7164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7164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7164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6223.89703711143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6223.89703711143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6223.89703711143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10.2599315027351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21276.1069628886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2073.7084801411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22810.7932815521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22810.7932815521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51.3216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127.413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106.92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128.304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2073.7084801411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2125.0300801411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2073.7084801411</v>
      </c>
      <c r="B167" s="174" t="n">
        <f aca="false">B94</f>
        <v>51.3216</v>
      </c>
      <c r="C167" s="171"/>
      <c r="D167" s="171"/>
      <c r="E167" s="174" t="n">
        <f aca="false">B96</f>
        <v>2125.0300801411</v>
      </c>
      <c r="F167" s="23"/>
      <c r="G167" s="23"/>
      <c r="H167" s="33"/>
      <c r="J167" s="173" t="e">
        <f aca="false">K95</f>
        <v>#VALUE!</v>
      </c>
      <c r="K167" s="174" t="n">
        <f aca="false">K94</f>
        <v>127.413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106.92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128.304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7164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7164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7164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7164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27500.004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2474.78928155215</v>
      </c>
      <c r="B182" s="99" t="str">
        <f aca="false">B114</f>
        <v>239.99</v>
      </c>
      <c r="C182" s="99"/>
      <c r="D182" s="23"/>
      <c r="E182" s="99" t="n">
        <f aca="false">E179+A182+B182+A185</f>
        <v>30224.7832815521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IF(A40=0,(E167+A185),(E170+A185))</f>
        <v>7174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7184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7174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7174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9.72624</v>
      </c>
      <c r="B188" s="99" t="n">
        <f aca="false">(G158*B67)/1.2</f>
        <v>114.58335</v>
      </c>
      <c r="C188" s="130"/>
      <c r="D188" s="130"/>
      <c r="E188" s="99" t="n">
        <f aca="false">(E40*A108)*0.1*(C45/100)</f>
        <v>7.8408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29.403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19.602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19.602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222.415816666667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2125.0300801411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2073.7084801411</v>
      </c>
      <c r="B212" s="174" t="n">
        <f aca="false">B167</f>
        <v>51.3216</v>
      </c>
      <c r="C212" s="171"/>
      <c r="D212" s="171"/>
      <c r="E212" s="174" t="n">
        <f aca="false">E167</f>
        <v>2125.0300801411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27500.004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2474.78928155215</v>
      </c>
      <c r="B224" s="99" t="str">
        <f aca="false">B182</f>
        <v>239.99</v>
      </c>
      <c r="C224" s="99"/>
      <c r="D224" s="109"/>
      <c r="E224" s="99" t="n">
        <f aca="false">E182</f>
        <v>30224.7832815521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2073.7084801411</v>
      </c>
      <c r="B230" s="99" t="n">
        <f aca="false">B167</f>
        <v>51.3216</v>
      </c>
      <c r="C230" s="183"/>
      <c r="D230" s="183"/>
      <c r="E230" s="99" t="n">
        <f aca="false">E167</f>
        <v>2125.0300801411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7164</v>
      </c>
      <c r="B233" s="99" t="n">
        <f aca="false">E185</f>
        <v>7174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114.58335</v>
      </c>
      <c r="C240" s="130"/>
      <c r="D240" s="130"/>
      <c r="E240" s="99" t="n">
        <f aca="false">E188</f>
        <v>7.8408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2222.41581666667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137.50002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178.399666666667</v>
      </c>
      <c r="C255" s="194"/>
      <c r="D255" s="195" t="s">
        <v>215</v>
      </c>
      <c r="E255" s="195"/>
      <c r="F255" s="196" t="n">
        <f aca="false">(B254-F254)+B255</f>
        <v>40.8996466666667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22810.7932815521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137.50002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78.408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40.8996466666667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4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20040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156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474.618677079991</v>
      </c>
      <c r="F33" s="228"/>
      <c r="G33" s="228"/>
      <c r="H33" s="47"/>
      <c r="I33" s="2"/>
      <c r="J33" s="34" t="s">
        <v>354</v>
      </c>
      <c r="K33" s="48" t="n">
        <f aca="false">E21</f>
        <v>20916.67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461.618677079991</v>
      </c>
      <c r="B36" s="228" t="n">
        <f aca="false">IF(B26="YES", K42, "0.00")</f>
        <v>13</v>
      </c>
      <c r="C36" s="228"/>
      <c r="D36" s="228"/>
      <c r="E36" s="228" t="n">
        <f aca="false">K31</f>
        <v>20040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20916.67</v>
      </c>
      <c r="L39" s="2" t="n">
        <f aca="false">(L47*K46)+K44</f>
        <v>24687.1779119306</v>
      </c>
      <c r="N39" s="1" t="n">
        <f aca="false">K39-L39</f>
        <v>-3770.50791193064</v>
      </c>
      <c r="P39" s="208"/>
    </row>
    <row r="40" customFormat="false" ht="17.35" hidden="false" customHeight="false" outlineLevel="0" collapsed="false">
      <c r="A40" s="103" t="n">
        <f aca="false">E36*A45/100</f>
        <v>20040</v>
      </c>
      <c r="B40" s="103" t="n">
        <f aca="false">IF(B26="YES", K42, "0.00")</f>
        <v>13</v>
      </c>
      <c r="C40" s="103"/>
      <c r="D40" s="103"/>
      <c r="E40" s="179" t="n">
        <f aca="false">K32</f>
        <v>156</v>
      </c>
      <c r="F40" s="183"/>
      <c r="G40" s="183"/>
      <c r="H40" s="47"/>
      <c r="J40" s="2" t="s">
        <v>106</v>
      </c>
      <c r="K40" s="2" t="n">
        <f aca="false">(A40)/1.2</f>
        <v>16700</v>
      </c>
      <c r="L40" s="2" t="n">
        <f aca="false">K39-L39</f>
        <v>-3770.50791193064</v>
      </c>
      <c r="N40" s="1" t="n">
        <f aca="false">N38-N39</f>
        <v>6682.18791193064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15567.4481743424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5349.22182565761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461.618677079991</v>
      </c>
      <c r="L47" s="2" t="n">
        <f aca="false">L49-K42</f>
        <v>787</v>
      </c>
      <c r="M47" s="1" t="n">
        <f aca="false">K47-L47</f>
        <v>-325.381322920009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474.618677079991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474.618677079991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2004.1486482352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104.166683333333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461.618677079991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461.618677079991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474.618677079991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474.618677079991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25000.004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20040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20040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20040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17872.7610081771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17410.231242841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17410.231242841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7127.24299182288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685.779343017736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7543.57277319509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7543.57277319509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18.4363636363636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20.28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17.0181818181818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20.4218181818182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685.779343017736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704.215706654099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20916.67</v>
      </c>
      <c r="C121" s="117" t="n">
        <v>22916.67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25100.004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25100.004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25100.004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20916.67</v>
      </c>
      <c r="C125" s="129" t="n">
        <f aca="false">C121-C124</f>
        <v>22916.67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20916.67</v>
      </c>
      <c r="H135" s="150" t="n">
        <f aca="false">C125+E125+G125+H128</f>
        <v>22916.67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4183.334</v>
      </c>
      <c r="H137" s="33" t="n">
        <f aca="false">(H135+H136)*20%</f>
        <v>4583.334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25100.004</v>
      </c>
      <c r="H141" s="154" t="n">
        <f aca="false">(H135+H136+H139+H140+H137)-H138</f>
        <v>27500.004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25100.004</v>
      </c>
      <c r="H147" s="161" t="n">
        <f aca="false">H141-((H144*1.2)+(H145*1.2)+(H146*1.2)+(H142*1.2))</f>
        <v>27500.004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25000.004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685.779343017736</v>
      </c>
      <c r="B167" s="174" t="n">
        <f aca="false">B94</f>
        <v>18.4363636363636</v>
      </c>
      <c r="C167" s="171"/>
      <c r="D167" s="171"/>
      <c r="E167" s="174" t="n">
        <f aca="false">B96</f>
        <v>704.215706654099</v>
      </c>
      <c r="F167" s="23"/>
      <c r="G167" s="23"/>
      <c r="H167" s="33"/>
      <c r="J167" s="173" t="e">
        <f aca="false">K95</f>
        <v>#VALUE!</v>
      </c>
      <c r="K167" s="174" t="n">
        <f aca="false">K94</f>
        <v>20.28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17.0181818181818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20.4218181818182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20040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20040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20040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20040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22916.67</v>
      </c>
      <c r="B173" s="99" t="n">
        <f aca="false">H137</f>
        <v>4583.334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27500.004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25000.004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2583.56877319509</v>
      </c>
      <c r="B182" s="99" t="str">
        <f aca="false">B114</f>
        <v>199.99</v>
      </c>
      <c r="C182" s="99"/>
      <c r="D182" s="23"/>
      <c r="E182" s="99" t="n">
        <f aca="false">E179+A182+B182+A185</f>
        <v>27793.5627731951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20050</v>
      </c>
      <c r="F185" s="0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20060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20050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20050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8.1052</v>
      </c>
      <c r="B188" s="99" t="n">
        <f aca="false">(G158*B67)/1.2</f>
        <v>104.166683333333</v>
      </c>
      <c r="C188" s="130"/>
      <c r="D188" s="130"/>
      <c r="E188" s="99" t="n">
        <f aca="false">(E40*A108)*0.1*(C45/100)</f>
        <v>4.68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4.68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3.12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208.836683333333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704.215706654099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685.779343017736</v>
      </c>
      <c r="B212" s="174" t="n">
        <f aca="false">B167</f>
        <v>18.4363636363636</v>
      </c>
      <c r="C212" s="171"/>
      <c r="D212" s="171"/>
      <c r="E212" s="174" t="n">
        <f aca="false">E167</f>
        <v>704.215706654099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22916.67</v>
      </c>
      <c r="B215" s="99" t="n">
        <f aca="false">B173</f>
        <v>4583.334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27500.004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25000.004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2583.56877319509</v>
      </c>
      <c r="B224" s="99" t="str">
        <f aca="false">B182</f>
        <v>199.99</v>
      </c>
      <c r="C224" s="99"/>
      <c r="D224" s="109"/>
      <c r="E224" s="99" t="n">
        <f aca="false">E182</f>
        <v>27793.5627731951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685.779343017736</v>
      </c>
      <c r="B230" s="99" t="n">
        <f aca="false">B167</f>
        <v>18.4363636363636</v>
      </c>
      <c r="C230" s="183"/>
      <c r="D230" s="183"/>
      <c r="E230" s="99" t="n">
        <f aca="false">E167</f>
        <v>704.215706654099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20040</v>
      </c>
      <c r="B233" s="99" t="n">
        <f aca="false">E185</f>
        <v>20050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104.166683333333</v>
      </c>
      <c r="C240" s="130"/>
      <c r="D240" s="130"/>
      <c r="E240" s="99" t="n">
        <f aca="false">E188</f>
        <v>4.68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2208.83668333333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125.00002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146.79</v>
      </c>
      <c r="C255" s="194"/>
      <c r="D255" s="195" t="s">
        <v>215</v>
      </c>
      <c r="E255" s="195"/>
      <c r="F255" s="196" t="n">
        <f aca="false">(B254-F254)+B255</f>
        <v>21.78998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7543.57277319509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125.00002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46.8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21.78998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1469.34561247697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1444.84561247697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20113.0953566995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803.574643300522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4173.84725752204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16742.822742478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1444.84561247697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1469.34561247697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1469.34561247697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51.1666666666667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3037.66694666667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253.138912222222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1444.84561247697</v>
      </c>
      <c r="C83" s="472"/>
      <c r="D83" s="211"/>
      <c r="E83" s="465" t="n">
        <f aca="false">B83+E80+E77+E64</f>
        <v>1679.46600618068</v>
      </c>
      <c r="F83" s="63"/>
      <c r="G83" s="304" t="s">
        <v>104</v>
      </c>
      <c r="H83" s="305" t="n">
        <f aca="false">H47</f>
        <v>1444.84561247697</v>
      </c>
      <c r="I83" s="211"/>
      <c r="J83" s="211"/>
      <c r="K83" s="212"/>
      <c r="L83" s="63"/>
      <c r="M83" s="304" t="s">
        <v>104</v>
      </c>
      <c r="N83" s="305" t="n">
        <f aca="false">H47</f>
        <v>1444.84561247697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20375.8142963903</v>
      </c>
      <c r="C85" s="472"/>
      <c r="D85" s="472"/>
      <c r="E85" s="465" t="n">
        <f aca="false">B85/(B58+B57)</f>
        <v>1697.98452469919</v>
      </c>
      <c r="F85" s="63"/>
      <c r="G85" s="287" t="s">
        <v>114</v>
      </c>
      <c r="H85" s="127" t="n">
        <f aca="false">((H83*H29)+H81)*1.2</f>
        <v>21559.0768196684</v>
      </c>
      <c r="I85" s="211"/>
      <c r="J85" s="211"/>
      <c r="K85" s="212"/>
      <c r="L85" s="63"/>
      <c r="M85" s="287" t="s">
        <v>114</v>
      </c>
      <c r="N85" s="127" t="n">
        <f aca="false">((N83*H29)+N81)</f>
        <v>17952.1473497237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172.606736677772</v>
      </c>
      <c r="C86" s="472" t="s">
        <v>227</v>
      </c>
      <c r="D86" s="211"/>
      <c r="E86" s="465" t="n">
        <f aca="false">B86/(B58+B57)</f>
        <v>14.3838947231477</v>
      </c>
      <c r="F86" s="63"/>
      <c r="G86" s="210" t="s">
        <v>115</v>
      </c>
      <c r="H86" s="299" t="n">
        <f aca="false">((((H83*H29)+H81))/(1-H70))*H70</f>
        <v>152.191950118676</v>
      </c>
      <c r="I86" s="211"/>
      <c r="J86" s="211"/>
      <c r="K86" s="212"/>
      <c r="L86" s="63"/>
      <c r="M86" s="210" t="s">
        <v>115</v>
      </c>
      <c r="N86" s="299" t="n">
        <f aca="false">(N85/(1-N70))*N70</f>
        <v>152.075471699958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20548.4210330681</v>
      </c>
      <c r="C87" s="472"/>
      <c r="D87" s="474"/>
      <c r="E87" s="465" t="n">
        <f aca="false">E86+E85</f>
        <v>1712.36841942234</v>
      </c>
      <c r="F87" s="63"/>
      <c r="G87" s="284" t="s">
        <v>116</v>
      </c>
      <c r="H87" s="129" t="n">
        <f aca="false">IF(H110="YES",((H85+H86)-K114),(H85+H86))</f>
        <v>21711.2687697871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18104.2228214236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31.85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1712.36841942234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1277.1334570463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1064.95428361315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1744.21841942234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1360.14522175218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1134.13075420139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1277.1334570463</v>
      </c>
      <c r="H127" s="174" t="n">
        <f aca="false">IF(G105="YES", H89*H57, 0)</f>
        <v>498.070588235294</v>
      </c>
      <c r="I127" s="174"/>
      <c r="J127" s="333" t="n">
        <f aca="false">H91</f>
        <v>1360.14522175218</v>
      </c>
      <c r="K127" s="212"/>
      <c r="L127" s="63"/>
      <c r="M127" s="332" t="n">
        <f aca="false">N90</f>
        <v>1064.95428361315</v>
      </c>
      <c r="N127" s="174" t="n">
        <f aca="false">IF(M105="YES", N89*N57, 0)</f>
        <v>415.058823529412</v>
      </c>
      <c r="O127" s="174"/>
      <c r="P127" s="174" t="n">
        <f aca="false">N91</f>
        <v>1134.13075420139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1712.36841942234</v>
      </c>
      <c r="B128" s="320" t="n">
        <f aca="false">IF(A105="YES", B89, 0)</f>
        <v>31.85</v>
      </c>
      <c r="C128" s="324"/>
      <c r="D128" s="320" t="n">
        <f aca="false">B91</f>
        <v>1744.21841942234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1712.36841942234</v>
      </c>
      <c r="C131" s="316"/>
      <c r="D131" s="38" t="n">
        <f aca="false">IF(A105="YES", B89*B57, 0)</f>
        <v>31.85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7662.80074227779</v>
      </c>
      <c r="H133" s="99" t="n">
        <f aca="false">IF(G105="YES", H89*H57, 0)</f>
        <v>498.070588235294</v>
      </c>
      <c r="I133" s="217"/>
      <c r="J133" s="181" t="n">
        <f aca="false">H91*H57</f>
        <v>8160.87133051308</v>
      </c>
      <c r="K133" s="212"/>
      <c r="L133" s="63"/>
      <c r="M133" s="182" t="n">
        <f aca="false">N90*N57</f>
        <v>6389.72570167893</v>
      </c>
      <c r="N133" s="99" t="n">
        <f aca="false">IF(M105="YES", N89*N57, 0)</f>
        <v>415.058823529412</v>
      </c>
      <c r="O133" s="217"/>
      <c r="P133" s="181" t="n">
        <f aca="false">N91*N57</f>
        <v>6804.78452520834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1744.21841942234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1712.36841942234</v>
      </c>
      <c r="B137" s="38" t="n">
        <f aca="false">IF(A105="YES", B89, 0)</f>
        <v>31.85</v>
      </c>
      <c r="C137" s="316"/>
      <c r="D137" s="38" t="n">
        <f aca="false">B91</f>
        <v>1744.21841942234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8.82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634.31002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1360.14522175218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1134.13075420139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1744.21841942234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1712.36841942234</v>
      </c>
      <c r="B177" s="354" t="n">
        <f aca="false">IF(A105="YES", B89, 0)</f>
        <v>31.85</v>
      </c>
      <c r="C177" s="356"/>
      <c r="D177" s="354" t="n">
        <f aca="false">B91</f>
        <v>1744.21841942234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1712.36841942234</v>
      </c>
      <c r="C180" s="352"/>
      <c r="D180" s="99" t="n">
        <f aca="false">IF(A105="YES", B89*B57, 0)</f>
        <v>31.85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1744.21841942234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1712.36841942234</v>
      </c>
      <c r="B186" s="99" t="n">
        <f aca="false">IF(A105="YES", B89, 0)</f>
        <v>31.85</v>
      </c>
      <c r="C186" s="352"/>
      <c r="D186" s="99" t="n">
        <f aca="false">B91</f>
        <v>1744.21841942234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8.82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634.31002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428.19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2059.69026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2059.69026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88.2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172.606736677772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20916.67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17910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8" t="n">
        <f aca="false">H48</f>
        <v>1508.85615626361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1484.35615626361</v>
      </c>
      <c r="B36" s="99" t="n">
        <f aca="false">IF(B26="YES", H42, "")</f>
        <v>24.5</v>
      </c>
      <c r="C36" s="217"/>
      <c r="D36" s="181" t="n">
        <f aca="false">H31</f>
        <v>17910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19677.8294599218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5373</v>
      </c>
      <c r="B40" s="103" t="n">
        <f aca="false">IF(B26="YES",H42,"0")</f>
        <v>24.5</v>
      </c>
      <c r="C40" s="103"/>
      <c r="D40" s="181" t="n">
        <f aca="false">I32</f>
        <v>980</v>
      </c>
      <c r="E40" s="212"/>
      <c r="F40" s="63"/>
      <c r="G40" s="63" t="s">
        <v>106</v>
      </c>
      <c r="H40" s="234" t="n">
        <f aca="false">A40/1.2</f>
        <v>4477.5</v>
      </c>
      <c r="I40" s="234" t="n">
        <f aca="false">H39-I39</f>
        <v>1238.84054007824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24.5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4023.91312329236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16892.7568767076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11.3805280528022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1484.35615626361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1508.85615626361</v>
      </c>
      <c r="I48" s="234" t="n">
        <f aca="false">I49-H42</f>
        <v>1375.5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1508.85615626361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1757.00028</v>
      </c>
      <c r="C64" s="464" t="n">
        <v>10000</v>
      </c>
      <c r="D64" s="290" t="n">
        <f aca="false">B64</f>
        <v>1757.00028</v>
      </c>
      <c r="E64" s="465" t="n">
        <f aca="false">D64/(B58+B57)</f>
        <v>146.41669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125.50002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471" t="n">
        <f aca="false">B73+B71</f>
        <v>214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314.166666666667</v>
      </c>
      <c r="C76" s="211"/>
      <c r="D76" s="290" t="n">
        <f aca="false">B76</f>
        <v>314.166666666667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2"/>
      <c r="D77" s="290" t="n">
        <f aca="false">B77</f>
        <v>444.444444444444</v>
      </c>
      <c r="E77" s="465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77.3472222222222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3351.83361333333</v>
      </c>
      <c r="C81" s="472"/>
      <c r="D81" s="473"/>
      <c r="E81" s="465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279.319467777778</v>
      </c>
      <c r="C82" s="472"/>
      <c r="D82" s="211"/>
      <c r="E82" s="465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1484.35615626361</v>
      </c>
      <c r="C83" s="472"/>
      <c r="D83" s="211"/>
      <c r="E83" s="465" t="n">
        <f aca="false">B83+E80+E77+E64</f>
        <v>1745.15710552287</v>
      </c>
      <c r="F83" s="63"/>
      <c r="G83" s="304" t="s">
        <v>104</v>
      </c>
      <c r="H83" s="305" t="n">
        <f aca="false">H47</f>
        <v>1484.35615626361</v>
      </c>
      <c r="I83" s="211"/>
      <c r="J83" s="211"/>
      <c r="K83" s="212"/>
      <c r="L83" s="63"/>
      <c r="M83" s="304" t="s">
        <v>104</v>
      </c>
      <c r="N83" s="305" t="n">
        <f aca="false">H47</f>
        <v>1484.35615626361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25396.928986196</v>
      </c>
      <c r="C85" s="472"/>
      <c r="D85" s="472"/>
      <c r="E85" s="465" t="n">
        <f aca="false">B85/(B58+B57)</f>
        <v>2116.41074884967</v>
      </c>
      <c r="F85" s="63"/>
      <c r="G85" s="287" t="s">
        <v>114</v>
      </c>
      <c r="H85" s="127" t="n">
        <f aca="false">((H83*H29)+H81)*1.2</f>
        <v>22128.028650196</v>
      </c>
      <c r="I85" s="211"/>
      <c r="J85" s="211"/>
      <c r="K85" s="212"/>
      <c r="L85" s="63"/>
      <c r="M85" s="287" t="s">
        <v>114</v>
      </c>
      <c r="N85" s="127" t="n">
        <f aca="false">((N83*H29)+N81)</f>
        <v>18426.2738751633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179.284492641561</v>
      </c>
      <c r="C86" s="472" t="s">
        <v>227</v>
      </c>
      <c r="D86" s="211"/>
      <c r="E86" s="465" t="n">
        <f aca="false">B86/(B58+B57)</f>
        <v>14.9403743867968</v>
      </c>
      <c r="F86" s="63"/>
      <c r="G86" s="210" t="s">
        <v>115</v>
      </c>
      <c r="H86" s="299" t="n">
        <f aca="false">((((H83*H29)+H81))/(1-H70))*H70</f>
        <v>156.208350697229</v>
      </c>
      <c r="I86" s="211"/>
      <c r="J86" s="211"/>
      <c r="K86" s="212"/>
      <c r="L86" s="63"/>
      <c r="M86" s="210" t="s">
        <v>115</v>
      </c>
      <c r="N86" s="299" t="n">
        <f aca="false">(N85/(1-N70))*N70</f>
        <v>156.091872278511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25576.2134788375</v>
      </c>
      <c r="C87" s="472"/>
      <c r="D87" s="474"/>
      <c r="E87" s="465" t="n">
        <f aca="false">E86+E85</f>
        <v>2131.35112323646</v>
      </c>
      <c r="F87" s="63"/>
      <c r="G87" s="284" t="s">
        <v>116</v>
      </c>
      <c r="H87" s="129" t="n">
        <f aca="false">IF(H110="YES",((H85+H86)-K114),(H85+H86))</f>
        <v>22284.2370008932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18582.3657474418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35.28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83.0117647058824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69.1764705882353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2131.35112323646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1310.83747064078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1093.08033808481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2166.63112323646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1393.84923534666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1162.25680867305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1310.83747064078</v>
      </c>
      <c r="H127" s="174" t="n">
        <f aca="false">IF(G105="YES", H89*H57, 0)</f>
        <v>498.070588235294</v>
      </c>
      <c r="I127" s="174"/>
      <c r="J127" s="333" t="n">
        <f aca="false">H91</f>
        <v>1393.84923534666</v>
      </c>
      <c r="K127" s="212"/>
      <c r="L127" s="63"/>
      <c r="M127" s="332" t="n">
        <f aca="false">N90</f>
        <v>1093.08033808481</v>
      </c>
      <c r="N127" s="174" t="n">
        <f aca="false">IF(M105="YES", N89*N57, 0)</f>
        <v>415.058823529412</v>
      </c>
      <c r="O127" s="174"/>
      <c r="P127" s="174" t="n">
        <f aca="false">N91</f>
        <v>1162.25680867305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2131.35112323646</v>
      </c>
      <c r="B128" s="320" t="n">
        <f aca="false">IF(A105="YES", B89, 0)</f>
        <v>35.28</v>
      </c>
      <c r="C128" s="324"/>
      <c r="D128" s="320" t="n">
        <f aca="false">B91</f>
        <v>2166.63112323646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2131.35112323646</v>
      </c>
      <c r="C131" s="316"/>
      <c r="D131" s="38" t="n">
        <f aca="false">IF(A105="YES", B89*B57, 0)</f>
        <v>35.28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7865.02482384467</v>
      </c>
      <c r="H133" s="99" t="n">
        <f aca="false">IF(G105="YES", H89*H57, 0)</f>
        <v>498.070588235294</v>
      </c>
      <c r="I133" s="217"/>
      <c r="J133" s="181" t="n">
        <f aca="false">H91*H57</f>
        <v>8363.09541207996</v>
      </c>
      <c r="K133" s="212"/>
      <c r="L133" s="63"/>
      <c r="M133" s="182" t="n">
        <f aca="false">N90*N57</f>
        <v>6558.48202850888</v>
      </c>
      <c r="N133" s="99" t="n">
        <f aca="false">IF(M105="YES", N89*N57, 0)</f>
        <v>415.058823529412</v>
      </c>
      <c r="O133" s="217"/>
      <c r="P133" s="181" t="n">
        <f aca="false">N91*N57</f>
        <v>6973.5408520383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2166.63112323646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2131.35112323646</v>
      </c>
      <c r="B137" s="38" t="n">
        <f aca="false">IF(A105="YES", B89, 0)</f>
        <v>35.28</v>
      </c>
      <c r="C137" s="316"/>
      <c r="D137" s="38" t="n">
        <f aca="false">B91</f>
        <v>2166.63112323646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5.88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5.88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125.50002</v>
      </c>
      <c r="B148" s="99" t="n">
        <f aca="false">B102</f>
        <v>400</v>
      </c>
      <c r="C148" s="38"/>
      <c r="D148" s="38" t="n">
        <f aca="false">IF(A105="YES", (B40*B105)*B125, 0)*0.1</f>
        <v>5.88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66.6583333333334</v>
      </c>
      <c r="B151" s="38" t="n">
        <f aca="false">(A148+B148+D148+A151)*(A143/B64)</f>
        <v>0</v>
      </c>
      <c r="C151" s="38"/>
      <c r="D151" s="38" t="n">
        <f aca="false">(A148+B148+D148+A151)-B151</f>
        <v>598.038353333333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1393.84923534666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1162.25680867305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2166.63112323646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2131.35112323646</v>
      </c>
      <c r="B177" s="354" t="n">
        <f aca="false">IF(A105="YES", B89, 0)</f>
        <v>35.28</v>
      </c>
      <c r="C177" s="356"/>
      <c r="D177" s="354" t="n">
        <f aca="false">B91</f>
        <v>2166.63112323646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2131.35112323646</v>
      </c>
      <c r="C180" s="352"/>
      <c r="D180" s="99" t="n">
        <f aca="false">IF(A105="YES", B89*B57, 0)</f>
        <v>35.28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2166.63112323646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2131.35112323646</v>
      </c>
      <c r="B186" s="99" t="n">
        <f aca="false">IF(A105="YES", B89, 0)</f>
        <v>35.28</v>
      </c>
      <c r="C186" s="352"/>
      <c r="D186" s="99" t="n">
        <f aca="false">B91</f>
        <v>2166.63112323646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125.50002</v>
      </c>
      <c r="B197" s="99" t="n">
        <f aca="false">B102</f>
        <v>400</v>
      </c>
      <c r="C197" s="99"/>
      <c r="D197" s="99" t="n">
        <f aca="false">IF(A105="YES", (B40*B105)*B125, 0)*0.1</f>
        <v>5.88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66.6583333333334</v>
      </c>
      <c r="B200" s="99" t="n">
        <f aca="false">(A148+B148+D148+A151)*(A143/B64)</f>
        <v>0</v>
      </c>
      <c r="C200" s="99"/>
      <c r="D200" s="99" t="n">
        <f aca="false">(A148+B148+D148+A151)-B151</f>
        <v>598.038353333333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1757.00028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125.50002</v>
      </c>
      <c r="C211" s="319" t="s">
        <v>214</v>
      </c>
      <c r="D211" s="369" t="n">
        <f aca="false">B225+E221+B221+B223</f>
        <v>365.458333333333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1996.95859333333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1757.00028</v>
      </c>
      <c r="C217" s="374" t="s">
        <v>218</v>
      </c>
      <c r="D217" s="316"/>
      <c r="E217" s="375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125.50002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66.6583333333334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1996.95859333333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58.8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179.284492641561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20916.67</v>
      </c>
      <c r="C2" s="4" t="s">
        <v>2</v>
      </c>
      <c r="D2" s="5" t="n">
        <f aca="false">C9</f>
        <v>4183.334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25100.004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4183.334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20916.67</v>
      </c>
      <c r="C15" s="14" t="n">
        <f aca="false">SUM(C9:C13)</f>
        <v>4183.334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25100.004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20916.67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12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17670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980.8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356.858378547967</v>
      </c>
      <c r="E33" s="212"/>
      <c r="F33" s="63"/>
      <c r="G33" s="215" t="s">
        <v>354</v>
      </c>
      <c r="H33" s="459" t="n">
        <f aca="false">E21-E11</f>
        <v>20916.67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356.858378547967</v>
      </c>
      <c r="B36" s="99" t="n">
        <f aca="false">IF(B26="YES", H42, "")</f>
        <v>0</v>
      </c>
      <c r="C36" s="217"/>
      <c r="D36" s="181" t="n">
        <f aca="false">H31</f>
        <v>13590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20916.67</v>
      </c>
      <c r="I39" s="234" t="n">
        <f aca="false">(I48*H46)+H44</f>
        <v>54951.7616359343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13590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11325</v>
      </c>
      <c r="I40" s="234" t="n">
        <f aca="false">H39-I39</f>
        <v>-34035.0916359343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9273.2772284371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11643.3927715629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356.858378547967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356.858378547967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356.858378547967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25100.004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2635.50042</v>
      </c>
      <c r="C64" s="464" t="n">
        <v>10000</v>
      </c>
      <c r="D64" s="290" t="n">
        <f aca="false">B64</f>
        <v>2635.50042</v>
      </c>
      <c r="E64" s="465" t="n">
        <f aca="false">D64/(B58+B57)</f>
        <v>73.208345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251.00004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162</v>
      </c>
      <c r="C73" s="211"/>
      <c r="D73" s="471" t="n">
        <f aca="false">B73+B71</f>
        <v>322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894.166666666667</v>
      </c>
      <c r="C76" s="211"/>
      <c r="D76" s="290" t="n">
        <f aca="false">B76</f>
        <v>894.166666666667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44.8935185185185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4251.66708666667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118.101863518519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356.858378547967</v>
      </c>
      <c r="C83" s="472"/>
      <c r="D83" s="211"/>
      <c r="E83" s="465" t="n">
        <f aca="false">B83+E80+E77+E64</f>
        <v>474.960242066485</v>
      </c>
      <c r="F83" s="63"/>
      <c r="G83" s="304" t="s">
        <v>104</v>
      </c>
      <c r="H83" s="305" t="n">
        <f aca="false">H47</f>
        <v>356.858378547967</v>
      </c>
      <c r="I83" s="211"/>
      <c r="J83" s="211"/>
      <c r="K83" s="212"/>
      <c r="L83" s="63"/>
      <c r="M83" s="304" t="s">
        <v>104</v>
      </c>
      <c r="N83" s="305" t="n">
        <f aca="false">H47</f>
        <v>356.858378547967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17098.5687143935</v>
      </c>
      <c r="C85" s="472"/>
      <c r="D85" s="472"/>
      <c r="E85" s="465" t="n">
        <f aca="false">B85/(B58+B57)</f>
        <v>474.960242066485</v>
      </c>
      <c r="F85" s="63"/>
      <c r="G85" s="287" t="s">
        <v>114</v>
      </c>
      <c r="H85" s="127" t="n">
        <f aca="false">((H83*H29)+H81)*1.2</f>
        <v>16695.1819532722</v>
      </c>
      <c r="I85" s="211"/>
      <c r="J85" s="211"/>
      <c r="K85" s="212"/>
      <c r="L85" s="63"/>
      <c r="M85" s="287" t="s">
        <v>114</v>
      </c>
      <c r="N85" s="127" t="n">
        <f aca="false">((N83*H29)+N81)</f>
        <v>13568.9016277268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144.844672449481</v>
      </c>
      <c r="C86" s="472" t="s">
        <v>227</v>
      </c>
      <c r="D86" s="211"/>
      <c r="E86" s="465" t="n">
        <f aca="false">B86/(B58+B57)</f>
        <v>4.02346312359669</v>
      </c>
      <c r="F86" s="63"/>
      <c r="G86" s="210" t="s">
        <v>115</v>
      </c>
      <c r="H86" s="299" t="n">
        <f aca="false">((((H83*H29)+H81))/(1-H70))*H70</f>
        <v>117.856266309908</v>
      </c>
      <c r="I86" s="211"/>
      <c r="J86" s="211"/>
      <c r="K86" s="212"/>
      <c r="L86" s="63"/>
      <c r="M86" s="210" t="s">
        <v>115</v>
      </c>
      <c r="N86" s="299" t="n">
        <f aca="false">(N85/(1-N70))*N70</f>
        <v>114.944305841978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17243.413386843</v>
      </c>
      <c r="C87" s="472"/>
      <c r="D87" s="474"/>
      <c r="E87" s="465" t="n">
        <f aca="false">E86+E85</f>
        <v>478.983705190082</v>
      </c>
      <c r="F87" s="63"/>
      <c r="G87" s="284" t="s">
        <v>116</v>
      </c>
      <c r="H87" s="129" t="n">
        <f aca="false">IF(H110="YES",((H85+H86)-K114),(H85+H86))</f>
        <v>16813.0382195821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13683.8459335688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478.983705190082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410.074102916636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333.752339843141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478.983705190082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410.074102916636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333.752339843141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410.074102916636</v>
      </c>
      <c r="H127" s="174" t="n">
        <f aca="false">IF(G105="YES", H89*H57, 0)</f>
        <v>0</v>
      </c>
      <c r="I127" s="174"/>
      <c r="J127" s="333" t="n">
        <f aca="false">H91</f>
        <v>410.074102916636</v>
      </c>
      <c r="K127" s="212"/>
      <c r="L127" s="63"/>
      <c r="M127" s="332" t="n">
        <f aca="false">N90</f>
        <v>333.752339843141</v>
      </c>
      <c r="N127" s="174" t="n">
        <f aca="false">IF(M105="YES", N89*N57, 0)</f>
        <v>0</v>
      </c>
      <c r="O127" s="174"/>
      <c r="P127" s="174" t="n">
        <f aca="false">N91</f>
        <v>333.752339843141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478.983705190082</v>
      </c>
      <c r="B128" s="320" t="n">
        <f aca="false">IF(A105="YES", B89, 0)</f>
        <v>0</v>
      </c>
      <c r="C128" s="324"/>
      <c r="D128" s="320" t="n">
        <f aca="false">B91</f>
        <v>478.983705190082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478.983705190082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2460.44461749982</v>
      </c>
      <c r="H133" s="99" t="n">
        <f aca="false">IF(G105="YES", H89*H57, 0)</f>
        <v>0</v>
      </c>
      <c r="I133" s="217"/>
      <c r="J133" s="181" t="n">
        <f aca="false">H91*H57</f>
        <v>2460.44461749982</v>
      </c>
      <c r="K133" s="212"/>
      <c r="L133" s="63"/>
      <c r="M133" s="182" t="n">
        <f aca="false">N90*N57</f>
        <v>2002.51403905885</v>
      </c>
      <c r="N133" s="99" t="n">
        <f aca="false">IF(M105="YES", N89*N57, 0)</f>
        <v>0</v>
      </c>
      <c r="O133" s="217"/>
      <c r="P133" s="181" t="n">
        <f aca="false">N91*N57</f>
        <v>2002.51403905885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478.983705190082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478.983705190082</v>
      </c>
      <c r="B137" s="38" t="n">
        <f aca="false">IF(A105="YES", B89, 0)</f>
        <v>0</v>
      </c>
      <c r="C137" s="316"/>
      <c r="D137" s="38" t="n">
        <f aca="false">B91</f>
        <v>478.983705190082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251.00004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350.99004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410.074102916636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333.752339843141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478.983705190082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478.983705190082</v>
      </c>
      <c r="B177" s="354" t="n">
        <f aca="false">IF(A105="YES", B89, 0)</f>
        <v>0</v>
      </c>
      <c r="C177" s="356"/>
      <c r="D177" s="354" t="n">
        <f aca="false">B91</f>
        <v>478.983705190082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478.983705190082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478.983705190082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478.983705190082</v>
      </c>
      <c r="B186" s="99" t="n">
        <f aca="false">IF(A105="YES", B89, 0)</f>
        <v>0</v>
      </c>
      <c r="C186" s="352"/>
      <c r="D186" s="99" t="n">
        <f aca="false">B91</f>
        <v>478.983705190082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251.00004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350.99004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2635.50042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251.00004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2484.49038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2635.50042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251.00004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2484.49038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144.844672449481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3" colorId="64" zoomScale="65" zoomScaleNormal="6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197.916666666667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200.583333333333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200.583333333333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17741.70069082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200.583333333333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200.583333333333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200.583333333333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16773.8739496476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1613.97279007455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17753.70069082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17753.70069082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1613.97279007455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1613.97279007455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1613.97279007455</v>
      </c>
      <c r="B176" s="174" t="n">
        <f aca="false">B103</f>
        <v>0</v>
      </c>
      <c r="C176" s="171"/>
      <c r="D176" s="171"/>
      <c r="E176" s="174" t="n">
        <f aca="false">B105</f>
        <v>1613.97279007455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-6246.29930918</v>
      </c>
      <c r="B191" s="99" t="str">
        <f aca="false">B123</f>
        <v>239.99</v>
      </c>
      <c r="C191" s="99"/>
      <c r="D191" s="23"/>
      <c r="E191" s="99" t="n">
        <f aca="false">E188+A191+B191+A194</f>
        <v>24003.69069082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224.991666666667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1613.97279007455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1613.97279007455</v>
      </c>
      <c r="B221" s="174" t="n">
        <f aca="false">B176</f>
        <v>0</v>
      </c>
      <c r="C221" s="171"/>
      <c r="D221" s="171"/>
      <c r="E221" s="174" t="n">
        <f aca="false">E176</f>
        <v>1613.97279007455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-6246.29930918</v>
      </c>
      <c r="B233" s="99" t="str">
        <f aca="false">B191</f>
        <v>239.99</v>
      </c>
      <c r="C233" s="99"/>
      <c r="D233" s="109"/>
      <c r="E233" s="99" t="n">
        <f aca="false">E191</f>
        <v>24003.69069082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1613.97279007455</v>
      </c>
      <c r="B239" s="99" t="n">
        <f aca="false">B176</f>
        <v>0</v>
      </c>
      <c r="C239" s="183"/>
      <c r="D239" s="183"/>
      <c r="E239" s="99" t="n">
        <f aca="false">E176</f>
        <v>1613.97279007455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2099.99166666667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-50.0083333333333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17753.70069082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-50.0083333333333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65" zoomScaleNormal="65" zoomScalePageLayoutView="100" workbookViewId="0">
      <selection pane="topLeft" activeCell="E194" activeCellId="0" sqref="E194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3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23125</v>
      </c>
      <c r="B37" s="32"/>
      <c r="C37" s="41" t="s">
        <v>45</v>
      </c>
      <c r="D37" s="41"/>
      <c r="E37" s="32"/>
      <c r="F37" s="43" t="n">
        <f aca="false">A37-C37</f>
        <v>22125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4625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302.083333333333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247.916666666667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250.583333333333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200.583333333333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378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250.583333333333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0.099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18550.3297563064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150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250.583333333333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250.583333333333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250.583333333333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22125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5060.54116404148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10.1123646471031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17064.4588359585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1687.48452330058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18562.3297563064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18562.3297563064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1687.48452330058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1752.93906875513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232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0.1715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27750</v>
      </c>
      <c r="C130" s="117" t="n">
        <v>25000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27750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27750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27750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27750</v>
      </c>
      <c r="C134" s="129" t="n">
        <f aca="false">C130-C133</f>
        <v>25000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23125</v>
      </c>
      <c r="H144" s="150" t="n">
        <f aca="false">C134+E134+G134+H137</f>
        <v>25000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4625</v>
      </c>
      <c r="H146" s="33" t="n">
        <f aca="false">(H144+H145)*20%</f>
        <v>5000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27750</v>
      </c>
      <c r="H150" s="154" t="n">
        <f aca="false">(H144+H145+H148+H149+H146)-H147</f>
        <v>30000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27750</v>
      </c>
      <c r="H156" s="161" t="n">
        <f aca="false">H150-((H153*1.2)+(H154*1.2)+(H155*1.2)+(H151*1.2))</f>
        <v>30000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1875</v>
      </c>
      <c r="I157" s="1" t="n">
        <f aca="false">(H157-G90)/1.2</f>
        <v>1562.5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30000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1687.48452330058</v>
      </c>
      <c r="B176" s="174" t="n">
        <f aca="false">B103</f>
        <v>65.4545454545455</v>
      </c>
      <c r="C176" s="171"/>
      <c r="D176" s="171"/>
      <c r="E176" s="174" t="n">
        <f aca="false">B105</f>
        <v>1752.93906875513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25000</v>
      </c>
      <c r="B182" s="99" t="n">
        <f aca="false">H146</f>
        <v>5000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30000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30000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-5437.67024369357</v>
      </c>
      <c r="B191" s="99" t="str">
        <f aca="false">B123</f>
        <v>199.99</v>
      </c>
      <c r="C191" s="99"/>
      <c r="D191" s="23"/>
      <c r="E191" s="99" t="n">
        <f aca="false">E188+A191+B191+A194</f>
        <v>24772.3197563064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224.99</v>
      </c>
      <c r="C200" s="130"/>
      <c r="D200" s="130"/>
      <c r="E200" s="99" t="n">
        <f aca="false">H157</f>
        <v>1875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1752.93906875513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1687.48452330058</v>
      </c>
      <c r="B221" s="174" t="n">
        <f aca="false">B176</f>
        <v>65.4545454545455</v>
      </c>
      <c r="C221" s="171"/>
      <c r="D221" s="171"/>
      <c r="E221" s="174" t="n">
        <f aca="false">E176</f>
        <v>1752.93906875513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25000</v>
      </c>
      <c r="B224" s="99" t="n">
        <f aca="false">B182</f>
        <v>5000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30000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30000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-5437.67024369357</v>
      </c>
      <c r="B233" s="99" t="str">
        <f aca="false">B191</f>
        <v>199.99</v>
      </c>
      <c r="C233" s="99"/>
      <c r="D233" s="109"/>
      <c r="E233" s="99" t="n">
        <f aca="false">E191</f>
        <v>24772.3197563064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1687.48452330058</v>
      </c>
      <c r="B239" s="99" t="n">
        <f aca="false">B176</f>
        <v>65.4545454545455</v>
      </c>
      <c r="C239" s="183"/>
      <c r="D239" s="183"/>
      <c r="E239" s="99" t="n">
        <f aca="false">E176</f>
        <v>1752.93906875513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1875</v>
      </c>
      <c r="B249" s="99" t="n">
        <f aca="false">B197</f>
        <v>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2099.99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0.099</v>
      </c>
      <c r="C262" s="194"/>
      <c r="D262" s="195" t="s">
        <v>211</v>
      </c>
      <c r="E262" s="195"/>
      <c r="F262" s="193" t="n">
        <f aca="false">B92</f>
        <v>0.1715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150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-50.01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0.099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0.1715</v>
      </c>
      <c r="C269" s="43"/>
      <c r="D269" s="163" t="s">
        <v>212</v>
      </c>
      <c r="E269" s="163"/>
      <c r="F269" s="143" t="n">
        <f aca="false">(B98*B68)-(C98*B68)</f>
        <v>18562.3297563064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150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-50.01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65" zoomScaleNormal="6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20188.7920907211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281.25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17745.1467407538</v>
      </c>
      <c r="C88" s="130" t="n">
        <f aca="false">B81-B86</f>
        <v>17745.1467407538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646.536116471398</v>
      </c>
      <c r="C89" s="130" t="n">
        <f aca="false">(B88/B87)</f>
        <v>646.536116471398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20689.1557270847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20689.1557270847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646.536116471398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646.536116471398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646.536116471398</v>
      </c>
      <c r="B167" s="174" t="n">
        <f aca="false">B94</f>
        <v>0</v>
      </c>
      <c r="C167" s="171"/>
      <c r="D167" s="171"/>
      <c r="E167" s="174" t="n">
        <f aca="false">B96</f>
        <v>646.536116471398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-3310.84427291526</v>
      </c>
      <c r="B182" s="99" t="str">
        <f aca="false">B114</f>
        <v>239.99</v>
      </c>
      <c r="C182" s="99"/>
      <c r="D182" s="23"/>
      <c r="E182" s="99" t="n">
        <f aca="false">E179+A182+B182+A185</f>
        <v>26939.1457270847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234.375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334.366666666667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646.536116471398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646.536116471398</v>
      </c>
      <c r="B212" s="174" t="n">
        <f aca="false">B167</f>
        <v>0</v>
      </c>
      <c r="C212" s="171"/>
      <c r="D212" s="171"/>
      <c r="E212" s="174" t="n">
        <f aca="false">E167</f>
        <v>646.536116471398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-3310.84427291526</v>
      </c>
      <c r="B224" s="99" t="str">
        <f aca="false">B182</f>
        <v>239.99</v>
      </c>
      <c r="C224" s="99"/>
      <c r="D224" s="109"/>
      <c r="E224" s="99" t="n">
        <f aca="false">E182</f>
        <v>26939.1457270847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646.536116471398</v>
      </c>
      <c r="B230" s="99" t="n">
        <f aca="false">B167</f>
        <v>0</v>
      </c>
      <c r="C230" s="183"/>
      <c r="D230" s="183"/>
      <c r="E230" s="99" t="n">
        <f aca="false">E167</f>
        <v>646.536116471398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234.375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2209.36666666667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281.25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-181.258333333333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281.25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-181.258333333333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65" zoomScaleNormal="6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0.099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18061.3297563064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5060.54116404148</v>
      </c>
      <c r="C86" s="130" t="n">
        <f aca="false">(B82/((1+B84)^(B85+1)))</f>
        <v>5060.54116404148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10.1123646471031</v>
      </c>
      <c r="C87" s="130" t="n">
        <f aca="false">((1-(1/((1+B84)^B85)))/B84)</f>
        <v>10.1123646471031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17064.4588359585</v>
      </c>
      <c r="C88" s="130" t="n">
        <f aca="false">B81-B86</f>
        <v>17064.4588359585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1687.48452330058</v>
      </c>
      <c r="C89" s="130" t="n">
        <f aca="false">(B88/B87)</f>
        <v>1687.48452330058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18562.3297563064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18562.3297563064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1687.48452330058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1687.48452330058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1687.48452330058</v>
      </c>
      <c r="B167" s="174" t="n">
        <f aca="false">B94</f>
        <v>0</v>
      </c>
      <c r="C167" s="171"/>
      <c r="D167" s="171"/>
      <c r="E167" s="174" t="n">
        <f aca="false">B96</f>
        <v>1687.48452330058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-5437.67024369357</v>
      </c>
      <c r="B182" s="99" t="str">
        <f aca="false">B114</f>
        <v>199.99</v>
      </c>
      <c r="C182" s="99"/>
      <c r="D182" s="23"/>
      <c r="E182" s="99" t="n">
        <f aca="false">E179+A182+B182+A185</f>
        <v>24772.3197563064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1687.48452330058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1687.48452330058</v>
      </c>
      <c r="B212" s="174" t="n">
        <f aca="false">B167</f>
        <v>0</v>
      </c>
      <c r="C212" s="171"/>
      <c r="D212" s="171"/>
      <c r="E212" s="174" t="n">
        <f aca="false">E167</f>
        <v>1687.48452330058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-5437.67024369357</v>
      </c>
      <c r="B224" s="99" t="str">
        <f aca="false">B182</f>
        <v>199.99</v>
      </c>
      <c r="C224" s="99"/>
      <c r="D224" s="109"/>
      <c r="E224" s="99" t="n">
        <f aca="false">E182</f>
        <v>24772.3197563064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1687.48452330058</v>
      </c>
      <c r="B230" s="99" t="n">
        <f aca="false">B167</f>
        <v>0</v>
      </c>
      <c r="C230" s="183"/>
      <c r="D230" s="183"/>
      <c r="E230" s="99" t="n">
        <f aca="false">E167</f>
        <v>1687.48452330058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65" zoomScaleNormal="6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17252.70069082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130" t="n">
        <f aca="false">(B82/((1+B84)^(B85+1)))</f>
        <v>5351.12605035243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16773.8739496476</v>
      </c>
      <c r="C88" s="130" t="n">
        <f aca="false">B81-B86</f>
        <v>16773.8739496476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1613.97279007455</v>
      </c>
      <c r="C89" s="130" t="n">
        <f aca="false">(B88/B87)</f>
        <v>1613.97279007455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17753.70069082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17753.70069082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1613.97279007455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1613.97279007455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1613.97279007455</v>
      </c>
      <c r="B167" s="174" t="n">
        <f aca="false">B94</f>
        <v>0</v>
      </c>
      <c r="C167" s="171"/>
      <c r="D167" s="171"/>
      <c r="E167" s="174" t="n">
        <f aca="false">B96</f>
        <v>1613.97279007455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-6246.29930918</v>
      </c>
      <c r="B182" s="99" t="str">
        <f aca="false">B114</f>
        <v>239.99</v>
      </c>
      <c r="C182" s="99"/>
      <c r="D182" s="23"/>
      <c r="E182" s="99" t="n">
        <f aca="false">E179+A182+B182+A185</f>
        <v>24003.69069082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224.991666666667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1613.97279007455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1613.97279007455</v>
      </c>
      <c r="B212" s="174" t="n">
        <f aca="false">B167</f>
        <v>0</v>
      </c>
      <c r="C212" s="171"/>
      <c r="D212" s="171"/>
      <c r="E212" s="174" t="n">
        <f aca="false">E167</f>
        <v>1613.97279007455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-6246.29930918</v>
      </c>
      <c r="B224" s="99" t="str">
        <f aca="false">B182</f>
        <v>239.99</v>
      </c>
      <c r="C224" s="99"/>
      <c r="D224" s="109"/>
      <c r="E224" s="99" t="n">
        <f aca="false">E182</f>
        <v>24003.69069082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1613.97279007455</v>
      </c>
      <c r="B230" s="99" t="n">
        <f aca="false">B167</f>
        <v>0</v>
      </c>
      <c r="C230" s="183"/>
      <c r="D230" s="183"/>
      <c r="E230" s="99" t="n">
        <f aca="false">E167</f>
        <v>1613.97279007455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2099.99166666667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-50.0083333333333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-50.0083333333333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65" zoomScaleNormal="6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262" t="s">
        <v>38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378</v>
      </c>
      <c r="I36" s="0"/>
      <c r="J36" s="44" t="s">
        <v>51</v>
      </c>
      <c r="K36" s="52" t="n">
        <f aca="false">K32-K34</f>
        <v>22125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17252.70069082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150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22125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130" t="n">
        <f aca="false">(B82/((1+B84)^(B85+1)))</f>
        <v>5351.12605035243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130" t="n">
        <f aca="false">((1-(1/((1+B84)^B85)))/B84)</f>
        <v>10.3929099999715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16773.8739496476</v>
      </c>
      <c r="C88" s="130" t="n">
        <f aca="false">B81-B86</f>
        <v>16773.8739496476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1613.97279007455</v>
      </c>
      <c r="C89" s="130" t="n">
        <f aca="false">(B88/B87)</f>
        <v>1613.97279007455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17753.70069082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17753.70069082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1613.97279007455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1613.97279007455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27750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27750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23125</v>
      </c>
      <c r="H135" s="150" t="n">
        <f aca="false">C125+E125+G125+H128</f>
        <v>25000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1613.97279007455</v>
      </c>
      <c r="B167" s="174" t="n">
        <f aca="false">B94</f>
        <v>0</v>
      </c>
      <c r="C167" s="171"/>
      <c r="D167" s="171"/>
      <c r="E167" s="174" t="n">
        <f aca="false">B96</f>
        <v>1613.97279007455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-6246.29930918</v>
      </c>
      <c r="B182" s="99" t="str">
        <f aca="false">B114</f>
        <v>199.99</v>
      </c>
      <c r="C182" s="99"/>
      <c r="D182" s="23"/>
      <c r="E182" s="99" t="n">
        <f aca="false">E179+A182+B182+A185</f>
        <v>23963.69069082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224.99</v>
      </c>
      <c r="C191" s="130"/>
      <c r="D191" s="130"/>
      <c r="E191" s="99" t="n">
        <f aca="false">H148</f>
        <v>1875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1613.97279007455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1613.97279007455</v>
      </c>
      <c r="B212" s="174" t="n">
        <f aca="false">B167</f>
        <v>0</v>
      </c>
      <c r="C212" s="171"/>
      <c r="D212" s="171"/>
      <c r="E212" s="174" t="n">
        <f aca="false">E167</f>
        <v>1613.97279007455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-6246.29930918</v>
      </c>
      <c r="B224" s="99" t="str">
        <f aca="false">B182</f>
        <v>199.99</v>
      </c>
      <c r="C224" s="99"/>
      <c r="D224" s="109"/>
      <c r="E224" s="99" t="n">
        <f aca="false">E182</f>
        <v>23963.69069082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1613.97279007455</v>
      </c>
      <c r="B230" s="99" t="n">
        <f aca="false">B167</f>
        <v>0</v>
      </c>
      <c r="C230" s="183"/>
      <c r="D230" s="183"/>
      <c r="E230" s="99" t="n">
        <f aca="false">E167</f>
        <v>1613.97279007455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B188</f>
        <v>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2099.99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150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-50.01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150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4625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302.083333333333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247.916666666667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250.583333333333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200.583333333333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250.583333333333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250.583333333333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180</v>
      </c>
      <c r="C80" s="316"/>
      <c r="D80" s="316"/>
      <c r="E80" s="403" t="n">
        <f aca="false">E79+D82</f>
        <v>809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67.4166666666667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195</v>
      </c>
      <c r="C82" s="316"/>
      <c r="D82" s="32" t="n">
        <f aca="false">IF(A50="YES", 0, B82)</f>
        <v>195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4093.94666666667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341.162222222222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200.583333333333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7801.136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55.0705445744252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7856.20654457443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654.683878714535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732.683878714535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654.683878714535</v>
      </c>
      <c r="B134" s="320" t="n">
        <f aca="false">IF(A111="YES", B95, 0)</f>
        <v>78</v>
      </c>
      <c r="C134" s="324"/>
      <c r="D134" s="320" t="n">
        <f aca="false">B97</f>
        <v>732.683878714535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654.683878714535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732.683878714535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654.683878714535</v>
      </c>
      <c r="B143" s="38" t="n">
        <f aca="false">IF(A111="YES", B95, 0)</f>
        <v>78</v>
      </c>
      <c r="C143" s="316"/>
      <c r="D143" s="38" t="n">
        <f aca="false">B97</f>
        <v>732.683878714535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4625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732.683878714535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654.683878714535</v>
      </c>
      <c r="B177" s="354" t="n">
        <f aca="false">IF(A111="YES", B95, 0)</f>
        <v>78</v>
      </c>
      <c r="C177" s="356"/>
      <c r="D177" s="354" t="n">
        <f aca="false">A177+B177</f>
        <v>732.683878714535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654.683878714535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732.683878714535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654.683878714535</v>
      </c>
      <c r="B186" s="99" t="n">
        <f aca="false">IF(A111="YES", B95, 0)</f>
        <v>78</v>
      </c>
      <c r="C186" s="352"/>
      <c r="D186" s="99" t="n">
        <f aca="false">B97</f>
        <v>732.683878714535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705.011666666667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2951.25166666667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0.005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2951.25166666667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55.0705445744252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4625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302.083333333333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197.916666666667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200.583333333333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200.583333333333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200.583333333333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0.005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160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4.5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180</v>
      </c>
      <c r="C80" s="316"/>
      <c r="D80" s="316"/>
      <c r="E80" s="403" t="n">
        <f aca="false">E79+D82</f>
        <v>809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67.4166666666667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195</v>
      </c>
      <c r="C82" s="316"/>
      <c r="D82" s="32" t="n">
        <f aca="false">IF(A50="YES", 0, B82)</f>
        <v>195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300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100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4093.94666666667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341.162222222222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200.583333333333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6500.94666666667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55.0705445744252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6556.01721124109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546.334767603424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546.334767603424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546.334767603424</v>
      </c>
      <c r="B134" s="320" t="n">
        <f aca="false">IF(A111="YES", B95, 0)</f>
        <v>0</v>
      </c>
      <c r="C134" s="325"/>
      <c r="D134" s="320" t="n">
        <f aca="false">B97</f>
        <v>546.334767603424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4917.01290843082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4917.01290843082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546.334767603424</v>
      </c>
      <c r="B143" s="38" t="n">
        <f aca="false">IF(A111="YES", B95, 0)</f>
        <v>0</v>
      </c>
      <c r="C143" s="316"/>
      <c r="D143" s="38" t="n">
        <f aca="false">B97</f>
        <v>546.334767603424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187.02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4625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546.334767603424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546.334767603424</v>
      </c>
      <c r="B177" s="354" t="n">
        <f aca="false">IF(A111="YES", B95, 0)</f>
        <v>0</v>
      </c>
      <c r="C177" s="357"/>
      <c r="D177" s="354" t="n">
        <f aca="false">B91</f>
        <v>6500.94666666667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4917.01290843082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4917.01290843082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546.334767603424</v>
      </c>
      <c r="B186" s="99" t="n">
        <f aca="false">IF(A111="YES", B95, 0)</f>
        <v>0</v>
      </c>
      <c r="C186" s="352"/>
      <c r="D186" s="99" t="n">
        <f aca="false">B97</f>
        <v>546.334767603424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2771.25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2771.25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55.0705445744252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3223.16666666667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268.597222222222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9235.16666666667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78.2325534489714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9313.39922011564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72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776.116601676303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776.116601676303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20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776.116601676303</v>
      </c>
      <c r="B134" s="320" t="n">
        <f aca="false">IF(A111="YES", B95, 0)</f>
        <v>0</v>
      </c>
      <c r="C134" s="325"/>
      <c r="D134" s="320" t="n">
        <f aca="false">B97</f>
        <v>776.116601676303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776.116601676303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776.116601676303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776.116601676303</v>
      </c>
      <c r="B143" s="38" t="n">
        <f aca="false">IF(A111="YES", B95, 0)</f>
        <v>0</v>
      </c>
      <c r="C143" s="316"/>
      <c r="D143" s="38" t="n">
        <f aca="false">B97</f>
        <v>776.116601676303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1390.238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1350.24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776.116601676303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776.116601676303</v>
      </c>
      <c r="B177" s="354" t="n">
        <f aca="false">IF(A111="YES", B95, 0)</f>
        <v>0</v>
      </c>
      <c r="C177" s="357"/>
      <c r="D177" s="354" t="n">
        <f aca="false">B91</f>
        <v>9235.16666666667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776.116601676303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776.116601676303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776.116601676303</v>
      </c>
      <c r="B186" s="99" t="n">
        <f aca="false">IF(A111="YES", B95, 0)</f>
        <v>0</v>
      </c>
      <c r="C186" s="352"/>
      <c r="D186" s="99" t="n">
        <f aca="false">B97</f>
        <v>776.116601676303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2095.47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2095.47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78.2325534489714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180</v>
      </c>
      <c r="C80" s="211"/>
      <c r="D80" s="211"/>
      <c r="E80" s="429" t="n">
        <f aca="false">E79+D82</f>
        <v>809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67.4166666666667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195</v>
      </c>
      <c r="C82" s="211"/>
      <c r="D82" s="290" t="n">
        <f aca="false">IF(A50="YES", 0, B82)</f>
        <v>195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3418.16666666667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284.847222222222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11316.2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79.8844292053247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11396.0844292053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949.673702433777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1027.67370243378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949.673702433777</v>
      </c>
      <c r="B134" s="320" t="n">
        <f aca="false">IF(A111="YES", B95, 0)</f>
        <v>78</v>
      </c>
      <c r="C134" s="325"/>
      <c r="D134" s="320" t="n">
        <f aca="false">B97</f>
        <v>1027.67370243378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949.673702433777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1027.67370243378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949.673702433777</v>
      </c>
      <c r="B143" s="38" t="n">
        <f aca="false">IF(A111="YES", B95, 0)</f>
        <v>78</v>
      </c>
      <c r="C143" s="316"/>
      <c r="D143" s="38" t="n">
        <f aca="false">B97</f>
        <v>1027.67370243378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1027.67370243378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949.673702433777</v>
      </c>
      <c r="B177" s="354" t="n">
        <f aca="false">IF(A111="YES", B95, 0)</f>
        <v>78</v>
      </c>
      <c r="C177" s="357"/>
      <c r="D177" s="354" t="n">
        <f aca="false">B97</f>
        <v>1027.67370243378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949.673702433777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1027.67370243378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949.673702433777</v>
      </c>
      <c r="B186" s="99" t="n">
        <f aca="false">IF(A111="YES", B95, 0)</f>
        <v>78</v>
      </c>
      <c r="C186" s="352"/>
      <c r="D186" s="99" t="n">
        <f aca="false">B97</f>
        <v>1027.67370243378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705.011666666667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2275.47166666667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2275.47166666667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79.8844292053247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348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180</v>
      </c>
      <c r="C80" s="211"/>
      <c r="D80" s="211"/>
      <c r="E80" s="429" t="n">
        <f aca="false">E79+D82</f>
        <v>809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67.4166666666667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195</v>
      </c>
      <c r="C82" s="211"/>
      <c r="D82" s="290" t="n">
        <f aca="false">IF(A50="YES", 0, B82)</f>
        <v>195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3418.16666666667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284.847222222222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9430.16666666667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79.8844292053247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9510.05109587199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792.504257989333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792.504257989333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792.504257989333</v>
      </c>
      <c r="B134" s="320" t="n">
        <f aca="false">IF(A111="YES", B95, 0)</f>
        <v>0</v>
      </c>
      <c r="C134" s="325"/>
      <c r="D134" s="320" t="n">
        <f aca="false">B97</f>
        <v>792.504257989333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792.504257989333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792.504257989333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792.504257989333</v>
      </c>
      <c r="B143" s="38" t="n">
        <f aca="false">IF(A111="YES", B95, 0)</f>
        <v>0</v>
      </c>
      <c r="C143" s="316"/>
      <c r="D143" s="38" t="n">
        <f aca="false">B97</f>
        <v>792.504257989333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792.504257989333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792.504257989333</v>
      </c>
      <c r="B177" s="354" t="n">
        <f aca="false">IF(A111="YES", B95, 0)</f>
        <v>0</v>
      </c>
      <c r="C177" s="357"/>
      <c r="D177" s="354" t="n">
        <f aca="false">B91</f>
        <v>9430.16666666667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792.504257989333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792.504257989333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792.504257989333</v>
      </c>
      <c r="B186" s="99" t="n">
        <f aca="false">IF(A111="YES", B95, 0)</f>
        <v>0</v>
      </c>
      <c r="C186" s="352"/>
      <c r="D186" s="99" t="n">
        <f aca="false">B97</f>
        <v>792.504257989333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2095.47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2095.47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79.8844292053247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240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378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3223.16666666667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268.597222222222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9235.16666666667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78.2325534489714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9313.39922011564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776.116601676303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776.116601676303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776.116601676303</v>
      </c>
      <c r="B134" s="320" t="n">
        <f aca="false">IF(A111="YES", B95, 0)</f>
        <v>0</v>
      </c>
      <c r="C134" s="325"/>
      <c r="D134" s="320" t="n">
        <f aca="false">B97</f>
        <v>776.116601676303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776.116601676303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776.116601676303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776.116601676303</v>
      </c>
      <c r="B143" s="38" t="n">
        <f aca="false">IF(A111="YES", B95, 0)</f>
        <v>0</v>
      </c>
      <c r="C143" s="316"/>
      <c r="D143" s="38" t="n">
        <f aca="false">B97</f>
        <v>776.116601676303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776.116601676303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776.116601676303</v>
      </c>
      <c r="B177" s="354" t="n">
        <f aca="false">IF(A111="YES", B95, 0)</f>
        <v>0</v>
      </c>
      <c r="C177" s="357"/>
      <c r="D177" s="354" t="n">
        <f aca="false">B91</f>
        <v>9235.16666666667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776.116601676303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776.116601676303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776.116601676303</v>
      </c>
      <c r="B186" s="99" t="n">
        <f aca="false">IF(A111="YES", B95, 0)</f>
        <v>0</v>
      </c>
      <c r="C186" s="352"/>
      <c r="D186" s="99" t="n">
        <f aca="false">B97</f>
        <v>776.116601676303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2095.47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2095.47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78.2325534489714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180</v>
      </c>
      <c r="C80" s="211"/>
      <c r="D80" s="211"/>
      <c r="E80" s="429" t="n">
        <f aca="false">E79+D82</f>
        <v>809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67.4166666666667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195</v>
      </c>
      <c r="C82" s="211"/>
      <c r="D82" s="290" t="n">
        <f aca="false">IF(A50="YES", 0, B82)</f>
        <v>195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2751.5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229.291666666667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10516.2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74.2369907220654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10590.4369907221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882.536415893505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882.536415893505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10000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8000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4000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882.536415893505</v>
      </c>
      <c r="B134" s="320" t="n">
        <f aca="false">IF(A111="YES", B95, 0)</f>
        <v>0</v>
      </c>
      <c r="C134" s="325"/>
      <c r="D134" s="320" t="n">
        <f aca="false">B97</f>
        <v>882.536415893505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882.536415893505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882.536415893505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882.536415893505</v>
      </c>
      <c r="B143" s="38" t="n">
        <f aca="false">IF(A111="YES", B95, 0)</f>
        <v>0</v>
      </c>
      <c r="C143" s="316"/>
      <c r="D143" s="38" t="n">
        <f aca="false">B97</f>
        <v>882.536415893505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287.011666666667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882.536415893505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882.536415893505</v>
      </c>
      <c r="B177" s="354" t="n">
        <f aca="false">IF(A111="YES", B95, 0)</f>
        <v>0</v>
      </c>
      <c r="C177" s="357"/>
      <c r="D177" s="354" t="n">
        <f aca="false">B91</f>
        <v>10516.2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882.536415893505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882.536415893505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882.536415893505</v>
      </c>
      <c r="B186" s="99" t="n">
        <f aca="false">IF(A111="YES", B95, 0)</f>
        <v>0</v>
      </c>
      <c r="C186" s="352"/>
      <c r="D186" s="99" t="n">
        <f aca="false">B97</f>
        <v>882.536415893505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287.011666666667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1855.47166666667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1855.47166666667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74.2369907220654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65" zoomScaleNormal="6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27750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1942.5</v>
      </c>
      <c r="C70" s="211" t="n">
        <v>10000</v>
      </c>
      <c r="D70" s="290" t="n">
        <f aca="false">B70-A149</f>
        <v>1942.5</v>
      </c>
      <c r="E70" s="212" t="n">
        <f aca="false">D70/12</f>
        <v>161.875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0.005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187.02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160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4.5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180</v>
      </c>
      <c r="C80" s="211"/>
      <c r="D80" s="211"/>
      <c r="E80" s="429" t="n">
        <f aca="false">E79+D82</f>
        <v>809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67.4166666666667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195</v>
      </c>
      <c r="C82" s="211"/>
      <c r="D82" s="290" t="n">
        <f aca="false">IF(A50="YES", 0, B82)</f>
        <v>195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300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100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3418.16666666667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284.847222222222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9430.16666666667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79.8844292053247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9510.05109587199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792.504257989333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792.504257989333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792.504257989333</v>
      </c>
      <c r="B134" s="320" t="n">
        <f aca="false">IF(A111="YES", B95, 0)</f>
        <v>0</v>
      </c>
      <c r="C134" s="325"/>
      <c r="D134" s="320" t="n">
        <f aca="false">B97</f>
        <v>792.504257989333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7132.538321904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7132.538321904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792.504257989333</v>
      </c>
      <c r="B143" s="38" t="n">
        <f aca="false">IF(A111="YES", B95, 0)</f>
        <v>0</v>
      </c>
      <c r="C143" s="316"/>
      <c r="D143" s="38" t="n">
        <f aca="false">B97</f>
        <v>792.504257989333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792.504257989333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792.504257989333</v>
      </c>
      <c r="B177" s="354" t="n">
        <f aca="false">IF(A111="YES", B95, 0)</f>
        <v>0</v>
      </c>
      <c r="C177" s="357"/>
      <c r="D177" s="354" t="n">
        <f aca="false">B91</f>
        <v>9430.16666666667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7132.538321904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7132.538321904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792.504257989333</v>
      </c>
      <c r="B186" s="99" t="n">
        <f aca="false">IF(A111="YES", B95, 0)</f>
        <v>0</v>
      </c>
      <c r="C186" s="352"/>
      <c r="D186" s="99" t="n">
        <f aca="false">B97</f>
        <v>792.504257989333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187.02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687.01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1942.5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187.02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2095.47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1942.5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187.02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2095.47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79.8844292053247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6" colorId="64" zoomScale="65" zoomScaleNormal="6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323.946764862752</v>
      </c>
      <c r="F33" s="228"/>
      <c r="G33" s="228"/>
      <c r="H33" s="47"/>
      <c r="I33" s="2"/>
      <c r="J33" s="34" t="s">
        <v>354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323.946764862752</v>
      </c>
      <c r="B36" s="228" t="n">
        <f aca="false">IF(B26="YES", K42, "0.00")</f>
        <v>0</v>
      </c>
      <c r="C36" s="228"/>
      <c r="D36" s="228"/>
      <c r="E36" s="228" t="n">
        <f aca="false">K31</f>
        <v>18400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23125</v>
      </c>
      <c r="L39" s="2" t="n">
        <f aca="false">(L47*K46)+K44</f>
        <v>38657.4216273967</v>
      </c>
      <c r="N39" s="1" t="n">
        <f aca="false">K39-L39</f>
        <v>-15532.4216273967</v>
      </c>
      <c r="P39" s="208"/>
    </row>
    <row r="40" customFormat="false" ht="17.35" hidden="false" customHeight="false" outlineLevel="0" collapsed="false">
      <c r="A40" s="103" t="n">
        <f aca="false">E36*A45/100</f>
        <v>18400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15333.3333333333</v>
      </c>
      <c r="L40" s="2" t="n">
        <f aca="false">K39-L39</f>
        <v>-15532.4216273967</v>
      </c>
      <c r="N40" s="1" t="n">
        <f aca="false">N38-N39</f>
        <v>18444.1016273967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12555.4305373983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10569.5694626017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323.946764862752</v>
      </c>
      <c r="L47" s="2" t="n">
        <f aca="false">L49-K42</f>
        <v>800</v>
      </c>
      <c r="M47" s="1" t="n">
        <f aca="false">K47-L47</f>
        <v>-476.053235137248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323.946764862752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323.946764862752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7302.73534925241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242.5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323.946764862752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323.946764862752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323.946764862752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323.946764862752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29100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18400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13052.6777372955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12447.0083963501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12447.0083963501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16047.3222627045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541.851968123185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18964.8188843115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18964.8188843115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541.851968123185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541.851968123185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29100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541.851968123185</v>
      </c>
      <c r="B167" s="174" t="n">
        <f aca="false">B94</f>
        <v>0</v>
      </c>
      <c r="C167" s="171"/>
      <c r="D167" s="171"/>
      <c r="E167" s="174" t="n">
        <f aca="false">B96</f>
        <v>541.851968123185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18400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18400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18400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29100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8264.81888431148</v>
      </c>
      <c r="B182" s="99" t="str">
        <f aca="false">B114</f>
        <v>239.99</v>
      </c>
      <c r="C182" s="99"/>
      <c r="D182" s="23"/>
      <c r="E182" s="99" t="n">
        <f aca="false">E179+A182+B182+A185</f>
        <v>37614.8088843115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18410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242.5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342.491666666667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541.851968123185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541.851968123185</v>
      </c>
      <c r="B212" s="174" t="n">
        <f aca="false">B167</f>
        <v>0</v>
      </c>
      <c r="C212" s="171"/>
      <c r="D212" s="171"/>
      <c r="E212" s="174" t="n">
        <f aca="false">E167</f>
        <v>541.851968123185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29100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8264.81888431148</v>
      </c>
      <c r="B224" s="99" t="str">
        <f aca="false">B182</f>
        <v>239.99</v>
      </c>
      <c r="C224" s="99"/>
      <c r="D224" s="109"/>
      <c r="E224" s="99" t="n">
        <f aca="false">E182</f>
        <v>37614.8088843115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541.851968123185</v>
      </c>
      <c r="B230" s="99" t="n">
        <f aca="false">B167</f>
        <v>0</v>
      </c>
      <c r="C230" s="183"/>
      <c r="D230" s="183"/>
      <c r="E230" s="99" t="n">
        <f aca="false">E167</f>
        <v>541.851968123185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18400</v>
      </c>
      <c r="B233" s="99" t="n">
        <f aca="false">E185</f>
        <v>18410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242.5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2217.49166666667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291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-191.008333333333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18964.8188843115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291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-191.008333333333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65" zoomScaleNormal="6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380.556937771679</v>
      </c>
      <c r="F33" s="228"/>
      <c r="G33" s="228"/>
      <c r="H33" s="47"/>
      <c r="I33" s="2"/>
      <c r="J33" s="34" t="s">
        <v>354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380.556937771679</v>
      </c>
      <c r="B36" s="228" t="n">
        <f aca="false">IF(B26="YES", K42, "0.00")</f>
        <v>0</v>
      </c>
      <c r="C36" s="228"/>
      <c r="D36" s="228"/>
      <c r="E36" s="228" t="n">
        <f aca="false">K31</f>
        <v>18400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23125</v>
      </c>
      <c r="L39" s="2" t="n">
        <f aca="false">(L47*K46)+K44</f>
        <v>36142.9919829859</v>
      </c>
      <c r="N39" s="1" t="n">
        <f aca="false">K39-L39</f>
        <v>-13017.9919829859</v>
      </c>
      <c r="P39" s="208"/>
    </row>
    <row r="40" customFormat="false" ht="17.35" hidden="false" customHeight="false" outlineLevel="0" collapsed="false">
      <c r="A40" s="103" t="n">
        <f aca="false">E36*A45/100</f>
        <v>18400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15333.3333333333</v>
      </c>
      <c r="L40" s="2" t="n">
        <f aca="false">K39-L39</f>
        <v>-13017.9919829859</v>
      </c>
      <c r="N40" s="1" t="n">
        <f aca="false">N38-N39</f>
        <v>15929.6719829859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11313.892340566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11811.107659434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31.0363745530248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380.556937771679</v>
      </c>
      <c r="L47" s="2" t="n">
        <f aca="false">L49-K42</f>
        <v>800</v>
      </c>
      <c r="M47" s="1" t="n">
        <f aca="false">K47-L47</f>
        <v>-419.443062228321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380.556937771679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380.556937771679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5227.67202158082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380.556937771679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380.556937771679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380.556937771679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380.556937771679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18400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12065.304578962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12447.0083963501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12447.0083963501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28.5409066118193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15434.695421038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540.792050896036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18927.7217813612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18927.7217813612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540.792050896036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540.792050896036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540.792050896036</v>
      </c>
      <c r="B167" s="174" t="n">
        <f aca="false">B94</f>
        <v>0</v>
      </c>
      <c r="C167" s="171"/>
      <c r="D167" s="171"/>
      <c r="E167" s="174" t="n">
        <f aca="false">B96</f>
        <v>540.792050896036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18400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18400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18400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9827.72178136126</v>
      </c>
      <c r="B182" s="99" t="str">
        <f aca="false">B114</f>
        <v>199.99</v>
      </c>
      <c r="C182" s="99"/>
      <c r="D182" s="23"/>
      <c r="E182" s="99" t="n">
        <f aca="false">E179+A182+B182+A185</f>
        <v>37537.7117813613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18410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229.166666666667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329.156666666667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540.792050896036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540.792050896036</v>
      </c>
      <c r="B212" s="174" t="n">
        <f aca="false">B167</f>
        <v>0</v>
      </c>
      <c r="C212" s="171"/>
      <c r="D212" s="171"/>
      <c r="E212" s="174" t="n">
        <f aca="false">E167</f>
        <v>540.792050896036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9827.72178136126</v>
      </c>
      <c r="B224" s="99" t="str">
        <f aca="false">B182</f>
        <v>199.99</v>
      </c>
      <c r="C224" s="99"/>
      <c r="D224" s="109"/>
      <c r="E224" s="99" t="n">
        <f aca="false">E182</f>
        <v>37537.7117813613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540.792050896036</v>
      </c>
      <c r="B230" s="99" t="n">
        <f aca="false">B167</f>
        <v>0</v>
      </c>
      <c r="C230" s="183"/>
      <c r="D230" s="183"/>
      <c r="E230" s="99" t="n">
        <f aca="false">E167</f>
        <v>540.792050896036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18400</v>
      </c>
      <c r="B233" s="99" t="n">
        <f aca="false">E185</f>
        <v>18410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7.481</v>
      </c>
      <c r="B236" s="99" t="n">
        <f aca="false">E233+A236</f>
        <v>29.924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-175.01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18927.7217813612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-175.01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9" colorId="64" zoomScale="65" zoomScaleNormal="65" zoomScalePageLayoutView="100" workbookViewId="0">
      <selection pane="topLeft" activeCell="H208" activeCellId="0" sqref="H20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380.556937771679</v>
      </c>
      <c r="F33" s="228"/>
      <c r="G33" s="228"/>
      <c r="H33" s="47"/>
      <c r="I33" s="2"/>
      <c r="J33" s="34" t="s">
        <v>354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380.556937771679</v>
      </c>
      <c r="B36" s="228" t="str">
        <f aca="false">IF(B26="YES", K42, "0.00")</f>
        <v>0.00</v>
      </c>
      <c r="C36" s="228"/>
      <c r="D36" s="228"/>
      <c r="E36" s="228" t="n">
        <f aca="false">K31</f>
        <v>18400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23125</v>
      </c>
      <c r="L39" s="2" t="n">
        <f aca="false">(L47*K46)+K44</f>
        <v>36142.9919829859</v>
      </c>
      <c r="N39" s="1" t="n">
        <f aca="false">K39-L39</f>
        <v>-13017.9919829859</v>
      </c>
      <c r="P39" s="208"/>
    </row>
    <row r="40" customFormat="false" ht="17.35" hidden="false" customHeight="false" outlineLevel="0" collapsed="false">
      <c r="A40" s="103" t="n">
        <f aca="false">E36*A45/100</f>
        <v>18400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15333.3333333333</v>
      </c>
      <c r="L40" s="2" t="n">
        <f aca="false">K39-L39</f>
        <v>-13017.9919829859</v>
      </c>
      <c r="N40" s="1" t="n">
        <f aca="false">N38-N39</f>
        <v>15929.6719829859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11313.892340566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40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11811.107659434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31.0363745530248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380.556937771679</v>
      </c>
      <c r="L47" s="2" t="n">
        <f aca="false">L49-K42</f>
        <v>800</v>
      </c>
      <c r="M47" s="1" t="n">
        <f aca="false">K47-L47</f>
        <v>-419.443062228321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380.556937771679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380.556937771679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5753.46235832025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229.166666666667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380.556937771679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380.556937771679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380.556937771679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380.556937771679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27500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18400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0.0124166666666667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11800.0412776232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12447.0083963501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12447.0083963501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15699.9587223768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555.814631945734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19453.5121181007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19453.5121181007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555.814631945734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555.814631945734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0.149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23125</v>
      </c>
      <c r="C121" s="117" t="n">
        <v>25000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555.814631945734</v>
      </c>
      <c r="B167" s="174" t="str">
        <f aca="false">B94</f>
        <v>0</v>
      </c>
      <c r="C167" s="171"/>
      <c r="D167" s="171"/>
      <c r="E167" s="174" t="n">
        <f aca="false">B96</f>
        <v>555.814631945734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18400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18400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18400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27500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10353.5121181007</v>
      </c>
      <c r="B182" s="99" t="str">
        <f aca="false">B114</f>
        <v>239.99</v>
      </c>
      <c r="C182" s="99"/>
      <c r="D182" s="23"/>
      <c r="E182" s="99" t="n">
        <f aca="false">E179+A182+B182+A185</f>
        <v>38103.5021181007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18410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8.9772</v>
      </c>
      <c r="B188" s="99" t="n">
        <f aca="false">(G158*B67)/1.2</f>
        <v>229.166666666667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329.158333333333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555.814631945734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555.814631945734</v>
      </c>
      <c r="B212" s="174" t="str">
        <f aca="false">B167</f>
        <v>0</v>
      </c>
      <c r="C212" s="171"/>
      <c r="D212" s="171"/>
      <c r="E212" s="174" t="n">
        <f aca="false">E167</f>
        <v>555.814631945734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27500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10353.5121181007</v>
      </c>
      <c r="B224" s="99" t="str">
        <f aca="false">B182</f>
        <v>239.99</v>
      </c>
      <c r="C224" s="99"/>
      <c r="D224" s="109"/>
      <c r="E224" s="99" t="n">
        <f aca="false">E182</f>
        <v>38103.5021181007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555.814631945734</v>
      </c>
      <c r="B230" s="99" t="str">
        <f aca="false">B167</f>
        <v>0</v>
      </c>
      <c r="C230" s="183"/>
      <c r="D230" s="183"/>
      <c r="E230" s="99" t="n">
        <f aca="false">E167</f>
        <v>555.814631945734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18400</v>
      </c>
      <c r="B233" s="99" t="n">
        <f aca="false">E185</f>
        <v>18410</v>
      </c>
      <c r="C233" s="130"/>
      <c r="D233" s="130"/>
      <c r="E233" s="99" t="n">
        <f aca="false">A188</f>
        <v>8.9772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229.166666666667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2204.15833333333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-175.008333333333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0.149</v>
      </c>
      <c r="C260" s="43"/>
      <c r="D260" s="163" t="s">
        <v>212</v>
      </c>
      <c r="E260" s="163"/>
      <c r="F260" s="143" t="n">
        <f aca="false">(B89*B59)-(C89*B59)</f>
        <v>19453.5121181007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-175.008333333333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65" zoomScaleNormal="6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18400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380.556937771679</v>
      </c>
      <c r="F33" s="228"/>
      <c r="G33" s="228"/>
      <c r="H33" s="47"/>
      <c r="I33" s="2"/>
      <c r="J33" s="34" t="s">
        <v>354</v>
      </c>
      <c r="K33" s="48" t="n">
        <f aca="false">E21</f>
        <v>23125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0.099</v>
      </c>
      <c r="P35" s="208"/>
    </row>
    <row r="36" customFormat="false" ht="17.35" hidden="false" customHeight="false" outlineLevel="0" collapsed="false">
      <c r="A36" s="182" t="n">
        <f aca="false">K47</f>
        <v>380.556937771679</v>
      </c>
      <c r="B36" s="228" t="n">
        <f aca="false">IF(B26="YES", K42, "0.00")</f>
        <v>0</v>
      </c>
      <c r="C36" s="228"/>
      <c r="D36" s="228"/>
      <c r="E36" s="228" t="n">
        <f aca="false">K31</f>
        <v>18400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23125</v>
      </c>
      <c r="L39" s="2" t="n">
        <f aca="false">(L47*K46)+K44</f>
        <v>36142.9919829859</v>
      </c>
      <c r="N39" s="1" t="n">
        <f aca="false">K39-L39</f>
        <v>-13017.9919829859</v>
      </c>
      <c r="P39" s="208"/>
    </row>
    <row r="40" customFormat="false" ht="17.35" hidden="false" customHeight="false" outlineLevel="0" collapsed="false">
      <c r="A40" s="103" t="n">
        <f aca="false">E36*A45/100</f>
        <v>18400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15333.3333333333</v>
      </c>
      <c r="L40" s="2" t="n">
        <f aca="false">K39-L39</f>
        <v>-13017.9919829859</v>
      </c>
      <c r="N40" s="1" t="n">
        <f aca="false">N38-N39</f>
        <v>15929.6719829859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11313.892340566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11811.107659434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31.0363745530248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380.556937771679</v>
      </c>
      <c r="L47" s="2" t="n">
        <f aca="false">L49-K42</f>
        <v>800</v>
      </c>
      <c r="M47" s="1" t="n">
        <f aca="false">K47-L47</f>
        <v>-419.443062228321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380.556937771679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380.556937771679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0.099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0.0425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8293.44709278212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250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380.556937771679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380.556937771679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380.556937771679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380.556937771679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30000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18400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18400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0.0117916666666667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12065.304578962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12447.0083963501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12447.0083963501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28.5409066118193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17934.695421038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628.38562435893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21993.4968525625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21993.4968525625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628.38562435893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628.38562435893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0.1415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23125</v>
      </c>
      <c r="C121" s="117" t="n">
        <v>25000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27750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27750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27750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23125</v>
      </c>
      <c r="C125" s="129" t="n">
        <f aca="false">C121-C124</f>
        <v>25000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23125</v>
      </c>
      <c r="H135" s="150" t="n">
        <f aca="false">C125+E125+G125+H128</f>
        <v>25000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4625</v>
      </c>
      <c r="H137" s="33" t="n">
        <f aca="false">(H135+H136)*20%</f>
        <v>5000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27750</v>
      </c>
      <c r="H141" s="154" t="n">
        <f aca="false">(H135+H136+H139+H140+H137)-H138</f>
        <v>30000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27750</v>
      </c>
      <c r="H147" s="161" t="n">
        <f aca="false">H141-((H144*1.2)+(H145*1.2)+(H146*1.2)+(H142*1.2))</f>
        <v>30000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1875</v>
      </c>
      <c r="I148" s="1" t="n">
        <f aca="false">(H148-G81)/1.2</f>
        <v>1562.5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30000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628.38562435893</v>
      </c>
      <c r="B167" s="174" t="n">
        <f aca="false">B94</f>
        <v>0</v>
      </c>
      <c r="C167" s="171"/>
      <c r="D167" s="171"/>
      <c r="E167" s="174" t="n">
        <f aca="false">B96</f>
        <v>628.38562435893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18400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18400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18400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25000</v>
      </c>
      <c r="B173" s="99" t="n">
        <f aca="false">H137</f>
        <v>5000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30000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30000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10393.4968525625</v>
      </c>
      <c r="B182" s="99" t="str">
        <f aca="false">B114</f>
        <v>199.99</v>
      </c>
      <c r="C182" s="99"/>
      <c r="D182" s="23"/>
      <c r="E182" s="99" t="n">
        <f aca="false">E179+A182+B182+A185</f>
        <v>40603.4868525625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IF(A40=0,(E167+A185),(E170+A185))</f>
        <v>18410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18420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18410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18410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250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349.99</v>
      </c>
      <c r="C191" s="130"/>
      <c r="D191" s="130"/>
      <c r="E191" s="99" t="n">
        <f aca="false">H148</f>
        <v>1875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628.38562435893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628.38562435893</v>
      </c>
      <c r="B212" s="174" t="n">
        <f aca="false">B167</f>
        <v>0</v>
      </c>
      <c r="C212" s="171"/>
      <c r="D212" s="171"/>
      <c r="E212" s="174" t="n">
        <f aca="false">E167</f>
        <v>628.38562435893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25000</v>
      </c>
      <c r="B215" s="99" t="n">
        <f aca="false">B173</f>
        <v>5000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30000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30000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10393.4968525625</v>
      </c>
      <c r="B224" s="99" t="str">
        <f aca="false">B182</f>
        <v>199.99</v>
      </c>
      <c r="C224" s="99"/>
      <c r="D224" s="109"/>
      <c r="E224" s="99" t="n">
        <f aca="false">E182</f>
        <v>40603.4868525625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628.38562435893</v>
      </c>
      <c r="B230" s="99" t="n">
        <f aca="false">B167</f>
        <v>0</v>
      </c>
      <c r="C230" s="183"/>
      <c r="D230" s="183"/>
      <c r="E230" s="99" t="n">
        <f aca="false">E167</f>
        <v>628.38562435893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18400</v>
      </c>
      <c r="B233" s="99" t="n">
        <f aca="false">E185</f>
        <v>18410</v>
      </c>
      <c r="C233" s="130"/>
      <c r="D233" s="130"/>
      <c r="E233" s="99" t="n">
        <f aca="false">A188</f>
        <v>7.481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1875</v>
      </c>
      <c r="B240" s="99" t="n">
        <f aca="false">B68</f>
        <v>250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2224.99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0.1415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300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-200.01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0.0425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0.1415</v>
      </c>
      <c r="C260" s="43"/>
      <c r="D260" s="163" t="s">
        <v>212</v>
      </c>
      <c r="E260" s="163"/>
      <c r="F260" s="143" t="n">
        <f aca="false">(B89*B59)-(C89*B59)</f>
        <v>21993.4968525625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300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-200.01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65" zoomScaleNormal="6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27750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1942.5</v>
      </c>
      <c r="C64" s="211" t="n">
        <v>10000</v>
      </c>
      <c r="D64" s="290" t="n">
        <f aca="false">B64</f>
        <v>1942.5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187.025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3223.16666666667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268.597222222222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11082.2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78.2325534489714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11160.432553449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930.036046120748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930.036046120748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1024.59311617588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930.036046120748</v>
      </c>
      <c r="B128" s="320" t="n">
        <f aca="false">IF(A105="YES", B89, 0)</f>
        <v>0</v>
      </c>
      <c r="C128" s="325"/>
      <c r="D128" s="320" t="n">
        <f aca="false">B91</f>
        <v>930.036046120748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0</v>
      </c>
      <c r="I130" s="174"/>
      <c r="J130" s="333" t="n">
        <f aca="false">H91</f>
        <v>1024.59311617588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8370.32441508673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0</v>
      </c>
      <c r="I133" s="217"/>
      <c r="J133" s="181" t="n">
        <f aca="false">H91*H57</f>
        <v>1024.59311617588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8370.32441508673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930.036046120748</v>
      </c>
      <c r="B137" s="38" t="n">
        <f aca="false">IF(A105="YES", B89, 0)</f>
        <v>0</v>
      </c>
      <c r="C137" s="316"/>
      <c r="D137" s="38" t="n">
        <f aca="false">B91</f>
        <v>930.036046120748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1407.013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187.025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687.015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1024.59311617588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930.036046120748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930.036046120748</v>
      </c>
      <c r="B171" s="354" t="n">
        <f aca="false">IF(A105="YES", B89, 0)</f>
        <v>0</v>
      </c>
      <c r="C171" s="357"/>
      <c r="D171" s="354" t="n">
        <f aca="false">B91</f>
        <v>930.036046120748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8370.32441508673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8370.32441508673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930.036046120748</v>
      </c>
      <c r="B180" s="99" t="n">
        <f aca="false">IF(A105="YES", B89, 0)</f>
        <v>0</v>
      </c>
      <c r="C180" s="352"/>
      <c r="D180" s="99" t="n">
        <f aca="false">B91</f>
        <v>930.036046120748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187.025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687.015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1942.5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187.025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2095.465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1942.5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187.025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2095.465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78.2325534489714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65" zoomScaleNormal="6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23625</v>
      </c>
      <c r="C2" s="4" t="s">
        <v>2</v>
      </c>
      <c r="D2" s="5" t="n">
        <f aca="false">C9</f>
        <v>4725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28350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23625</v>
      </c>
      <c r="C9" s="14" t="n">
        <f aca="false">B9*0.2</f>
        <v>4725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23625</v>
      </c>
      <c r="C15" s="14" t="n">
        <f aca="false">SUM(C9:C13)</f>
        <v>4725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28350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23625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254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28350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1984.5</v>
      </c>
      <c r="C64" s="211"/>
      <c r="D64" s="290" t="n">
        <f aca="false">B64</f>
        <v>1984.5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187.025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2598.5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216.541666666667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8610.5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72.9409035901573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8683.44090359016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723.62007529918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783.62007529918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n">
        <v>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0</v>
      </c>
      <c r="E113" s="103" t="n">
        <v>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0</v>
      </c>
      <c r="E114" s="164" t="n">
        <f aca="false">E112-E113</f>
        <v>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723.62007529918</v>
      </c>
      <c r="B128" s="320" t="n">
        <f aca="false">IF(A105="YES", B89, 0)</f>
        <v>60</v>
      </c>
      <c r="C128" s="325"/>
      <c r="D128" s="320" t="n">
        <f aca="false">B91</f>
        <v>783.62007529918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723.62007529918</v>
      </c>
      <c r="C131" s="316"/>
      <c r="D131" s="38" t="n">
        <f aca="false">IF(A105="YES", B89*B57, 0)</f>
        <v>60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783.62007529918</v>
      </c>
      <c r="B134" s="38" t="n">
        <f aca="false">E114</f>
        <v>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723.62007529918</v>
      </c>
      <c r="B137" s="38" t="n">
        <f aca="false">IF(A105="YES", B89, 0)</f>
        <v>60</v>
      </c>
      <c r="C137" s="316"/>
      <c r="D137" s="38" t="n">
        <f aca="false">B91</f>
        <v>783.62007529918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187.025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299.015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783.62007529918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723.62007529918</v>
      </c>
      <c r="B171" s="354" t="n">
        <f aca="false">IF(A105="YES", B89, 0)</f>
        <v>60</v>
      </c>
      <c r="C171" s="357"/>
      <c r="D171" s="354" t="n">
        <f aca="false">B91</f>
        <v>783.62007529918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Monthly in advance</v>
      </c>
      <c r="B174" s="99" t="n">
        <f aca="false">B90*B57</f>
        <v>723.62007529918</v>
      </c>
      <c r="C174" s="352"/>
      <c r="D174" s="99" t="n">
        <f aca="false">IF(A105="YES", B89*B57, 0)</f>
        <v>60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783.62007529918</v>
      </c>
      <c r="B177" s="99" t="n">
        <f aca="false">E114</f>
        <v>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723.62007529918</v>
      </c>
      <c r="B180" s="99" t="n">
        <f aca="false">IF(A105="YES", B89, 0)</f>
        <v>60</v>
      </c>
      <c r="C180" s="352"/>
      <c r="D180" s="99" t="n">
        <f aca="false">B91</f>
        <v>783.62007529918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187.025</v>
      </c>
      <c r="B191" s="99" t="n">
        <f aca="false">B102</f>
        <v>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299.015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1984.5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187.025</v>
      </c>
      <c r="C205" s="319" t="s">
        <v>214</v>
      </c>
      <c r="D205" s="369" t="n">
        <f aca="false">B219+E215+B215+B217</f>
        <v>219.99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2017.465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1984.5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187.025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0</v>
      </c>
      <c r="C217" s="335" t="s">
        <v>215</v>
      </c>
      <c r="D217" s="316"/>
      <c r="E217" s="33" t="n">
        <f aca="false">(B211-B205+D205)</f>
        <v>2017.465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72.9409035901573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763.392177168529</v>
      </c>
      <c r="E33" s="212"/>
      <c r="F33" s="63"/>
      <c r="G33" s="215" t="s">
        <v>354</v>
      </c>
      <c r="H33" s="459" t="n">
        <f aca="false">E21-E11</f>
        <v>23125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763.392177168529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23125</v>
      </c>
      <c r="I39" s="234" t="n">
        <f aca="false">(I48*H46)+H44</f>
        <v>42409.3945003222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-19284.3945003222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23125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30.2924246430873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763.392177168529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763.392177168529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763.392177168529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27750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2873.28125</v>
      </c>
      <c r="C64" s="464" t="n">
        <v>10000</v>
      </c>
      <c r="D64" s="290" t="n">
        <f aca="false">B64</f>
        <v>2873.28125</v>
      </c>
      <c r="E64" s="465" t="n">
        <f aca="false">D64/(B58+B57)</f>
        <v>82.09375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0.00979166666666667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271.71875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157.5</v>
      </c>
      <c r="C73" s="211"/>
      <c r="D73" s="471" t="n">
        <f aca="false">B73+B71</f>
        <v>317.5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222.222222222222</v>
      </c>
      <c r="C77" s="472"/>
      <c r="D77" s="290" t="n">
        <f aca="false">B77</f>
        <v>222.222222222222</v>
      </c>
      <c r="E77" s="465" t="n">
        <f aca="false">D77/(B58+B57)</f>
        <v>6.34920634920635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2"/>
      <c r="D78" s="290" t="n">
        <f aca="false">B78</f>
        <v>222.222222222222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20.5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4035.22569444445</v>
      </c>
      <c r="C81" s="472"/>
      <c r="D81" s="473"/>
      <c r="E81" s="465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115.292162698413</v>
      </c>
      <c r="C82" s="472"/>
      <c r="D82" s="211"/>
      <c r="E82" s="465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763.392177168529</v>
      </c>
      <c r="C83" s="472"/>
      <c r="D83" s="211"/>
      <c r="E83" s="465" t="n">
        <f aca="false">B83+E80+E77+E64</f>
        <v>872.335133517736</v>
      </c>
      <c r="F83" s="63"/>
      <c r="G83" s="304" t="s">
        <v>104</v>
      </c>
      <c r="H83" s="305" t="n">
        <f aca="false">H47</f>
        <v>763.392177168529</v>
      </c>
      <c r="I83" s="211"/>
      <c r="J83" s="211"/>
      <c r="K83" s="212"/>
      <c r="L83" s="63"/>
      <c r="M83" s="304" t="s">
        <v>104</v>
      </c>
      <c r="N83" s="305" t="n">
        <f aca="false">H47</f>
        <v>763.392177168529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30753.951895343</v>
      </c>
      <c r="C85" s="472"/>
      <c r="D85" s="472"/>
      <c r="E85" s="465" t="n">
        <f aca="false">B85/(B58+B57)</f>
        <v>878.684339866942</v>
      </c>
      <c r="F85" s="63"/>
      <c r="G85" s="287" t="s">
        <v>114</v>
      </c>
      <c r="H85" s="127" t="n">
        <f aca="false">((H83*H29)+H81)*1.2</f>
        <v>33319.4714410782</v>
      </c>
      <c r="I85" s="211"/>
      <c r="J85" s="211"/>
      <c r="K85" s="212"/>
      <c r="L85" s="63"/>
      <c r="M85" s="287" t="s">
        <v>114</v>
      </c>
      <c r="N85" s="127" t="n">
        <f aca="false">((N83*H29)+N81)</f>
        <v>27436.2262008985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260.521577169101</v>
      </c>
      <c r="C86" s="472" t="s">
        <v>227</v>
      </c>
      <c r="D86" s="211"/>
      <c r="E86" s="465" t="n">
        <f aca="false">B86/(B58+B57)</f>
        <v>7.4434736334029</v>
      </c>
      <c r="F86" s="63"/>
      <c r="G86" s="210" t="s">
        <v>115</v>
      </c>
      <c r="H86" s="299" t="n">
        <f aca="false">((((H83*H29)+H81))/(1-H70))*H70</f>
        <v>235.212081572759</v>
      </c>
      <c r="I86" s="211"/>
      <c r="J86" s="211"/>
      <c r="K86" s="212"/>
      <c r="L86" s="63"/>
      <c r="M86" s="210" t="s">
        <v>115</v>
      </c>
      <c r="N86" s="299" t="n">
        <f aca="false">(N85/(1-N70))*N70</f>
        <v>232.416599523545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31014.4734725121</v>
      </c>
      <c r="C87" s="472"/>
      <c r="D87" s="474"/>
      <c r="E87" s="465" t="n">
        <f aca="false">E86+E85</f>
        <v>886.127813500345</v>
      </c>
      <c r="F87" s="63"/>
      <c r="G87" s="284" t="s">
        <v>116</v>
      </c>
      <c r="H87" s="129" t="n">
        <f aca="false">IF(H110="YES",((H85+H86)-K114),(H85+H86))</f>
        <v>33554.683522651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27668.6428004221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886.127813500345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838.867088066275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691.716070010552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886.127813500345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838.867088066275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691.716070010552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200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838.867088066275</v>
      </c>
      <c r="H127" s="174" t="n">
        <f aca="false">IF(G105="YES", H89*H57, 0)</f>
        <v>0</v>
      </c>
      <c r="I127" s="174"/>
      <c r="J127" s="333" t="n">
        <f aca="false">H91</f>
        <v>838.867088066275</v>
      </c>
      <c r="K127" s="212"/>
      <c r="L127" s="63"/>
      <c r="M127" s="332" t="n">
        <f aca="false">N90</f>
        <v>691.716070010552</v>
      </c>
      <c r="N127" s="174" t="n">
        <f aca="false">IF(M105="YES", N89*N57, 0)</f>
        <v>0</v>
      </c>
      <c r="O127" s="174"/>
      <c r="P127" s="174" t="n">
        <f aca="false">N91</f>
        <v>691.716070010552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886.127813500345</v>
      </c>
      <c r="B128" s="320" t="n">
        <f aca="false">IF(A105="YES", B89, 0)</f>
        <v>0</v>
      </c>
      <c r="C128" s="324"/>
      <c r="D128" s="320" t="n">
        <f aca="false">B91</f>
        <v>886.127813500345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886.127813500345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5033.20252839765</v>
      </c>
      <c r="H133" s="99" t="n">
        <f aca="false">IF(G105="YES", H89*H57, 0)</f>
        <v>0</v>
      </c>
      <c r="I133" s="217"/>
      <c r="J133" s="181" t="n">
        <f aca="false">H91*H57</f>
        <v>5033.20252839765</v>
      </c>
      <c r="K133" s="212"/>
      <c r="L133" s="63"/>
      <c r="M133" s="182" t="n">
        <f aca="false">N90*N57</f>
        <v>4150.29642006331</v>
      </c>
      <c r="N133" s="99" t="n">
        <f aca="false">IF(M105="YES", N89*N57, 0)</f>
        <v>0</v>
      </c>
      <c r="O133" s="217"/>
      <c r="P133" s="181" t="n">
        <f aca="false">N91*N57</f>
        <v>4150.29642006331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886.127813500345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886.127813500345</v>
      </c>
      <c r="B137" s="38" t="n">
        <f aca="false">IF(A105="YES", B89, 0)</f>
        <v>0</v>
      </c>
      <c r="C137" s="316"/>
      <c r="D137" s="38" t="n">
        <f aca="false">B91</f>
        <v>886.127813500345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200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271.71875</v>
      </c>
      <c r="B148" s="99" t="n">
        <f aca="false">B102</f>
        <v>200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571.70875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838.867088066275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691.716070010552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886.127813500345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886.127813500345</v>
      </c>
      <c r="B177" s="354" t="n">
        <f aca="false">IF(A105="YES", B89, 0)</f>
        <v>0</v>
      </c>
      <c r="C177" s="356"/>
      <c r="D177" s="354" t="n">
        <f aca="false">B91</f>
        <v>886.127813500345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886.127813500345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886.127813500345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886.127813500345</v>
      </c>
      <c r="B186" s="99" t="n">
        <f aca="false">IF(A105="YES", B89, 0)</f>
        <v>0</v>
      </c>
      <c r="C186" s="352"/>
      <c r="D186" s="99" t="n">
        <f aca="false">B91</f>
        <v>886.127813500345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200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271.71875</v>
      </c>
      <c r="B197" s="99" t="n">
        <f aca="false">B102</f>
        <v>200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571.70875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2873.28125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271.71875</v>
      </c>
      <c r="C211" s="319" t="s">
        <v>214</v>
      </c>
      <c r="D211" s="369" t="n">
        <f aca="false">B225+E221+B221+B223</f>
        <v>319.99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2921.5525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2873.28125</v>
      </c>
      <c r="C217" s="374" t="s">
        <v>218</v>
      </c>
      <c r="D217" s="316"/>
      <c r="E217" s="375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271.71875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20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2921.5525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260.521577169101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398.858108915693</v>
      </c>
      <c r="E33" s="212"/>
      <c r="F33" s="63"/>
      <c r="G33" s="215" t="s">
        <v>354</v>
      </c>
      <c r="H33" s="459" t="n">
        <f aca="false">E21-E11</f>
        <v>23125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0.099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348.858108915693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23125</v>
      </c>
      <c r="I39" s="234" t="n">
        <f aca="false">(I48*H46)+H44</f>
        <v>54196.8147124161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-31071.8147124161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12297.7090658326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10827.2909341674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31.0363745530248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348.858108915693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398.858108915693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398.858108915693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27750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2913.75</v>
      </c>
      <c r="C64" s="464" t="n">
        <v>10000</v>
      </c>
      <c r="D64" s="290" t="n">
        <f aca="false">B64</f>
        <v>2913.75</v>
      </c>
      <c r="E64" s="465" t="n">
        <f aca="false">D64/(B58+B57)</f>
        <v>80.9375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277.5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162</v>
      </c>
      <c r="C73" s="211"/>
      <c r="D73" s="471" t="n">
        <f aca="false">B73+B71</f>
        <v>322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290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894.166666666667</v>
      </c>
      <c r="C76" s="211"/>
      <c r="D76" s="290" t="n">
        <f aca="false">B76</f>
        <v>894.166666666667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44.8935185185185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4529.91666666667</v>
      </c>
      <c r="C81" s="472"/>
      <c r="D81" s="473"/>
      <c r="E81" s="465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125.831018518519</v>
      </c>
      <c r="C82" s="472"/>
      <c r="D82" s="211"/>
      <c r="E82" s="465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348.858108915693</v>
      </c>
      <c r="C83" s="472"/>
      <c r="D83" s="211"/>
      <c r="E83" s="465" t="n">
        <f aca="false">B83+E80+E77+E64</f>
        <v>474.689127434211</v>
      </c>
      <c r="F83" s="63"/>
      <c r="G83" s="304" t="s">
        <v>104</v>
      </c>
      <c r="H83" s="305" t="n">
        <f aca="false">H47</f>
        <v>348.858108915693</v>
      </c>
      <c r="I83" s="211"/>
      <c r="J83" s="211"/>
      <c r="K83" s="212"/>
      <c r="L83" s="63"/>
      <c r="M83" s="304" t="s">
        <v>104</v>
      </c>
      <c r="N83" s="305" t="n">
        <f aca="false">H47</f>
        <v>348.858108915693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20506.5703051579</v>
      </c>
      <c r="C85" s="472"/>
      <c r="D85" s="472"/>
      <c r="E85" s="465" t="n">
        <f aca="false">B85/(B58+B57)</f>
        <v>569.626952921053</v>
      </c>
      <c r="F85" s="63"/>
      <c r="G85" s="287" t="s">
        <v>114</v>
      </c>
      <c r="H85" s="127" t="n">
        <f aca="false">((H83*H29)+H81)*1.2</f>
        <v>16349.5703051579</v>
      </c>
      <c r="I85" s="211"/>
      <c r="J85" s="211"/>
      <c r="K85" s="212"/>
      <c r="L85" s="63"/>
      <c r="M85" s="287" t="s">
        <v>114</v>
      </c>
      <c r="N85" s="127" t="n">
        <f aca="false">((N83*H29)+N81)</f>
        <v>13280.8919209649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144.761992876266</v>
      </c>
      <c r="C86" s="472" t="s">
        <v>227</v>
      </c>
      <c r="D86" s="211"/>
      <c r="E86" s="465" t="n">
        <f aca="false">B86/(B58+B57)</f>
        <v>4.02116646878517</v>
      </c>
      <c r="F86" s="63"/>
      <c r="G86" s="210" t="s">
        <v>115</v>
      </c>
      <c r="H86" s="299" t="n">
        <f aca="false">((((H83*H29)+H81))/(1-H70))*H70</f>
        <v>115.41649065763</v>
      </c>
      <c r="I86" s="211"/>
      <c r="J86" s="211"/>
      <c r="K86" s="212"/>
      <c r="L86" s="63"/>
      <c r="M86" s="210" t="s">
        <v>115</v>
      </c>
      <c r="N86" s="299" t="n">
        <f aca="false">(N85/(1-N70))*N70</f>
        <v>112.504530189699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20651.3322980342</v>
      </c>
      <c r="C87" s="472"/>
      <c r="D87" s="474"/>
      <c r="E87" s="465" t="n">
        <f aca="false">E86+E85</f>
        <v>573.648119389839</v>
      </c>
      <c r="F87" s="63"/>
      <c r="G87" s="284" t="s">
        <v>116</v>
      </c>
      <c r="H87" s="129" t="n">
        <f aca="false">IF(H110="YES",((H85+H86)-K114),(H85+H86))</f>
        <v>16464.9867958155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13393.3964511546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72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573.648119389839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401.585043800379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326.668206125723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645.648119389838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612.316751117452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502.277962223284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-2800.01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401.585043800379</v>
      </c>
      <c r="H127" s="174" t="n">
        <f aca="false">IF(G105="YES", H89*H57, 0)</f>
        <v>1264.39024390244</v>
      </c>
      <c r="I127" s="174"/>
      <c r="J127" s="333" t="n">
        <f aca="false">H91</f>
        <v>612.316751117452</v>
      </c>
      <c r="K127" s="212"/>
      <c r="L127" s="63"/>
      <c r="M127" s="332" t="n">
        <f aca="false">N90</f>
        <v>326.668206125723</v>
      </c>
      <c r="N127" s="174" t="n">
        <f aca="false">IF(M105="YES", N89*N57, 0)</f>
        <v>1053.65853658537</v>
      </c>
      <c r="O127" s="174"/>
      <c r="P127" s="174" t="n">
        <f aca="false">N91</f>
        <v>502.277962223284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573.648119389839</v>
      </c>
      <c r="B128" s="320" t="n">
        <f aca="false">IF(A105="YES", B89, 0)</f>
        <v>72</v>
      </c>
      <c r="C128" s="324"/>
      <c r="D128" s="320" t="n">
        <f aca="false">B91</f>
        <v>645.648119389838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573.648119389839</v>
      </c>
      <c r="C131" s="316"/>
      <c r="D131" s="38" t="n">
        <f aca="false">IF(A105="YES", B89*B57, 0)</f>
        <v>72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2409.51026280228</v>
      </c>
      <c r="H133" s="99" t="n">
        <f aca="false">IF(G105="YES", H89*H57, 0)</f>
        <v>1264.39024390244</v>
      </c>
      <c r="I133" s="217"/>
      <c r="J133" s="181" t="n">
        <f aca="false">H91*H57</f>
        <v>3673.90050670471</v>
      </c>
      <c r="K133" s="212"/>
      <c r="L133" s="63"/>
      <c r="M133" s="182" t="n">
        <f aca="false">N90*N57</f>
        <v>1960.00923675434</v>
      </c>
      <c r="N133" s="99" t="n">
        <f aca="false">IF(M105="YES", N89*N57, 0)</f>
        <v>1053.65853658537</v>
      </c>
      <c r="O133" s="217"/>
      <c r="P133" s="181" t="n">
        <f aca="false">N91*N57</f>
        <v>3013.6677733397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645.648119389838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573.648119389839</v>
      </c>
      <c r="B137" s="38" t="n">
        <f aca="false">IF(A105="YES", B89, 0)</f>
        <v>72</v>
      </c>
      <c r="C137" s="316"/>
      <c r="D137" s="38" t="n">
        <f aca="false">B91</f>
        <v>645.648119389838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277.5</v>
      </c>
      <c r="B148" s="99" t="n">
        <f aca="false">B102</f>
        <v>0</v>
      </c>
      <c r="C148" s="38"/>
      <c r="D148" s="38" t="n">
        <f aca="false">IF(A105="YES", (B40*B105)*B125, 0)*0.1</f>
        <v>36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413.49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612.316751117452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502.277962223284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645.648119389838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573.648119389839</v>
      </c>
      <c r="B177" s="354" t="n">
        <f aca="false">IF(A105="YES", B89, 0)</f>
        <v>72</v>
      </c>
      <c r="C177" s="356"/>
      <c r="D177" s="354" t="n">
        <f aca="false">B91</f>
        <v>645.648119389838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573.648119389839</v>
      </c>
      <c r="C180" s="352"/>
      <c r="D180" s="99" t="n">
        <f aca="false">IF(A105="YES", B89*B57, 0)</f>
        <v>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645.648119389838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573.648119389839</v>
      </c>
      <c r="B186" s="99" t="n">
        <f aca="false">IF(A105="YES", B89, 0)</f>
        <v>72</v>
      </c>
      <c r="C186" s="352"/>
      <c r="D186" s="99" t="n">
        <f aca="false">B91</f>
        <v>645.648119389838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277.5</v>
      </c>
      <c r="B197" s="99" t="n">
        <f aca="false">B102</f>
        <v>0</v>
      </c>
      <c r="C197" s="99"/>
      <c r="D197" s="99" t="n">
        <f aca="false">IF(A105="YES", (B40*B105)*B125, 0)*0.1</f>
        <v>36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413.49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2913.75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277.5</v>
      </c>
      <c r="C211" s="319" t="s">
        <v>214</v>
      </c>
      <c r="D211" s="369" t="n">
        <f aca="false">B225+E221+B221+B223</f>
        <v>459.99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3096.24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2913.75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277.5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3096.24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360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144.761992876266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143</v>
      </c>
      <c r="C2" s="481" t="s">
        <v>144</v>
      </c>
      <c r="D2" s="481" t="s">
        <v>145</v>
      </c>
      <c r="E2" s="482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3" t="n">
        <v>44854.17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48020.83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700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486" t="n">
        <f aca="false">B7+C7+D7+E3</f>
        <v>48854.16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49404.16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33" t="n">
        <f aca="false">(E9+E10)*20%</f>
        <v>9880.832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443" t="n">
        <f aca="false">(E9+E10+E13+E14+E11)-E12</f>
        <v>59984.992</v>
      </c>
      <c r="F15" s="387"/>
      <c r="G15" s="17" t="n">
        <f aca="false">E15</f>
        <v>59984.992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444" t="n">
        <v>0</v>
      </c>
      <c r="F18" s="387"/>
      <c r="G18" s="17" t="n">
        <f aca="false">(B3+C3+D3+E3+E10)*1.2</f>
        <v>59284.992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446" t="n">
        <f aca="false">E15-((E18*1.2)+(E19*1.2)+(E20*1.2)+(E16*1.2))</f>
        <v>59984.992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50104.16</v>
      </c>
      <c r="B35" s="219" t="s">
        <v>45</v>
      </c>
      <c r="C35" s="219"/>
      <c r="D35" s="278" t="n">
        <f aca="false">A35-B35</f>
        <v>49104.16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9880.832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740.069333333334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-190.069333333333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-187.402666666667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-237.402666666667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-187.402666666667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-187.402666666667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59284.992</v>
      </c>
      <c r="C67" s="316"/>
      <c r="D67" s="316"/>
      <c r="E67" s="317"/>
      <c r="F67" s="387"/>
      <c r="G67" s="315" t="s">
        <v>14</v>
      </c>
      <c r="H67" s="32" t="n">
        <f aca="false">G18</f>
        <v>59284.992</v>
      </c>
      <c r="I67" s="316"/>
      <c r="J67" s="316"/>
      <c r="K67" s="317"/>
      <c r="L67" s="387"/>
      <c r="M67" s="315" t="s">
        <v>14</v>
      </c>
      <c r="N67" s="32" t="n">
        <f aca="false">G18</f>
        <v>59284.992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4149.94944</v>
      </c>
      <c r="C70" s="316" t="n">
        <v>10000</v>
      </c>
      <c r="D70" s="32" t="n">
        <f aca="false">B70-A149</f>
        <v>4149.94944</v>
      </c>
      <c r="E70" s="317" t="n">
        <f aca="false">D70/12</f>
        <v>345.82912</v>
      </c>
      <c r="F70" s="387"/>
      <c r="G70" s="365" t="s">
        <v>90</v>
      </c>
      <c r="H70" s="65" t="n">
        <f aca="false">H67*H69</f>
        <v>4149.94944</v>
      </c>
      <c r="I70" s="316"/>
      <c r="J70" s="32" t="n">
        <f aca="false">H70-G151</f>
        <v>4149.94944</v>
      </c>
      <c r="K70" s="317"/>
      <c r="L70" s="387"/>
      <c r="M70" s="365" t="s">
        <v>90</v>
      </c>
      <c r="N70" s="65" t="n">
        <f aca="false">N67*N69</f>
        <v>4149.94944</v>
      </c>
      <c r="O70" s="316"/>
      <c r="P70" s="32" t="n">
        <f aca="false">N70-M151</f>
        <v>4149.94944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592.84992</v>
      </c>
      <c r="C73" s="316"/>
      <c r="D73" s="32"/>
      <c r="E73" s="317"/>
      <c r="F73" s="387"/>
      <c r="G73" s="365" t="s">
        <v>93</v>
      </c>
      <c r="H73" s="65" t="n">
        <f aca="false">H67*H72</f>
        <v>296.42496</v>
      </c>
      <c r="I73" s="316"/>
      <c r="J73" s="32"/>
      <c r="K73" s="317"/>
      <c r="L73" s="387"/>
      <c r="M73" s="365" t="s">
        <v>93</v>
      </c>
      <c r="N73" s="65" t="n">
        <f aca="false">N67*N72</f>
        <v>296.42496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0</v>
      </c>
      <c r="C83" s="316"/>
      <c r="D83" s="32" t="n">
        <f aca="false">B83</f>
        <v>0</v>
      </c>
      <c r="E83" s="317" t="n">
        <f aca="false">D83/12</f>
        <v>0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0</v>
      </c>
      <c r="C84" s="316"/>
      <c r="D84" s="32" t="n">
        <f aca="false">B84</f>
        <v>0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4853.28277333333</v>
      </c>
      <c r="C87" s="316"/>
      <c r="D87" s="316"/>
      <c r="E87" s="317"/>
      <c r="F87" s="387"/>
      <c r="G87" s="411" t="s">
        <v>102</v>
      </c>
      <c r="H87" s="412" t="n">
        <f aca="false">SUM(J70:J86)</f>
        <v>7303.53277333333</v>
      </c>
      <c r="I87" s="316"/>
      <c r="J87" s="316"/>
      <c r="K87" s="317"/>
      <c r="L87" s="387"/>
      <c r="M87" s="411" t="s">
        <v>102</v>
      </c>
      <c r="N87" s="412" t="n">
        <f aca="false">SUM(P70:P86)</f>
        <v>7263.94944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404.440231111111</v>
      </c>
      <c r="C88" s="316"/>
      <c r="D88" s="316"/>
      <c r="E88" s="317"/>
      <c r="F88" s="387"/>
      <c r="G88" s="315" t="s">
        <v>103</v>
      </c>
      <c r="H88" s="33" t="n">
        <f aca="false">H87/H29</f>
        <v>608.627731111111</v>
      </c>
      <c r="I88" s="316"/>
      <c r="J88" s="316"/>
      <c r="K88" s="317"/>
      <c r="L88" s="387"/>
      <c r="M88" s="315" t="s">
        <v>103</v>
      </c>
      <c r="N88" s="33" t="n">
        <f aca="false">N87/H29</f>
        <v>605.32912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-237.402666666667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2405.340928</v>
      </c>
      <c r="C91" s="316"/>
      <c r="D91" s="316"/>
      <c r="E91" s="317"/>
      <c r="F91" s="387"/>
      <c r="G91" s="395" t="s">
        <v>114</v>
      </c>
      <c r="H91" s="27" t="n">
        <f aca="false">((H89*H29)+H87)*1.2</f>
        <v>8764.239328</v>
      </c>
      <c r="I91" s="316"/>
      <c r="J91" s="316"/>
      <c r="K91" s="317"/>
      <c r="L91" s="387"/>
      <c r="M91" s="395" t="s">
        <v>114</v>
      </c>
      <c r="N91" s="27" t="n">
        <f aca="false">((N89*H29)+N87)</f>
        <v>7263.94944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16.9800186526825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61.8693780718032</v>
      </c>
      <c r="I92" s="316"/>
      <c r="J92" s="316"/>
      <c r="K92" s="317"/>
      <c r="L92" s="387"/>
      <c r="M92" s="315" t="s">
        <v>115</v>
      </c>
      <c r="N92" s="33" t="n">
        <f aca="false">(N91/(1-N76))*N76</f>
        <v>61.5340614118596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2422.32094665268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10826.1087060718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9325.48350141186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201.860078887723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279.860078887723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201.860078887723</v>
      </c>
      <c r="B134" s="320" t="n">
        <f aca="false">IF(A111="YES", B95, 0)</f>
        <v>78</v>
      </c>
      <c r="C134" s="324"/>
      <c r="D134" s="320" t="n">
        <f aca="false">B97</f>
        <v>279.860078887723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1816.74070998951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2518.74070998951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0.359909952</v>
      </c>
      <c r="H142" s="38" t="n">
        <f aca="false">IF(G111="YES", E15*0.000002, 0)</f>
        <v>0.119969984</v>
      </c>
      <c r="I142" s="38"/>
      <c r="J142" s="38" t="n">
        <f aca="false">G142+H142</f>
        <v>0.479879936</v>
      </c>
      <c r="K142" s="101"/>
      <c r="L142" s="387"/>
      <c r="M142" s="107" t="n">
        <f aca="false">E15*0.000006</f>
        <v>0.359909952</v>
      </c>
      <c r="N142" s="38" t="n">
        <f aca="false">IF(M111="YES", E15*0.000002, 0)</f>
        <v>0.119969984</v>
      </c>
      <c r="O142" s="38"/>
      <c r="P142" s="38" t="n">
        <f aca="false">M142+N142</f>
        <v>0.479879936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201.860078887723</v>
      </c>
      <c r="B143" s="38" t="n">
        <f aca="false">IF(A111="YES", B95, 0)</f>
        <v>78</v>
      </c>
      <c r="C143" s="316"/>
      <c r="D143" s="38" t="n">
        <f aca="false">B97</f>
        <v>279.860078887723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247.0208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247.0208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42.68519424</v>
      </c>
      <c r="B146" s="342" t="n">
        <f aca="false">G18*0.000002 *1.2*100</f>
        <v>14.22839808</v>
      </c>
      <c r="C146" s="316"/>
      <c r="D146" s="342" t="n">
        <f aca="false">A146+B146</f>
        <v>56.91359232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2907.0088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2867.0108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592.84992</v>
      </c>
      <c r="B154" s="38" t="n">
        <f aca="false">B108</f>
        <v>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9880.832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710.841586666667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279.860078887723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201.860078887723</v>
      </c>
      <c r="B177" s="354" t="n">
        <f aca="false">IF(A111="YES", B95, 0)</f>
        <v>78</v>
      </c>
      <c r="C177" s="356"/>
      <c r="D177" s="354" t="n">
        <f aca="false">A177+B177</f>
        <v>279.860078887723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1816.74070998951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2518.74070998951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201.860078887723</v>
      </c>
      <c r="B186" s="99" t="n">
        <f aca="false">IF(A111="YES", B95, 0)</f>
        <v>78</v>
      </c>
      <c r="C186" s="352"/>
      <c r="D186" s="99" t="n">
        <f aca="false">B97</f>
        <v>279.860078887723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42.68519424</v>
      </c>
      <c r="B189" s="364" t="n">
        <f aca="false">G18*0.000002 *1.2*100</f>
        <v>14.22839808</v>
      </c>
      <c r="C189" s="352"/>
      <c r="D189" s="364" t="n">
        <f aca="false">A189+B189</f>
        <v>56.91359232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592.84992</v>
      </c>
      <c r="B197" s="99" t="n">
        <f aca="false">B108</f>
        <v>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710.841586666667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4149.94944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592.84992</v>
      </c>
      <c r="C211" s="319" t="s">
        <v>214</v>
      </c>
      <c r="D211" s="369" t="n">
        <f aca="false">B225+E221+B221+B223</f>
        <v>279.991666666667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3837.09118666667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4149.94944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592.84992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3837.09118666667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16.9800186526825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1" t="s">
        <v>143</v>
      </c>
      <c r="C2" s="481" t="s">
        <v>144</v>
      </c>
      <c r="D2" s="481" t="s">
        <v>145</v>
      </c>
      <c r="E2" s="482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3" t="n">
        <v>44854.17</v>
      </c>
      <c r="C3" s="483" t="n">
        <v>0</v>
      </c>
      <c r="D3" s="483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4" t="n">
        <v>0</v>
      </c>
      <c r="C4" s="484" t="n">
        <v>0</v>
      </c>
      <c r="D4" s="484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3" t="n">
        <v>0</v>
      </c>
      <c r="C5" s="483" t="n">
        <v>0</v>
      </c>
      <c r="D5" s="483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700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486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41" t="n">
        <v>550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41" t="n">
        <v>585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443" t="n">
        <f aca="false">(E9+E10+E13+E14+E11)-E12</f>
        <v>58585</v>
      </c>
      <c r="F15" s="387"/>
      <c r="G15" s="17" t="n">
        <f aca="false">E15</f>
        <v>58585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446" t="n">
        <f aca="false">E15-((E18*1.2)+(E19*1.2)+(E20*1.2)+(E16*1.2))</f>
        <v>58585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233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235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236</v>
      </c>
      <c r="B29" s="219" t="n">
        <v>12345</v>
      </c>
      <c r="C29" s="219"/>
      <c r="D29" s="389" t="n">
        <f aca="true">TODAY()+1</f>
        <v>45108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48937.5</v>
      </c>
      <c r="B35" s="219" t="s">
        <v>45</v>
      </c>
      <c r="C35" s="219"/>
      <c r="D35" s="278" t="n">
        <f aca="false">A35-B35</f>
        <v>47937.5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-220.625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-217.958333333333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-217.958333333333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0.005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289.425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54</v>
      </c>
      <c r="C79" s="316"/>
      <c r="D79" s="32" t="n">
        <f aca="false">B79+B77</f>
        <v>214</v>
      </c>
      <c r="E79" s="403" t="n">
        <f aca="false">D79+D85+D86</f>
        <v>614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659.833333333333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</v>
      </c>
      <c r="C81" s="316"/>
      <c r="D81" s="316"/>
      <c r="E81" s="317" t="n">
        <f aca="false">E80/12</f>
        <v>54.9861111111111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45.8333333333333</v>
      </c>
      <c r="C82" s="316"/>
      <c r="D82" s="32" t="n">
        <f aca="false">IF(A50="YES", 0, B82)</f>
        <v>45.8333333333333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300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100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5378.45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448.204166666667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2762.95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23.4053852359823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2786.35538523598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232.196282102999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232.196282102999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260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261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262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232.196282102999</v>
      </c>
      <c r="B134" s="320" t="n">
        <f aca="false">IF(A111="YES", B95, 0)</f>
        <v>0</v>
      </c>
      <c r="C134" s="325"/>
      <c r="D134" s="320" t="n">
        <f aca="false">B97</f>
        <v>232.196282102999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249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2089.76653892699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238</v>
      </c>
      <c r="O138" s="316"/>
      <c r="P138" s="316" t="s">
        <v>242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2089.76653892699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251</v>
      </c>
      <c r="N141" s="316" t="s">
        <v>252</v>
      </c>
      <c r="O141" s="316"/>
      <c r="P141" s="316" t="s">
        <v>256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1"/>
      <c r="L142" s="387"/>
      <c r="M142" s="107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232.196282102999</v>
      </c>
      <c r="B143" s="38" t="n">
        <f aca="false">IF(A111="YES", B95, 0)</f>
        <v>0</v>
      </c>
      <c r="C143" s="316"/>
      <c r="D143" s="38" t="n">
        <f aca="false">B97</f>
        <v>232.196282102999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232.196282102999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232.196282102999</v>
      </c>
      <c r="B177" s="354" t="n">
        <f aca="false">IF(A111="YES", B95, 0)</f>
        <v>0</v>
      </c>
      <c r="C177" s="357"/>
      <c r="D177" s="354" t="n">
        <f aca="false">B91</f>
        <v>2762.95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2089.76653892699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2089.76653892699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232.196282102999</v>
      </c>
      <c r="B186" s="99" t="n">
        <f aca="false">IF(A111="YES", B95, 0)</f>
        <v>0</v>
      </c>
      <c r="C186" s="352"/>
      <c r="D186" s="99" t="n">
        <f aca="false">B97</f>
        <v>232.196282102999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23.4053852359823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370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65" zoomScaleNormal="6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1587.00247328604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1572.2075194955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1676.82132133812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1587.00247328604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1572.2075194955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1676.82132133812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264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232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645</v>
      </c>
      <c r="H148" s="33" t="n">
        <f aca="false">G148</f>
        <v>645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645</v>
      </c>
      <c r="Q148" s="33" t="n">
        <f aca="false">P148</f>
        <v>645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645</v>
      </c>
      <c r="Z148" s="33" t="n">
        <f aca="false">Y148</f>
        <v>645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58585</v>
      </c>
      <c r="H150" s="154" t="n">
        <f aca="false">(H144+H145+H148+H149+H146)-H147</f>
        <v>58585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58585</v>
      </c>
      <c r="Q150" s="154" t="n">
        <f aca="false">(Q144+Q145+Q148+Q149+Q146)-Q147</f>
        <v>36715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58585</v>
      </c>
      <c r="Z150" s="154" t="n">
        <f aca="false">(Z144+Z145+Z148+Z149+Z146)-Z147</f>
        <v>44528.749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58585</v>
      </c>
      <c r="AI150" s="154" t="n">
        <f aca="false">(AI144+AI145+AI148+AI149+AI146)-AI147</f>
        <v>44528.749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58585</v>
      </c>
      <c r="H156" s="161" t="n">
        <f aca="false">H150-((H153*1.2)+(H154*1.2)+(H155*1.2)+(H151*1.2))</f>
        <v>58585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58585</v>
      </c>
      <c r="Q156" s="161" t="n">
        <f aca="false">Q150-((Q153*1.2)+(Q154*1.2)+(Q155*1.2)+(Q151*1.2))</f>
        <v>36715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58585</v>
      </c>
      <c r="Z156" s="161" t="n">
        <f aca="false">Z150-((Z153*1.2)+(Z154*1.2)+(Z155*1.2)+(Z151*1.2))</f>
        <v>44528.749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58585</v>
      </c>
      <c r="AI156" s="161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58585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37715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45528.749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45528.749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1587.00247328604</v>
      </c>
      <c r="B176" s="174" t="n">
        <f aca="false">B103</f>
        <v>0</v>
      </c>
      <c r="C176" s="171"/>
      <c r="D176" s="171"/>
      <c r="E176" s="174" t="n">
        <f aca="false">B105</f>
        <v>1587.00247328604</v>
      </c>
      <c r="F176" s="23"/>
      <c r="G176" s="23"/>
      <c r="H176" s="33"/>
      <c r="J176" s="173" t="n">
        <f aca="false">K104</f>
        <v>1572.2075194955</v>
      </c>
      <c r="K176" s="175" t="n">
        <f aca="false">K103</f>
        <v>0</v>
      </c>
      <c r="L176" s="172"/>
      <c r="M176" s="172"/>
      <c r="N176" s="175" t="n">
        <f aca="false">K105</f>
        <v>1572.2075194955</v>
      </c>
      <c r="O176" s="23"/>
      <c r="P176" s="23"/>
      <c r="Q176" s="33"/>
      <c r="S176" s="173" t="n">
        <f aca="false">T104</f>
        <v>1676.82132133812</v>
      </c>
      <c r="T176" s="175" t="n">
        <f aca="false">T103</f>
        <v>0</v>
      </c>
      <c r="U176" s="172"/>
      <c r="V176" s="172"/>
      <c r="W176" s="175" t="n">
        <f aca="false">T105</f>
        <v>1676.82132133812</v>
      </c>
      <c r="X176" s="23"/>
      <c r="Y176" s="23"/>
      <c r="Z176" s="33"/>
      <c r="AB176" s="173" t="n">
        <f aca="false">AC104</f>
        <v>1676.82132133812</v>
      </c>
      <c r="AC176" s="175" t="n">
        <f aca="false">AC103</f>
        <v>0</v>
      </c>
      <c r="AD176" s="172"/>
      <c r="AE176" s="172"/>
      <c r="AF176" s="175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700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700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700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58585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58585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-1800.92085484668</v>
      </c>
      <c r="B191" s="99" t="str">
        <f aca="false">B123</f>
        <v>199.99</v>
      </c>
      <c r="C191" s="99"/>
      <c r="D191" s="23"/>
      <c r="E191" s="99" t="n">
        <f aca="false">E188+A191+B191+A194</f>
        <v>56994.0691451533</v>
      </c>
      <c r="F191" s="23"/>
      <c r="G191" s="23"/>
      <c r="H191" s="101"/>
      <c r="J191" s="107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1"/>
      <c r="S191" s="107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1"/>
      <c r="AB191" s="107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457.6953125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557.6853125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1587.00247328604</v>
      </c>
      <c r="B221" s="174" t="n">
        <f aca="false">B176</f>
        <v>0</v>
      </c>
      <c r="C221" s="171"/>
      <c r="D221" s="171"/>
      <c r="E221" s="174" t="n">
        <f aca="false">E176</f>
        <v>1587.00247328604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700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58585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58585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-1800.92085484668</v>
      </c>
      <c r="B233" s="99" t="str">
        <f aca="false">B191</f>
        <v>199.99</v>
      </c>
      <c r="C233" s="99"/>
      <c r="D233" s="109"/>
      <c r="E233" s="99" t="n">
        <f aca="false">E191</f>
        <v>56994.0691451533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1587.00247328604</v>
      </c>
      <c r="B239" s="99" t="n">
        <f aca="false">B176</f>
        <v>0</v>
      </c>
      <c r="C239" s="183"/>
      <c r="D239" s="183"/>
      <c r="E239" s="99" t="n">
        <f aca="false">E176</f>
        <v>1587.00247328604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457.6953125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557.6853125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-449.244375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-449.244375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65" zoomScaleNormal="6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/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1" t="n">
        <v>0</v>
      </c>
      <c r="C4" s="491"/>
      <c r="D4" s="492" t="n">
        <v>0</v>
      </c>
      <c r="E4" s="492"/>
      <c r="F4" s="492" t="n">
        <v>0</v>
      </c>
      <c r="G4" s="492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48020.83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48854.16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</v>
      </c>
      <c r="I10" s="2"/>
      <c r="J10" s="2"/>
      <c r="L10" s="16" t="s">
        <v>1</v>
      </c>
      <c r="M10" s="14" t="n">
        <f aca="false">H15-H11-M8</f>
        <v>49404.16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9880.832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59984.992</v>
      </c>
      <c r="I15" s="2"/>
      <c r="J15" s="17" t="n">
        <f aca="false">H15</f>
        <v>59984.992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59284.992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59984.992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245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4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50104.16</v>
      </c>
      <c r="B37" s="32"/>
      <c r="C37" s="41" t="s">
        <v>45</v>
      </c>
      <c r="D37" s="41"/>
      <c r="E37" s="32"/>
      <c r="F37" s="43" t="n">
        <f aca="false">A37-C37</f>
        <v>49104.16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9880.832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269.116121212121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230.883878787879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231.853575757576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231.853575757576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231.853575757576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59284.992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59284.992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59284.992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59284.992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52132.2938998235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54883.994050014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54883.994050014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562.3593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4261.1088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555.7968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436.675715625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231.853575757576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231.853575757576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231.853575757576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49104.16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46578.743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46578.743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44724.3067407538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46570.1837086168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46570.1837086168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1629.50918436948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1715.49981406294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1715.49981406294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52144.2938998235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54895.994050014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54895.994050014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52144.2938998235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54895.994050014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54895.994050014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1629.50918436948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1572.2075194955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1715.49981406294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1715.49981406294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1629.50918436948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1572.2075194955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1715.49981406294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1715.49981406294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48020.83</v>
      </c>
      <c r="C130" s="40" t="n">
        <f aca="false">B130</f>
        <v>48020.83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48020.83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48020.83</v>
      </c>
      <c r="U130" s="40" t="n">
        <f aca="false">T130</f>
        <v>48020.83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48020.83</v>
      </c>
      <c r="AD130" s="40" t="n">
        <f aca="false">AC130</f>
        <v>48020.83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5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12005.2075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12005.2075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48020.83</v>
      </c>
      <c r="C134" s="65" t="n">
        <f aca="false">C130-C133</f>
        <v>48020.83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48020.83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48020.83</v>
      </c>
      <c r="U134" s="65" t="n">
        <f aca="false">U130-U133</f>
        <v>36015.6225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48020.83</v>
      </c>
      <c r="AD134" s="65" t="n">
        <f aca="false">AD130-AD133</f>
        <v>36015.6225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48854.16</v>
      </c>
      <c r="H144" s="150" t="n">
        <f aca="false">C134+E134+G134+H137</f>
        <v>48854.16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48854.16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48854.16</v>
      </c>
      <c r="Z144" s="150" t="n">
        <f aca="false">U134+W134+Y134+Z137</f>
        <v>36848.9525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48854.16</v>
      </c>
      <c r="AI144" s="150" t="n">
        <f aca="false">AD134+AF134+AH134+AI137</f>
        <v>36848.9525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9880.832</v>
      </c>
      <c r="H146" s="33" t="n">
        <f aca="false">(H144+H145)*20%</f>
        <v>9880.832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9880.832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9880.832</v>
      </c>
      <c r="Z146" s="33" t="n">
        <f aca="false">(Z144+Z145)*20%</f>
        <v>7479.7905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9880.832</v>
      </c>
      <c r="AI146" s="33" t="n">
        <f aca="false">(AI144+AI145)*20%</f>
        <v>7479.7905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645</v>
      </c>
      <c r="H148" s="33" t="n">
        <f aca="false">G148</f>
        <v>645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645</v>
      </c>
      <c r="Q148" s="33" t="n">
        <f aca="false">P148</f>
        <v>645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645</v>
      </c>
      <c r="Z148" s="33" t="n">
        <f aca="false">Y148</f>
        <v>645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59984.992</v>
      </c>
      <c r="H150" s="154" t="n">
        <f aca="false">(H144+H145+H148+H149+H146)-H147</f>
        <v>59984.992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59984.992</v>
      </c>
      <c r="Q150" s="154" t="n">
        <f aca="false">(Q144+Q145+Q148+Q149+Q146)-Q147</f>
        <v>36715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59984.992</v>
      </c>
      <c r="Z150" s="154" t="n">
        <f aca="false">(Z144+Z145+Z148+Z149+Z146)-Z147</f>
        <v>45578.743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59984.992</v>
      </c>
      <c r="AI150" s="154" t="n">
        <f aca="false">(AI144+AI145+AI148+AI149+AI146)-AI147</f>
        <v>45578.743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59984.992</v>
      </c>
      <c r="H156" s="161" t="n">
        <f aca="false">H150-((H153*1.2)+(H154*1.2)+(H155*1.2)+(H151*1.2))</f>
        <v>59984.992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59984.992</v>
      </c>
      <c r="Q156" s="161" t="n">
        <f aca="false">Q150-((Q153*1.2)+(Q154*1.2)+(Q155*1.2)+(Q151*1.2))</f>
        <v>36715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59984.992</v>
      </c>
      <c r="Z156" s="161" t="n">
        <f aca="false">Z150-((Z153*1.2)+(Z154*1.2)+(Z155*1.2)+(Z151*1.2))</f>
        <v>45578.743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59984.992</v>
      </c>
      <c r="AI156" s="161" t="n">
        <f aca="false">AI150-((AI153*1.2)+(AI154*1.2)+(AI155*1.2)+(AI151*1.2))</f>
        <v>45578.743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-23269.992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-14406.249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-14406.249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59984.992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37715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46578.743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46578.743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1629.50918436948</v>
      </c>
      <c r="B176" s="174" t="n">
        <f aca="false">B103</f>
        <v>0</v>
      </c>
      <c r="C176" s="171"/>
      <c r="D176" s="171"/>
      <c r="E176" s="174" t="n">
        <f aca="false">B105</f>
        <v>1629.50918436948</v>
      </c>
      <c r="F176" s="23"/>
      <c r="G176" s="23"/>
      <c r="H176" s="33"/>
      <c r="J176" s="173" t="n">
        <f aca="false">K104</f>
        <v>1572.2075194955</v>
      </c>
      <c r="K176" s="175" t="n">
        <f aca="false">K103</f>
        <v>0</v>
      </c>
      <c r="L176" s="172"/>
      <c r="M176" s="172"/>
      <c r="N176" s="175" t="n">
        <f aca="false">K105</f>
        <v>1572.2075194955</v>
      </c>
      <c r="O176" s="23"/>
      <c r="P176" s="23"/>
      <c r="Q176" s="33"/>
      <c r="S176" s="173" t="n">
        <f aca="false">T104</f>
        <v>1715.49981406294</v>
      </c>
      <c r="T176" s="175" t="n">
        <f aca="false">T103</f>
        <v>0</v>
      </c>
      <c r="U176" s="172"/>
      <c r="V176" s="172"/>
      <c r="W176" s="175" t="n">
        <f aca="false">T105</f>
        <v>1715.49981406294</v>
      </c>
      <c r="X176" s="23"/>
      <c r="Y176" s="23"/>
      <c r="Z176" s="33"/>
      <c r="AB176" s="173" t="n">
        <f aca="false">AC104</f>
        <v>1715.49981406294</v>
      </c>
      <c r="AC176" s="175" t="n">
        <f aca="false">AC103</f>
        <v>0</v>
      </c>
      <c r="AD176" s="172"/>
      <c r="AE176" s="172"/>
      <c r="AF176" s="175" t="n">
        <f aca="false">AC105</f>
        <v>1715.49981406294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49404.16</v>
      </c>
      <c r="B182" s="99" t="n">
        <f aca="false">H146</f>
        <v>9880.832</v>
      </c>
      <c r="C182" s="183"/>
      <c r="D182" s="23"/>
      <c r="E182" s="179" t="n">
        <f aca="false">H148+H149</f>
        <v>700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700</v>
      </c>
      <c r="O182" s="23"/>
      <c r="P182" s="23"/>
      <c r="Q182" s="33"/>
      <c r="S182" s="182" t="n">
        <f aca="false">Z150-Z146-Z148-Z149</f>
        <v>37398.9525</v>
      </c>
      <c r="T182" s="38" t="n">
        <f aca="false">Z146</f>
        <v>7479.7905</v>
      </c>
      <c r="U182" s="43"/>
      <c r="V182" s="23"/>
      <c r="W182" s="181" t="n">
        <f aca="false">Z148+Z149</f>
        <v>700</v>
      </c>
      <c r="X182" s="23"/>
      <c r="Y182" s="23"/>
      <c r="Z182" s="33"/>
      <c r="AB182" s="182" t="n">
        <f aca="false">AI150-AI146-AI148-AI149</f>
        <v>37398.9525</v>
      </c>
      <c r="AC182" s="38" t="n">
        <f aca="false">AI146</f>
        <v>7479.7905</v>
      </c>
      <c r="AD182" s="43"/>
      <c r="AE182" s="23"/>
      <c r="AF182" s="181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59984.992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45578.743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45578.743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59984.992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46578.743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46578.743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-1840.69810017651</v>
      </c>
      <c r="B191" s="99" t="str">
        <f aca="false">B123</f>
        <v>239.99</v>
      </c>
      <c r="C191" s="99"/>
      <c r="D191" s="23"/>
      <c r="E191" s="99" t="n">
        <f aca="false">E188+A191+B191+A194</f>
        <v>58394.2838998235</v>
      </c>
      <c r="F191" s="23"/>
      <c r="G191" s="23"/>
      <c r="H191" s="101"/>
      <c r="J191" s="107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1"/>
      <c r="S191" s="107" t="n">
        <f aca="false">(S176*T68)+W194-W188-S194</f>
        <v>8329.25105001401</v>
      </c>
      <c r="T191" s="38" t="n">
        <f aca="false">T123</f>
        <v>199.99</v>
      </c>
      <c r="U191" s="38"/>
      <c r="V191" s="23"/>
      <c r="W191" s="38" t="n">
        <f aca="false">W188+S191+T191+S194</f>
        <v>55117.984050014</v>
      </c>
      <c r="X191" s="23"/>
      <c r="Y191" s="23"/>
      <c r="Z191" s="101"/>
      <c r="AB191" s="107" t="n">
        <f aca="false">(AB176*AC68)+AF194-AF188-AB194</f>
        <v>8329.25105001401</v>
      </c>
      <c r="AC191" s="38" t="n">
        <f aca="false">AC123</f>
        <v>239.99</v>
      </c>
      <c r="AD191" s="38"/>
      <c r="AE191" s="23"/>
      <c r="AF191" s="38" t="n">
        <f aca="false">AF188+AB191+AC191+AB194</f>
        <v>55157.984050014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14.22839808</v>
      </c>
      <c r="B197" s="99" t="n">
        <f aca="false">(G167*B76)/1.2</f>
        <v>468.63275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0.119969984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363.8964296875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363.8964296875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568.624416666667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-23269.992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1463.8864296875</v>
      </c>
      <c r="U200" s="32"/>
      <c r="V200" s="32"/>
      <c r="W200" s="38" t="n">
        <f aca="false">Z157</f>
        <v>-14406.249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1503.8864296875</v>
      </c>
      <c r="AD200" s="32"/>
      <c r="AE200" s="32"/>
      <c r="AF200" s="38" t="n">
        <f aca="false">AI157</f>
        <v>-14406.249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1629.50918436948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1715.49981406294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1715.49981406294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1629.50918436948</v>
      </c>
      <c r="B221" s="174" t="n">
        <f aca="false">B176</f>
        <v>0</v>
      </c>
      <c r="C221" s="171"/>
      <c r="D221" s="171"/>
      <c r="E221" s="174" t="n">
        <f aca="false">E176</f>
        <v>1629.50918436948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49404.16</v>
      </c>
      <c r="B224" s="99" t="n">
        <f aca="false">B182</f>
        <v>9880.832</v>
      </c>
      <c r="C224" s="183"/>
      <c r="D224" s="109"/>
      <c r="E224" s="179" t="n">
        <f aca="false">E182</f>
        <v>700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59984.992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59984.992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-1840.69810017651</v>
      </c>
      <c r="B233" s="99" t="str">
        <f aca="false">B191</f>
        <v>239.99</v>
      </c>
      <c r="C233" s="99"/>
      <c r="D233" s="109"/>
      <c r="E233" s="99" t="n">
        <f aca="false">E191</f>
        <v>58394.2838998235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1629.50918436948</v>
      </c>
      <c r="B239" s="99" t="n">
        <f aca="false">B176</f>
        <v>0</v>
      </c>
      <c r="C239" s="183"/>
      <c r="D239" s="183"/>
      <c r="E239" s="99" t="n">
        <f aca="false">E176</f>
        <v>1629.50918436948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42.68519424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14.22839808</v>
      </c>
      <c r="B245" s="99" t="n">
        <f aca="false">E242+A245</f>
        <v>56.91359232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468.63275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568.624416666667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562.3593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-462.367633333334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52144.2938998235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562.3593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-462.367633333334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4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4625</v>
      </c>
      <c r="D9" s="270"/>
      <c r="E9" s="270"/>
      <c r="F9" s="63"/>
      <c r="G9" s="453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3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3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5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763.392177168529</v>
      </c>
      <c r="E33" s="212"/>
      <c r="F33" s="63"/>
      <c r="G33" s="215" t="s">
        <v>354</v>
      </c>
      <c r="H33" s="459" t="n">
        <f aca="false">E21-E11</f>
        <v>23125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763.392177168529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23125</v>
      </c>
      <c r="I39" s="234" t="n">
        <f aca="false">(I48*H46)+H44</f>
        <v>42409.3945003222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-19284.3945003222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30</v>
      </c>
      <c r="B45" s="211"/>
      <c r="C45" s="462" t="n">
        <v>30</v>
      </c>
      <c r="D45" s="462"/>
      <c r="E45" s="212"/>
      <c r="F45" s="63"/>
      <c r="G45" s="63" t="s">
        <v>372</v>
      </c>
      <c r="H45" s="234" t="n">
        <f aca="false">(H39-H44)</f>
        <v>23125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30.2924246430873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763.392177168529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763.392177168529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763.392177168529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27750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2873.28125</v>
      </c>
      <c r="C64" s="464" t="n">
        <v>10000</v>
      </c>
      <c r="D64" s="290" t="n">
        <f aca="false">B64</f>
        <v>2873.28125</v>
      </c>
      <c r="E64" s="465" t="n">
        <f aca="false">D64/(B58+B57)</f>
        <v>82.09375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0.00979166666666667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271.71875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157.5</v>
      </c>
      <c r="C73" s="211"/>
      <c r="D73" s="471" t="n">
        <f aca="false">B73+B71</f>
        <v>317.5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180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540</v>
      </c>
      <c r="C76" s="211"/>
      <c r="D76" s="290" t="n">
        <f aca="false">B76</f>
        <v>540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</v>
      </c>
      <c r="C80" s="472"/>
      <c r="D80" s="290" t="n">
        <f aca="false">B80</f>
        <v>100</v>
      </c>
      <c r="E80" s="465" t="n">
        <f aca="false">(D73+D76+D79+D80)/(B58+B57)</f>
        <v>35.9285714285714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4130.78125</v>
      </c>
      <c r="C81" s="472"/>
      <c r="D81" s="473"/>
      <c r="E81" s="465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118.022321428571</v>
      </c>
      <c r="C82" s="472"/>
      <c r="D82" s="211"/>
      <c r="E82" s="465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763.392177168529</v>
      </c>
      <c r="C83" s="472"/>
      <c r="D83" s="211"/>
      <c r="E83" s="465" t="n">
        <f aca="false">B83+E80+E77+E64</f>
        <v>881.414498597101</v>
      </c>
      <c r="F83" s="63"/>
      <c r="G83" s="304" t="s">
        <v>104</v>
      </c>
      <c r="H83" s="305" t="n">
        <f aca="false">H47</f>
        <v>763.392177168529</v>
      </c>
      <c r="I83" s="211"/>
      <c r="J83" s="211"/>
      <c r="K83" s="212"/>
      <c r="L83" s="63"/>
      <c r="M83" s="304" t="s">
        <v>104</v>
      </c>
      <c r="N83" s="305" t="n">
        <f aca="false">H47</f>
        <v>763.392177168529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30849.5074508985</v>
      </c>
      <c r="C85" s="472"/>
      <c r="D85" s="472"/>
      <c r="E85" s="465" t="n">
        <f aca="false">B85/(B58+B57)</f>
        <v>881.414498597101</v>
      </c>
      <c r="F85" s="63"/>
      <c r="G85" s="287" t="s">
        <v>114</v>
      </c>
      <c r="H85" s="127" t="n">
        <f aca="false">((H83*H29)+H81)*1.2</f>
        <v>33319.4714410782</v>
      </c>
      <c r="I85" s="211"/>
      <c r="J85" s="211"/>
      <c r="K85" s="212"/>
      <c r="L85" s="63"/>
      <c r="M85" s="287" t="s">
        <v>114</v>
      </c>
      <c r="N85" s="127" t="n">
        <f aca="false">((N83*H29)+N81)</f>
        <v>27436.2262008985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261.331043351702</v>
      </c>
      <c r="C86" s="472" t="s">
        <v>227</v>
      </c>
      <c r="D86" s="211"/>
      <c r="E86" s="465" t="n">
        <f aca="false">B86/(B58+B57)</f>
        <v>7.46660123862006</v>
      </c>
      <c r="F86" s="63"/>
      <c r="G86" s="210" t="s">
        <v>115</v>
      </c>
      <c r="H86" s="299" t="n">
        <f aca="false">((((H83*H29)+H81))/(1-H70))*H70</f>
        <v>235.212081572759</v>
      </c>
      <c r="I86" s="211"/>
      <c r="J86" s="211"/>
      <c r="K86" s="212"/>
      <c r="L86" s="63"/>
      <c r="M86" s="210" t="s">
        <v>115</v>
      </c>
      <c r="N86" s="299" t="n">
        <f aca="false">(N85/(1-N70))*N70</f>
        <v>232.416599523545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31110.8384942502</v>
      </c>
      <c r="C87" s="472"/>
      <c r="D87" s="474"/>
      <c r="E87" s="465" t="n">
        <f aca="false">E86+E85</f>
        <v>888.881099835721</v>
      </c>
      <c r="F87" s="63"/>
      <c r="G87" s="284" t="s">
        <v>116</v>
      </c>
      <c r="H87" s="129" t="n">
        <f aca="false">IF(H110="YES",((H85+H86)-K114),(H85+H86))</f>
        <v>33554.683522651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27668.6428004221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888.881099835721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838.867088066275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691.716070010552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888.881099835721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838.867088066275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691.716070010552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838.867088066275</v>
      </c>
      <c r="H127" s="174" t="n">
        <f aca="false">IF(G105="YES", H89*H57, 0)</f>
        <v>0</v>
      </c>
      <c r="I127" s="174"/>
      <c r="J127" s="333" t="n">
        <f aca="false">H91</f>
        <v>838.867088066275</v>
      </c>
      <c r="K127" s="212"/>
      <c r="L127" s="63"/>
      <c r="M127" s="332" t="n">
        <f aca="false">N90</f>
        <v>691.716070010552</v>
      </c>
      <c r="N127" s="174" t="n">
        <f aca="false">IF(M105="YES", N89*N57, 0)</f>
        <v>0</v>
      </c>
      <c r="O127" s="174"/>
      <c r="P127" s="174" t="n">
        <f aca="false">N91</f>
        <v>691.716070010552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888.881099835721</v>
      </c>
      <c r="B128" s="320" t="n">
        <f aca="false">IF(A105="YES", B89, 0)</f>
        <v>0</v>
      </c>
      <c r="C128" s="324"/>
      <c r="D128" s="320" t="n">
        <f aca="false">B91</f>
        <v>888.881099835721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888.881099835721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5033.20252839765</v>
      </c>
      <c r="H133" s="99" t="n">
        <f aca="false">IF(G105="YES", H89*H57, 0)</f>
        <v>0</v>
      </c>
      <c r="I133" s="217"/>
      <c r="J133" s="181" t="n">
        <f aca="false">H91*H57</f>
        <v>5033.20252839765</v>
      </c>
      <c r="K133" s="212"/>
      <c r="L133" s="63"/>
      <c r="M133" s="182" t="n">
        <f aca="false">N90*N57</f>
        <v>4150.29642006331</v>
      </c>
      <c r="N133" s="99" t="n">
        <f aca="false">IF(M105="YES", N89*N57, 0)</f>
        <v>0</v>
      </c>
      <c r="O133" s="217"/>
      <c r="P133" s="181" t="n">
        <f aca="false">N91*N57</f>
        <v>4150.29642006331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888.881099835721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888.881099835721</v>
      </c>
      <c r="B137" s="38" t="n">
        <f aca="false">IF(A105="YES", B89, 0)</f>
        <v>0</v>
      </c>
      <c r="C137" s="316"/>
      <c r="D137" s="38" t="n">
        <f aca="false">B91</f>
        <v>888.881099835721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271.71875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371.70875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838.867088066275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691.716070010552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888.881099835721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888.881099835721</v>
      </c>
      <c r="B177" s="354" t="n">
        <f aca="false">IF(A105="YES", B89, 0)</f>
        <v>0</v>
      </c>
      <c r="C177" s="356"/>
      <c r="D177" s="354" t="n">
        <f aca="false">B91</f>
        <v>888.881099835721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888.881099835721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888.881099835721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888.881099835721</v>
      </c>
      <c r="B186" s="99" t="n">
        <f aca="false">IF(A105="YES", B89, 0)</f>
        <v>0</v>
      </c>
      <c r="C186" s="352"/>
      <c r="D186" s="99" t="n">
        <f aca="false">B91</f>
        <v>888.881099835721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271.71875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371.70875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2873.28125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271.71875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2701.5525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2873.28125</v>
      </c>
      <c r="C217" s="374" t="s">
        <v>218</v>
      </c>
      <c r="D217" s="316"/>
      <c r="E217" s="375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271.71875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2701.5525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261.331043351702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65" zoomScaleNormal="6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48020.83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48020.83</v>
      </c>
      <c r="F9" s="149"/>
      <c r="G9" s="133"/>
      <c r="H9" s="442" t="n">
        <f aca="false">B7+D7+F7+H3</f>
        <v>48854.16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49404.16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9880.832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59984.992</v>
      </c>
      <c r="I15" s="2"/>
      <c r="J15" s="17" t="n">
        <f aca="false">H15</f>
        <v>59984.992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59284.992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59984.992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14.2424242424242</v>
      </c>
      <c r="E32" s="222"/>
      <c r="F32" s="63"/>
      <c r="G32" s="223" t="s">
        <v>240</v>
      </c>
      <c r="H32" s="221" t="n">
        <f aca="false">A41</f>
        <v>14.2424242424242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514.242424242424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14.2424242424242</v>
      </c>
      <c r="B41" s="237" t="n">
        <f aca="false">IF(B38="YES", D38+A41, D38)</f>
        <v>514.242424242424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14.2424242424242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514.606060606061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514.606060606061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59284.992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50199.5187831396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562.3593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22.9125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1607.72890136705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48020.83</v>
      </c>
      <c r="C121" s="117" t="n">
        <f aca="false">B121</f>
        <v>48020.83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48020.83</v>
      </c>
      <c r="C125" s="129" t="n">
        <f aca="false">C121-C124</f>
        <v>48020.83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48854.16</v>
      </c>
      <c r="H135" s="150" t="n">
        <f aca="false">C125+E125+G125+H128</f>
        <v>48854.16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9880.832</v>
      </c>
      <c r="H137" s="33" t="n">
        <f aca="false">(H135+H136)*20%</f>
        <v>9880.832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645</v>
      </c>
      <c r="H139" s="33" t="n">
        <f aca="false">G139</f>
        <v>645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59984.992</v>
      </c>
      <c r="H141" s="154" t="n">
        <f aca="false">(H135+H136+H139+H140+H137)-H138</f>
        <v>59984.992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59984.992</v>
      </c>
      <c r="H147" s="161" t="n">
        <f aca="false">H141-((H144*1.2)+(H145*1.2)+(H146*1.2)+(H142*1.2))</f>
        <v>59984.992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59984.992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n">
        <f aca="false">B94</f>
        <v>22.9125</v>
      </c>
      <c r="C167" s="171"/>
      <c r="D167" s="171"/>
      <c r="E167" s="174" t="n">
        <f aca="false">B96</f>
        <v>1607.72890136705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49404.16</v>
      </c>
      <c r="B173" s="99" t="n">
        <f aca="false">H137</f>
        <v>9880.832</v>
      </c>
      <c r="C173" s="183"/>
      <c r="D173" s="23"/>
      <c r="E173" s="179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59984.992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59984.992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-3270.8671562543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14.22839808</v>
      </c>
      <c r="B188" s="99" t="n">
        <f aca="false">(G158*B67)/1.2</f>
        <v>468.63275</v>
      </c>
      <c r="C188" s="130"/>
      <c r="D188" s="130"/>
      <c r="E188" s="99" t="n">
        <f aca="false">IF(E105 = 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582.724416666667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1607.72890136705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n">
        <f aca="false">B167</f>
        <v>22.9125</v>
      </c>
      <c r="C212" s="171"/>
      <c r="D212" s="171"/>
      <c r="E212" s="174" t="n">
        <f aca="false">E167</f>
        <v>1607.72890136705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49404.16</v>
      </c>
      <c r="B215" s="99" t="n">
        <f aca="false">B173</f>
        <v>9880.832</v>
      </c>
      <c r="C215" s="183"/>
      <c r="D215" s="109"/>
      <c r="E215" s="179" t="n">
        <f aca="false">E173</f>
        <v>700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59984.992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59984.992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-3270.8671562543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n">
        <f aca="false">B167</f>
        <v>22.9125</v>
      </c>
      <c r="C230" s="183"/>
      <c r="D230" s="183"/>
      <c r="E230" s="99" t="n">
        <f aca="false">E167</f>
        <v>1607.72890136705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42.68519424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14.22839808</v>
      </c>
      <c r="B236" s="99" t="n">
        <f aca="false">E233+A236</f>
        <v>56.91359232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468.63275</v>
      </c>
      <c r="C240" s="130"/>
      <c r="D240" s="130"/>
      <c r="E240" s="99" t="n">
        <f aca="false">IF(E105 = "YES" , (H36*A108)*0.1 , 0)</f>
        <v>14.1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582.724416666667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562.3593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240.991666666667</v>
      </c>
      <c r="C255" s="194"/>
      <c r="D255" s="195" t="s">
        <v>215</v>
      </c>
      <c r="E255" s="195"/>
      <c r="F255" s="196" t="n">
        <f aca="false">(B254-F254)+B255</f>
        <v>-321.367633333334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562.3593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-321.367633333334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65" zoomScaleNormal="6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20</v>
      </c>
      <c r="E32" s="222"/>
      <c r="F32" s="63"/>
      <c r="G32" s="223" t="s">
        <v>240</v>
      </c>
      <c r="H32" s="221" t="n">
        <f aca="false">A41</f>
        <v>20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520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20</v>
      </c>
      <c r="B41" s="237" t="n">
        <f aca="false">IF(B38="YES", D38+A41, D38)</f>
        <v>520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20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520.363636363636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520.363636363636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54840.377749708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0.1715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3756.44433006987</v>
      </c>
      <c r="C86" s="130" t="n">
        <f aca="false">(B82/((1+B84)^(B85+1)))</f>
        <v>3756.44433006987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25.537840463124</v>
      </c>
      <c r="C87" s="130" t="n">
        <f aca="false">((1-(1/((1+B84)^B85)))/B84)</f>
        <v>25.537840463124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44181.0556699301</v>
      </c>
      <c r="C88" s="130" t="n">
        <f aca="false">B81-B86</f>
        <v>44181.0556699301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1730.02316831474</v>
      </c>
      <c r="C89" s="130" t="n">
        <f aca="false">(B88/B87)</f>
        <v>1730.02316831474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55360.7413860717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55360.7413860717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24.75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1730.02316831474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1754.77316831474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264</v>
      </c>
      <c r="C108" s="103"/>
      <c r="D108" s="103"/>
      <c r="E108" s="104" t="n">
        <f aca="false">B83</f>
        <v>0.1715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645</v>
      </c>
      <c r="H139" s="33" t="n">
        <f aca="false">G139</f>
        <v>645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58585</v>
      </c>
      <c r="H141" s="154" t="n">
        <f aca="false">(H135+H136+H139+H140+H137)-H138</f>
        <v>58585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58585</v>
      </c>
      <c r="H147" s="161" t="n">
        <f aca="false">H141-((H144*1.2)+(H145*1.2)+(H146*1.2)+(H142*1.2))</f>
        <v>58585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58585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1730.02316831474</v>
      </c>
      <c r="B167" s="174" t="n">
        <f aca="false">B94</f>
        <v>24.75</v>
      </c>
      <c r="C167" s="171"/>
      <c r="D167" s="171"/>
      <c r="E167" s="174" t="n">
        <f aca="false">B96</f>
        <v>1754.77316831474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58585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58585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2775.74138607165</v>
      </c>
      <c r="B182" s="99" t="str">
        <f aca="false">B114</f>
        <v>199.99</v>
      </c>
      <c r="C182" s="99"/>
      <c r="D182" s="23"/>
      <c r="E182" s="99" t="n">
        <f aca="false">E179+A182+B182+A185</f>
        <v>61570.7313860716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457.6953125</v>
      </c>
      <c r="C188" s="130"/>
      <c r="D188" s="130"/>
      <c r="E188" s="99" t="n">
        <f aca="false">IF(E105 = "YES" , (H36*A108)*0.1 , 0)</f>
        <v>13.2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570.8853125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1754.77316831474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1730.02316831474</v>
      </c>
      <c r="B212" s="174" t="n">
        <f aca="false">B167</f>
        <v>24.75</v>
      </c>
      <c r="C212" s="171"/>
      <c r="D212" s="171"/>
      <c r="E212" s="174" t="n">
        <f aca="false">E167</f>
        <v>1754.77316831474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700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58585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58585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2775.74138607165</v>
      </c>
      <c r="B224" s="99" t="str">
        <f aca="false">B182</f>
        <v>199.99</v>
      </c>
      <c r="C224" s="99"/>
      <c r="D224" s="109"/>
      <c r="E224" s="99" t="n">
        <f aca="false">E182</f>
        <v>61570.7313860716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1730.02316831474</v>
      </c>
      <c r="B230" s="99" t="n">
        <f aca="false">B167</f>
        <v>24.75</v>
      </c>
      <c r="C230" s="183"/>
      <c r="D230" s="183"/>
      <c r="E230" s="99" t="n">
        <f aca="false">E167</f>
        <v>1754.77316831474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457.6953125</v>
      </c>
      <c r="C240" s="130"/>
      <c r="D240" s="130"/>
      <c r="E240" s="99" t="n">
        <f aca="false">IF(E105 = "YES" , (H36*A108)*0.1 , 0)</f>
        <v>13.2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570.8853125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231.99</v>
      </c>
      <c r="C255" s="194"/>
      <c r="D255" s="195" t="s">
        <v>215</v>
      </c>
      <c r="E255" s="195"/>
      <c r="F255" s="196" t="n">
        <f aca="false">(B254-F254)+B255</f>
        <v>-317.244375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132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-317.244375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65" zoomScaleNormal="6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130" t="n">
        <f aca="false">B81-B86</f>
        <v>43557.6467407538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130" t="n">
        <f aca="false">(B88/B87)</f>
        <v>1587.00247328604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1587.00247328604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1587.00247328604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645</v>
      </c>
      <c r="H139" s="33" t="n">
        <f aca="false">G139</f>
        <v>645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58585</v>
      </c>
      <c r="H141" s="154" t="n">
        <f aca="false">(H135+H136+H139+H140+H137)-H138</f>
        <v>58585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58585</v>
      </c>
      <c r="H147" s="161" t="n">
        <f aca="false">H141-((H144*1.2)+(H145*1.2)+(H146*1.2)+(H142*1.2))</f>
        <v>58585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58585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1587.00247328604</v>
      </c>
      <c r="B167" s="174" t="str">
        <f aca="false">B94</f>
        <v>0</v>
      </c>
      <c r="C167" s="171"/>
      <c r="D167" s="171"/>
      <c r="E167" s="174" t="n">
        <f aca="false">B96</f>
        <v>1587.00247328604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58585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58585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-1800.92085484668</v>
      </c>
      <c r="B182" s="99" t="str">
        <f aca="false">B114</f>
        <v>239.99</v>
      </c>
      <c r="C182" s="99"/>
      <c r="D182" s="23"/>
      <c r="E182" s="99" t="n">
        <f aca="false">E179+A182+B182+A185</f>
        <v>57034.0691451533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457.6953125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557.686979166667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1587.00247328604</v>
      </c>
      <c r="B212" s="174" t="str">
        <f aca="false">B167</f>
        <v>0</v>
      </c>
      <c r="C212" s="171"/>
      <c r="D212" s="171"/>
      <c r="E212" s="174" t="n">
        <f aca="false">E167</f>
        <v>1587.00247328604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700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58585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58585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-1800.92085484668</v>
      </c>
      <c r="B224" s="99" t="str">
        <f aca="false">B182</f>
        <v>239.99</v>
      </c>
      <c r="C224" s="99"/>
      <c r="D224" s="109"/>
      <c r="E224" s="99" t="n">
        <f aca="false">E182</f>
        <v>57034.0691451533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1587.00247328604</v>
      </c>
      <c r="B230" s="99" t="str">
        <f aca="false">B167</f>
        <v>0</v>
      </c>
      <c r="C230" s="183"/>
      <c r="D230" s="183"/>
      <c r="E230" s="99" t="n">
        <f aca="false">E167</f>
        <v>1587.00247328604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457.6953125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557.686979166667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-449.242708333333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-449.242708333333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44854.17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48020.83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48854.16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49404.16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9880.832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59984.992</v>
      </c>
      <c r="F15" s="63"/>
      <c r="G15" s="273" t="n">
        <f aca="false">E15</f>
        <v>59984.992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59284.992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59984.992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240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59284.992</v>
      </c>
      <c r="C67" s="211"/>
      <c r="D67" s="211"/>
      <c r="E67" s="212"/>
      <c r="F67" s="63"/>
      <c r="G67" s="210" t="s">
        <v>14</v>
      </c>
      <c r="H67" s="290" t="n">
        <f aca="false">G18</f>
        <v>59284.992</v>
      </c>
      <c r="I67" s="211"/>
      <c r="J67" s="211"/>
      <c r="K67" s="212"/>
      <c r="L67" s="63"/>
      <c r="M67" s="210" t="s">
        <v>14</v>
      </c>
      <c r="N67" s="290" t="n">
        <f aca="false">G18</f>
        <v>59284.992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4149.94944</v>
      </c>
      <c r="C70" s="211" t="n">
        <v>10000</v>
      </c>
      <c r="D70" s="290" t="n">
        <f aca="false">B70-A149</f>
        <v>4149.94944</v>
      </c>
      <c r="E70" s="212" t="n">
        <f aca="false">D70/12</f>
        <v>345.82912</v>
      </c>
      <c r="F70" s="63"/>
      <c r="G70" s="284" t="s">
        <v>90</v>
      </c>
      <c r="H70" s="129" t="n">
        <f aca="false">H67*H69</f>
        <v>4149.94944</v>
      </c>
      <c r="I70" s="211"/>
      <c r="J70" s="290" t="n">
        <f aca="false">H70-G151</f>
        <v>4149.94944</v>
      </c>
      <c r="K70" s="212"/>
      <c r="L70" s="63"/>
      <c r="M70" s="284" t="s">
        <v>90</v>
      </c>
      <c r="N70" s="129" t="n">
        <f aca="false">N67*N69</f>
        <v>4149.94944</v>
      </c>
      <c r="O70" s="211"/>
      <c r="P70" s="290" t="n">
        <f aca="false">N70-M151</f>
        <v>4149.94944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592.84992</v>
      </c>
      <c r="C73" s="211"/>
      <c r="D73" s="290"/>
      <c r="E73" s="212"/>
      <c r="F73" s="63"/>
      <c r="G73" s="284" t="s">
        <v>93</v>
      </c>
      <c r="H73" s="129" t="n">
        <f aca="false">H67*H72</f>
        <v>296.42496</v>
      </c>
      <c r="I73" s="211"/>
      <c r="J73" s="290"/>
      <c r="K73" s="212"/>
      <c r="L73" s="63"/>
      <c r="M73" s="284" t="s">
        <v>93</v>
      </c>
      <c r="N73" s="129" t="n">
        <f aca="false">N67*N72</f>
        <v>296.42496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4809.94944</v>
      </c>
      <c r="C87" s="211"/>
      <c r="D87" s="211"/>
      <c r="E87" s="212"/>
      <c r="F87" s="63"/>
      <c r="G87" s="302" t="s">
        <v>102</v>
      </c>
      <c r="H87" s="303" t="n">
        <f aca="false">SUM(J70:J86)</f>
        <v>7303.53277333333</v>
      </c>
      <c r="I87" s="211"/>
      <c r="J87" s="211"/>
      <c r="K87" s="212"/>
      <c r="L87" s="63"/>
      <c r="M87" s="302" t="s">
        <v>102</v>
      </c>
      <c r="N87" s="303" t="n">
        <f aca="false">SUM(P70:P86)</f>
        <v>7263.94944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400.82912</v>
      </c>
      <c r="C88" s="211"/>
      <c r="D88" s="211"/>
      <c r="E88" s="212"/>
      <c r="F88" s="63"/>
      <c r="G88" s="210" t="s">
        <v>103</v>
      </c>
      <c r="H88" s="299" t="n">
        <f aca="false">H87/H29</f>
        <v>608.627731111111</v>
      </c>
      <c r="I88" s="211"/>
      <c r="J88" s="211"/>
      <c r="K88" s="212"/>
      <c r="L88" s="63"/>
      <c r="M88" s="210" t="s">
        <v>103</v>
      </c>
      <c r="N88" s="299" t="n">
        <f aca="false">N87/H29</f>
        <v>605.32912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10821.94944</v>
      </c>
      <c r="C91" s="211"/>
      <c r="D91" s="211"/>
      <c r="E91" s="212"/>
      <c r="F91" s="63"/>
      <c r="G91" s="287" t="s">
        <v>114</v>
      </c>
      <c r="H91" s="127" t="n">
        <f aca="false">((H89*H29)+H87)*1.2</f>
        <v>15978.639328</v>
      </c>
      <c r="I91" s="211"/>
      <c r="J91" s="211"/>
      <c r="K91" s="212"/>
      <c r="L91" s="63"/>
      <c r="M91" s="287" t="s">
        <v>114</v>
      </c>
      <c r="N91" s="127" t="n">
        <f aca="false">((N89*H29)+N87)</f>
        <v>13275.94944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91.6744405970149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112.797978313836</v>
      </c>
      <c r="I92" s="211"/>
      <c r="J92" s="211"/>
      <c r="K92" s="212"/>
      <c r="L92" s="63"/>
      <c r="M92" s="210" t="s">
        <v>115</v>
      </c>
      <c r="N92" s="299" t="n">
        <f aca="false">(N91/(1-N76))*N76</f>
        <v>112.462661653893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10913.623880597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18091.4373063138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15388.4121016539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909.468656716418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916.332656716418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909.468656716418</v>
      </c>
      <c r="B134" s="320" t="n">
        <f aca="false">IF(A111="YES", B95, 0)</f>
        <v>6.864</v>
      </c>
      <c r="C134" s="325"/>
      <c r="D134" s="320" t="n">
        <f aca="false">B97</f>
        <v>916.332656716418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8185.21791044776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8246.99391044776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0.359909952</v>
      </c>
      <c r="H142" s="99" t="n">
        <f aca="false">IF(G111="YES", E15*0.000002, 0)</f>
        <v>0.119969984</v>
      </c>
      <c r="I142" s="99"/>
      <c r="J142" s="99" t="n">
        <f aca="false">G142+H142</f>
        <v>0.479879936</v>
      </c>
      <c r="K142" s="101"/>
      <c r="L142" s="63"/>
      <c r="M142" s="107" t="n">
        <f aca="false">E15*0.000006</f>
        <v>0.359909952</v>
      </c>
      <c r="N142" s="99" t="n">
        <f aca="false">IF(M111="YES", E15*0.000002, 0)</f>
        <v>0.119969984</v>
      </c>
      <c r="O142" s="99"/>
      <c r="P142" s="99" t="n">
        <f aca="false">M142+N142</f>
        <v>0.479879936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909.468656716418</v>
      </c>
      <c r="B143" s="38" t="n">
        <f aca="false">IF(A111="YES", B95, 0)</f>
        <v>6.864</v>
      </c>
      <c r="C143" s="316"/>
      <c r="D143" s="38" t="n">
        <f aca="false">B97</f>
        <v>916.332656716418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247.0208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247.0208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42.68519424</v>
      </c>
      <c r="B146" s="342" t="n">
        <f aca="false">G18*0.000002 *1.2*100</f>
        <v>14.22839808</v>
      </c>
      <c r="C146" s="316"/>
      <c r="D146" s="342" t="n">
        <f aca="false">A146+B146</f>
        <v>56.91359232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1468.276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1428.278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592.84992</v>
      </c>
      <c r="B154" s="38" t="n">
        <f aca="false">B108</f>
        <v>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694.74072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916.332656716418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909.468656716418</v>
      </c>
      <c r="B177" s="354" t="n">
        <f aca="false">IF(A111="YES", B95, 0)</f>
        <v>6.864</v>
      </c>
      <c r="C177" s="357"/>
      <c r="D177" s="354" t="n">
        <f aca="false">B91</f>
        <v>10821.94944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8185.21791044776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8246.99391044776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909.468656716418</v>
      </c>
      <c r="B186" s="99" t="n">
        <f aca="false">IF(A111="YES", B95, 0)</f>
        <v>6.864</v>
      </c>
      <c r="C186" s="352"/>
      <c r="D186" s="99" t="n">
        <f aca="false">B97</f>
        <v>916.332656716418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42.68519424</v>
      </c>
      <c r="B189" s="364" t="n">
        <f aca="false">G18*0.000002 *1.2*100</f>
        <v>14.22839808</v>
      </c>
      <c r="C189" s="352"/>
      <c r="D189" s="364" t="n">
        <f aca="false">A189+B189</f>
        <v>56.91359232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592.84992</v>
      </c>
      <c r="B197" s="99" t="n">
        <f aca="false">B108</f>
        <v>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694.74072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4149.94944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592.84992</v>
      </c>
      <c r="C211" s="319" t="s">
        <v>214</v>
      </c>
      <c r="D211" s="369" t="n">
        <f aca="false">B225+E221+B221+B223</f>
        <v>118.998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3676.09752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4149.94944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592.84992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3676.09752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91.6744405970149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44854.17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383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659.833333333333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54.9861111111111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45.8333333333333</v>
      </c>
      <c r="C82" s="211"/>
      <c r="D82" s="290" t="n">
        <f aca="false">IF(A50="YES", 0, B82)</f>
        <v>45.8333333333333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448.204166666667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13668.54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96.4902985074627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13765.0302985075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1147.08585820896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1147.08585820896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1147.08585820896</v>
      </c>
      <c r="B134" s="320" t="n">
        <f aca="false">IF(A111="YES", B95, 0)</f>
        <v>0</v>
      </c>
      <c r="C134" s="325"/>
      <c r="D134" s="320" t="n">
        <f aca="false">B97</f>
        <v>1147.08585820896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10323.7727238806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10323.7727238806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0.35151</v>
      </c>
      <c r="H142" s="99" t="n">
        <f aca="false">IF(G111="YES", E15*0.000002, 0)</f>
        <v>0.11717</v>
      </c>
      <c r="I142" s="99"/>
      <c r="J142" s="99" t="n">
        <f aca="false">G142+H142</f>
        <v>0.46868</v>
      </c>
      <c r="K142" s="101"/>
      <c r="L142" s="63"/>
      <c r="M142" s="107" t="n">
        <f aca="false">E15*0.000006</f>
        <v>0.35151</v>
      </c>
      <c r="N142" s="99" t="n">
        <f aca="false">IF(M111="YES", E15*0.000002, 0)</f>
        <v>0.11717</v>
      </c>
      <c r="O142" s="99"/>
      <c r="P142" s="99" t="n">
        <f aca="false">M142+N142</f>
        <v>0.46868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1147.08585820896</v>
      </c>
      <c r="B143" s="38" t="n">
        <f aca="false">IF(A111="YES", B95, 0)</f>
        <v>0</v>
      </c>
      <c r="C143" s="316"/>
      <c r="D143" s="38" t="n">
        <f aca="false">B97</f>
        <v>1147.08585820896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1147.08585820896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1147.08585820896</v>
      </c>
      <c r="B177" s="354" t="n">
        <f aca="false">IF(A111="YES", B95, 0)</f>
        <v>0</v>
      </c>
      <c r="C177" s="357"/>
      <c r="D177" s="354" t="n">
        <f aca="false">B91</f>
        <v>13668.54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10323.7727238806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10323.7727238806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1147.08585820896</v>
      </c>
      <c r="B186" s="99" t="n">
        <f aca="false">IF(A111="YES", B95, 0)</f>
        <v>0</v>
      </c>
      <c r="C186" s="352"/>
      <c r="D186" s="99" t="n">
        <f aca="false">B97</f>
        <v>1147.08585820896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789.416666666667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4102.51666666667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44854.17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 t="n">
        <v>23125</v>
      </c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 t="n">
        <v>0</v>
      </c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 t="n">
        <v>0</v>
      </c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953.393225314867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0</v>
      </c>
      <c r="C134" s="325"/>
      <c r="D134" s="320" t="n">
        <f aca="false">B97</f>
        <v>953.393225314867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8580.53902783381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8580.53902783381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0.35151</v>
      </c>
      <c r="H142" s="99" t="n">
        <f aca="false">IF(G111="YES", E15*0.000002, 0)</f>
        <v>0.11717</v>
      </c>
      <c r="I142" s="99"/>
      <c r="J142" s="99" t="n">
        <f aca="false">G142+H142</f>
        <v>0.46868</v>
      </c>
      <c r="K142" s="101"/>
      <c r="L142" s="63"/>
      <c r="M142" s="107" t="n">
        <f aca="false">E15*0.000006</f>
        <v>0.35151</v>
      </c>
      <c r="N142" s="99" t="n">
        <f aca="false">IF(M111="YES", E15*0.000002, 0)</f>
        <v>0.11717</v>
      </c>
      <c r="O142" s="99"/>
      <c r="P142" s="99" t="n">
        <f aca="false">M142+N142</f>
        <v>0.46868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0</v>
      </c>
      <c r="C143" s="316"/>
      <c r="D143" s="38" t="n">
        <f aca="false">B97</f>
        <v>953.393225314867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953.393225314867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0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8580.53902783381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8580.53902783381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0</v>
      </c>
      <c r="C186" s="352"/>
      <c r="D186" s="99" t="n">
        <f aca="false">B97</f>
        <v>953.393225314867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65" zoomScaleNormal="6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n">
        <f aca="false">A41</f>
        <v>0</v>
      </c>
      <c r="I32" s="0"/>
      <c r="J32" s="44" t="s">
        <v>37</v>
      </c>
      <c r="K32" s="262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245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254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130" t="n">
        <f aca="false">B81-B86</f>
        <v>43557.6467407538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130" t="n">
        <f aca="false">(B88/B87)</f>
        <v>1587.00247328604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1587.00247328604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1587.00247328604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260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261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262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263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645</v>
      </c>
      <c r="H139" s="33" t="n">
        <f aca="false">G139</f>
        <v>645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58585</v>
      </c>
      <c r="H141" s="154" t="n">
        <f aca="false">(H135+H136+H139+H140+H137)-H138</f>
        <v>58585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58585</v>
      </c>
      <c r="H147" s="161" t="n">
        <f aca="false">H141-((H144*1.2)+(H145*1.2)+(H146*1.2)+(H142*1.2))</f>
        <v>58585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58585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1587.00247328604</v>
      </c>
      <c r="B167" s="174" t="str">
        <f aca="false">B94</f>
        <v>0</v>
      </c>
      <c r="C167" s="171"/>
      <c r="D167" s="171"/>
      <c r="E167" s="174" t="n">
        <f aca="false">B96</f>
        <v>1587.00247328604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58585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58585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-1800.92085484668</v>
      </c>
      <c r="B182" s="99" t="str">
        <f aca="false">B114</f>
        <v>199.99</v>
      </c>
      <c r="C182" s="99"/>
      <c r="D182" s="23"/>
      <c r="E182" s="99" t="n">
        <f aca="false">E179+A182+B182+A185</f>
        <v>56994.0691451533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457.6953125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557.6853125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1587.00247328604</v>
      </c>
      <c r="B212" s="174" t="str">
        <f aca="false">B167</f>
        <v>0</v>
      </c>
      <c r="C212" s="171"/>
      <c r="D212" s="171"/>
      <c r="E212" s="174" t="n">
        <f aca="false">E167</f>
        <v>1587.00247328604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700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58585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58585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-1800.92085484668</v>
      </c>
      <c r="B224" s="99" t="str">
        <f aca="false">B182</f>
        <v>199.99</v>
      </c>
      <c r="C224" s="99"/>
      <c r="D224" s="109"/>
      <c r="E224" s="99" t="n">
        <f aca="false">E182</f>
        <v>56994.0691451533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1587.00247328604</v>
      </c>
      <c r="B230" s="99" t="str">
        <f aca="false">B167</f>
        <v>0</v>
      </c>
      <c r="C230" s="183"/>
      <c r="D230" s="183"/>
      <c r="E230" s="99" t="n">
        <f aca="false">E167</f>
        <v>1587.00247328604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457.6953125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557.6853125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-449.244375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-449.244375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44854.17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240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n">
        <f aca="false">IF(B38="YES", D38+A41, D38)</f>
        <v>560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254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614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51.1666666666667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5332.61666666667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444.384722222222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11344.6166666667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96.1020371117386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11440.7187037784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953.393225314867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1031.39322531487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349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20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953.393225314867</v>
      </c>
      <c r="B134" s="320" t="n">
        <f aca="false">IF(A111="YES", B95, 0)</f>
        <v>78</v>
      </c>
      <c r="C134" s="325"/>
      <c r="D134" s="320" t="n">
        <f aca="false">B97</f>
        <v>1031.39322531487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8580.53902783381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9282.53902783381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0.35151</v>
      </c>
      <c r="H142" s="99" t="n">
        <f aca="false">IF(G111="YES", E15*0.000002, 0)</f>
        <v>0.11717</v>
      </c>
      <c r="I142" s="99"/>
      <c r="J142" s="99" t="n">
        <f aca="false">G142+H142</f>
        <v>0.46868</v>
      </c>
      <c r="K142" s="101"/>
      <c r="L142" s="63"/>
      <c r="M142" s="107" t="n">
        <f aca="false">E15*0.000006</f>
        <v>0.35151</v>
      </c>
      <c r="N142" s="99" t="n">
        <f aca="false">IF(M111="YES", E15*0.000002, 0)</f>
        <v>0.11717</v>
      </c>
      <c r="O142" s="99"/>
      <c r="P142" s="99" t="n">
        <f aca="false">M142+N142</f>
        <v>0.46868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953.393225314867</v>
      </c>
      <c r="B143" s="38" t="n">
        <f aca="false">IF(A111="YES", B95, 0)</f>
        <v>78</v>
      </c>
      <c r="C143" s="316"/>
      <c r="D143" s="38" t="n">
        <f aca="false">B97</f>
        <v>1031.39322531487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1031.39322531487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953.393225314867</v>
      </c>
      <c r="B177" s="354" t="n">
        <f aca="false">IF(A111="YES", B95, 0)</f>
        <v>78</v>
      </c>
      <c r="C177" s="357"/>
      <c r="D177" s="354" t="n">
        <f aca="false">B91</f>
        <v>11344.6166666667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8580.53902783381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9282.53902783381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953.393225314867</v>
      </c>
      <c r="B186" s="99" t="n">
        <f aca="false">IF(A111="YES", B95, 0)</f>
        <v>78</v>
      </c>
      <c r="C186" s="352"/>
      <c r="D186" s="99" t="n">
        <f aca="false">B97</f>
        <v>1031.39322531487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811.015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4318.515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65" zoomScaleNormal="6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44854.17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48020.83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48854.16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49404.16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9880.832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59984.992</v>
      </c>
      <c r="F15" s="63"/>
      <c r="G15" s="273" t="n">
        <f aca="false">E15</f>
        <v>59984.992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59284.992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59984.992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59284.992</v>
      </c>
      <c r="C67" s="211"/>
      <c r="D67" s="211"/>
      <c r="E67" s="212"/>
      <c r="F67" s="63"/>
      <c r="G67" s="210" t="s">
        <v>14</v>
      </c>
      <c r="H67" s="290" t="n">
        <f aca="false">G18</f>
        <v>59284.992</v>
      </c>
      <c r="I67" s="211"/>
      <c r="J67" s="211"/>
      <c r="K67" s="212"/>
      <c r="L67" s="63"/>
      <c r="M67" s="210" t="s">
        <v>14</v>
      </c>
      <c r="N67" s="290" t="n">
        <f aca="false">G18</f>
        <v>59284.992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4149.94944</v>
      </c>
      <c r="C70" s="211" t="n">
        <v>10000</v>
      </c>
      <c r="D70" s="290" t="n">
        <f aca="false">B70-A149</f>
        <v>4149.94944</v>
      </c>
      <c r="E70" s="212" t="n">
        <f aca="false">D70/12</f>
        <v>345.82912</v>
      </c>
      <c r="F70" s="63"/>
      <c r="G70" s="284" t="s">
        <v>90</v>
      </c>
      <c r="H70" s="129" t="n">
        <f aca="false">H67*H69</f>
        <v>4149.94944</v>
      </c>
      <c r="I70" s="211"/>
      <c r="J70" s="290" t="n">
        <f aca="false">H70-G151</f>
        <v>4149.94944</v>
      </c>
      <c r="K70" s="212"/>
      <c r="L70" s="63"/>
      <c r="M70" s="284" t="s">
        <v>90</v>
      </c>
      <c r="N70" s="129" t="n">
        <f aca="false">N67*N69</f>
        <v>4149.94944</v>
      </c>
      <c r="O70" s="211"/>
      <c r="P70" s="290" t="n">
        <f aca="false">N70-M151</f>
        <v>4149.94944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592.84992</v>
      </c>
      <c r="C73" s="211"/>
      <c r="D73" s="290"/>
      <c r="E73" s="212"/>
      <c r="F73" s="63"/>
      <c r="G73" s="284" t="s">
        <v>93</v>
      </c>
      <c r="H73" s="129" t="n">
        <f aca="false">H67*H72</f>
        <v>296.42496</v>
      </c>
      <c r="I73" s="211"/>
      <c r="J73" s="290"/>
      <c r="K73" s="212"/>
      <c r="L73" s="63"/>
      <c r="M73" s="284" t="s">
        <v>93</v>
      </c>
      <c r="N73" s="129" t="n">
        <f aca="false">N67*N72</f>
        <v>296.42496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4853.28277333333</v>
      </c>
      <c r="C87" s="211"/>
      <c r="D87" s="211"/>
      <c r="E87" s="212"/>
      <c r="F87" s="63"/>
      <c r="G87" s="302" t="s">
        <v>102</v>
      </c>
      <c r="H87" s="303" t="n">
        <f aca="false">SUM(J70:J86)</f>
        <v>7303.53277333333</v>
      </c>
      <c r="I87" s="211"/>
      <c r="J87" s="211"/>
      <c r="K87" s="212"/>
      <c r="L87" s="63"/>
      <c r="M87" s="302" t="s">
        <v>102</v>
      </c>
      <c r="N87" s="303" t="n">
        <f aca="false">SUM(P70:P86)</f>
        <v>7263.94944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404.440231111111</v>
      </c>
      <c r="C88" s="211"/>
      <c r="D88" s="211"/>
      <c r="E88" s="212"/>
      <c r="F88" s="63"/>
      <c r="G88" s="210" t="s">
        <v>103</v>
      </c>
      <c r="H88" s="299" t="n">
        <f aca="false">H87/H29</f>
        <v>608.627731111111</v>
      </c>
      <c r="I88" s="211"/>
      <c r="J88" s="211"/>
      <c r="K88" s="212"/>
      <c r="L88" s="63"/>
      <c r="M88" s="210" t="s">
        <v>103</v>
      </c>
      <c r="N88" s="299" t="n">
        <f aca="false">N87/H29</f>
        <v>605.32912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13038.339328</v>
      </c>
      <c r="C91" s="211"/>
      <c r="D91" s="211"/>
      <c r="E91" s="212"/>
      <c r="F91" s="63"/>
      <c r="G91" s="287" t="s">
        <v>114</v>
      </c>
      <c r="H91" s="127" t="n">
        <f aca="false">((H89*H29)+H87)*1.2</f>
        <v>15978.639328</v>
      </c>
      <c r="I91" s="211"/>
      <c r="J91" s="211"/>
      <c r="K91" s="212"/>
      <c r="L91" s="63"/>
      <c r="M91" s="287" t="s">
        <v>114</v>
      </c>
      <c r="N91" s="127" t="n">
        <f aca="false">((N89*H29)+N87)</f>
        <v>13275.94944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92.0415240984268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112.797978313836</v>
      </c>
      <c r="I92" s="211"/>
      <c r="J92" s="211"/>
      <c r="K92" s="212"/>
      <c r="L92" s="63"/>
      <c r="M92" s="210" t="s">
        <v>115</v>
      </c>
      <c r="N92" s="299" t="n">
        <f aca="false">(N91/(1-N76))*N76</f>
        <v>112.462661653893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13130.3808520984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18091.4373063138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15388.4121016539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72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1094.19840434154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1166.19840434154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1094.19840434154</v>
      </c>
      <c r="B134" s="320" t="n">
        <f aca="false">IF(A111="YES", B95, 0)</f>
        <v>72</v>
      </c>
      <c r="C134" s="325"/>
      <c r="D134" s="320" t="n">
        <f aca="false">B97</f>
        <v>1166.19840434154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Monthly in advance</v>
      </c>
      <c r="B137" s="38" t="n">
        <f aca="false">B96*B63</f>
        <v>1094.19840434154</v>
      </c>
      <c r="C137" s="316"/>
      <c r="D137" s="38" t="n">
        <f aca="false">IF(A111="YES", B95*B63, 0)</f>
        <v>72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1166.19840434154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0.359909952</v>
      </c>
      <c r="H142" s="99" t="n">
        <f aca="false">IF(G111="YES", E15*0.000002, 0)</f>
        <v>0.119969984</v>
      </c>
      <c r="I142" s="99"/>
      <c r="J142" s="99" t="n">
        <f aca="false">G142+H142</f>
        <v>0.479879936</v>
      </c>
      <c r="K142" s="101"/>
      <c r="L142" s="63"/>
      <c r="M142" s="107" t="n">
        <f aca="false">E15*0.000006</f>
        <v>0.359909952</v>
      </c>
      <c r="N142" s="99" t="n">
        <f aca="false">IF(M111="YES", E15*0.000002, 0)</f>
        <v>0.119969984</v>
      </c>
      <c r="O142" s="99"/>
      <c r="P142" s="99" t="n">
        <f aca="false">M142+N142</f>
        <v>0.479879936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1094.19840434154</v>
      </c>
      <c r="B143" s="38" t="n">
        <f aca="false">IF(A111="YES", B95, 0)</f>
        <v>72</v>
      </c>
      <c r="C143" s="316"/>
      <c r="D143" s="38" t="n">
        <f aca="false">B97</f>
        <v>1166.19840434154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247.0208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247.0208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42.68519424</v>
      </c>
      <c r="B146" s="342" t="n">
        <f aca="false">G18*0.000002 *1.2*100</f>
        <v>14.22839808</v>
      </c>
      <c r="C146" s="316"/>
      <c r="D146" s="342" t="n">
        <f aca="false">A146+B146</f>
        <v>56.91359232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1479.0088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1439.0108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592.84992</v>
      </c>
      <c r="B154" s="38" t="n">
        <f aca="false">B108</f>
        <v>0</v>
      </c>
      <c r="C154" s="38"/>
      <c r="D154" s="38" t="n">
        <f aca="false">IF(A111="YES", (A41/100*B111)*B131, 0)*0.1</f>
        <v>12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704.841586666667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1166.19840434154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1094.19840434154</v>
      </c>
      <c r="B177" s="354" t="n">
        <f aca="false">IF(A111="YES", B95, 0)</f>
        <v>72</v>
      </c>
      <c r="C177" s="357"/>
      <c r="D177" s="354" t="n">
        <f aca="false">B97</f>
        <v>1166.19840434154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Monthly in advance</v>
      </c>
      <c r="B180" s="99" t="n">
        <f aca="false">B96*B63</f>
        <v>1094.19840434154</v>
      </c>
      <c r="C180" s="352"/>
      <c r="D180" s="99" t="n">
        <f aca="false">IF(A111="YES", B95*B63, 0)</f>
        <v>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1166.19840434154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1094.19840434154</v>
      </c>
      <c r="B186" s="99" t="n">
        <f aca="false">IF(A111="YES", B95, 0)</f>
        <v>72</v>
      </c>
      <c r="C186" s="352"/>
      <c r="D186" s="99" t="n">
        <f aca="false">B97</f>
        <v>1166.19840434154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42.68519424</v>
      </c>
      <c r="B189" s="364" t="n">
        <f aca="false">G18*0.000002 *1.2*100</f>
        <v>14.22839808</v>
      </c>
      <c r="C189" s="352"/>
      <c r="D189" s="364" t="n">
        <f aca="false">A189+B189</f>
        <v>56.91359232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592.84992</v>
      </c>
      <c r="B197" s="99" t="n">
        <f aca="false">B108</f>
        <v>0</v>
      </c>
      <c r="C197" s="99"/>
      <c r="D197" s="99" t="n">
        <f aca="false">IF(A111="YES", (A41/100*B111)*B131, 0)*0.1</f>
        <v>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704.841586666667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4149.94944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592.84992</v>
      </c>
      <c r="C211" s="319" t="s">
        <v>214</v>
      </c>
      <c r="D211" s="369" t="n">
        <f aca="false">B225+E221+B221+B223</f>
        <v>219.991666666667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3777.09118666667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4149.94944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592.84992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3777.09118666667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120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92.0415240984268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65" zoomScaleNormal="6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44854.17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240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352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352</v>
      </c>
      <c r="E44" s="100"/>
      <c r="F44" s="63"/>
      <c r="G44" s="63" t="s">
        <v>254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348</v>
      </c>
      <c r="C47" s="428"/>
      <c r="D47" s="100" t="s">
        <v>348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0.005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289.425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54</v>
      </c>
      <c r="C79" s="211"/>
      <c r="D79" s="290" t="n">
        <f aca="false">B79+B77</f>
        <v>214</v>
      </c>
      <c r="E79" s="429" t="n">
        <f aca="false">D79+D85+D86</f>
        <v>614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659.833333333333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</v>
      </c>
      <c r="C81" s="211"/>
      <c r="D81" s="211"/>
      <c r="E81" s="212" t="n">
        <f aca="false">E80/12</f>
        <v>54.9861111111111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45.8333333333333</v>
      </c>
      <c r="C82" s="211"/>
      <c r="D82" s="290" t="n">
        <f aca="false">IF(A50="YES", 0, B82)</f>
        <v>45.8333333333333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300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100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5378.45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448.204166666667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11390.45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96.4902985074627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11486.9402985075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957.245024875622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957.245024875622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957.245024875622</v>
      </c>
      <c r="B134" s="320" t="n">
        <f aca="false">IF(A111="YES", B95, 0)</f>
        <v>0</v>
      </c>
      <c r="C134" s="325"/>
      <c r="D134" s="320" t="n">
        <f aca="false">B97</f>
        <v>957.245024875622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Terminal pause with 9 down</v>
      </c>
      <c r="B137" s="38" t="n">
        <f aca="false">B96*B63</f>
        <v>8615.2052238806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8615.2052238806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0.35151</v>
      </c>
      <c r="H142" s="99" t="n">
        <f aca="false">IF(G111="YES", E15*0.000002, 0)</f>
        <v>0.11717</v>
      </c>
      <c r="I142" s="99"/>
      <c r="J142" s="99" t="n">
        <f aca="false">G142+H142</f>
        <v>0.46868</v>
      </c>
      <c r="K142" s="101"/>
      <c r="L142" s="63"/>
      <c r="M142" s="107" t="n">
        <f aca="false">E15*0.000006</f>
        <v>0.35151</v>
      </c>
      <c r="N142" s="99" t="n">
        <f aca="false">IF(M111="YES", E15*0.000002, 0)</f>
        <v>0.11717</v>
      </c>
      <c r="O142" s="99"/>
      <c r="P142" s="99" t="n">
        <f aca="false">M142+N142</f>
        <v>0.46868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957.245024875622</v>
      </c>
      <c r="B143" s="38" t="n">
        <f aca="false">IF(A111="YES", B95, 0)</f>
        <v>0</v>
      </c>
      <c r="C143" s="316"/>
      <c r="D143" s="38" t="n">
        <f aca="false">B97</f>
        <v>957.245024875622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957.245024875622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957.245024875622</v>
      </c>
      <c r="B177" s="354" t="n">
        <f aca="false">IF(A111="YES", B95, 0)</f>
        <v>0</v>
      </c>
      <c r="C177" s="357"/>
      <c r="D177" s="354" t="n">
        <f aca="false">B91</f>
        <v>11390.45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Terminal pause with 9 down</v>
      </c>
      <c r="B180" s="99" t="n">
        <f aca="false">B96*B63</f>
        <v>8615.2052238806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8615.2052238806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957.245024875622</v>
      </c>
      <c r="B186" s="99" t="n">
        <f aca="false">IF(A111="YES", B95, 0)</f>
        <v>0</v>
      </c>
      <c r="C186" s="352"/>
      <c r="D186" s="99" t="n">
        <f aca="false">B97</f>
        <v>957.245024875622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289.425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789.415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289.425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4102.515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289.425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160</v>
      </c>
      <c r="C229" s="335" t="s">
        <v>223</v>
      </c>
      <c r="D229" s="342"/>
      <c r="E229" s="146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300</v>
      </c>
      <c r="C233" s="381" t="s">
        <v>330</v>
      </c>
      <c r="D233" s="382"/>
      <c r="E233" s="146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100</v>
      </c>
      <c r="C235" s="385" t="s">
        <v>331</v>
      </c>
      <c r="D235" s="385"/>
      <c r="E235" s="146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65" zoomScaleNormal="6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9150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/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526.004363928085</v>
      </c>
      <c r="F33" s="228"/>
      <c r="G33" s="228"/>
      <c r="H33" s="47"/>
      <c r="I33" s="2"/>
      <c r="J33" s="34" t="s">
        <v>354</v>
      </c>
      <c r="K33" s="48" t="n">
        <f aca="false">H21-H11+(H16*20%)</f>
        <v>17785</v>
      </c>
      <c r="L33" s="1" t="n">
        <f aca="false">H21-H11+(H16*20%)</f>
        <v>17785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526.004363928085</v>
      </c>
      <c r="B36" s="228" t="str">
        <f aca="false">IF(B26="YES", K42, "0.00")</f>
        <v>0.00</v>
      </c>
      <c r="C36" s="228"/>
      <c r="D36" s="228"/>
      <c r="E36" s="228" t="n">
        <f aca="false">K31</f>
        <v>1539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17785</v>
      </c>
      <c r="L39" s="2" t="n">
        <f aca="false">(L47*K46)+K44</f>
        <v>26499.2177883776</v>
      </c>
      <c r="N39" s="1" t="n">
        <f aca="false">K39-L39</f>
        <v>-8714.21778837758</v>
      </c>
      <c r="P39" s="208"/>
    </row>
    <row r="40" customFormat="false" ht="17.35" hidden="false" customHeight="false" outlineLevel="0" collapsed="false">
      <c r="A40" s="103" t="n">
        <f aca="false">E36*A45/100</f>
        <v>27250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1282.5</v>
      </c>
      <c r="L40" s="2" t="n">
        <f aca="false">K39-L39</f>
        <v>-8714.21778837758</v>
      </c>
      <c r="N40" s="1" t="n">
        <f aca="false">N38-N39</f>
        <v>11625.8977883776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1055.84091330833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365</v>
      </c>
      <c r="K45" s="2" t="n">
        <f aca="false">(K39-K44)</f>
        <v>16729.1590866917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526.004363928085</v>
      </c>
      <c r="L47" s="2" t="n">
        <f aca="false">L49-K42</f>
        <v>800</v>
      </c>
      <c r="M47" s="1" t="n">
        <f aca="false">K47-L47</f>
        <v>-273.995636071916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526.004363928085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526.004363928085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7384.8650944464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31278.8368623629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1065.57182460251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1065.57182460251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168.901354166667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526.004363928085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526.004363928085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526.004363928085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526.004363928085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130"/>
      <c r="D81" s="130"/>
      <c r="E81" s="109"/>
      <c r="F81" s="109"/>
      <c r="G81" s="109"/>
      <c r="H81" s="33"/>
      <c r="J81" s="25" t="s">
        <v>105</v>
      </c>
      <c r="K81" s="27" t="n">
        <f aca="false">P158</f>
        <v>36534.004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17249.5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17249.5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1539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1539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1539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1102.20552817803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1052.44918469009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1052.44918469009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21925.394471822</v>
      </c>
      <c r="C88" s="130"/>
      <c r="D88" s="130"/>
      <c r="E88" s="109"/>
      <c r="F88" s="109"/>
      <c r="G88" s="109"/>
      <c r="H88" s="33"/>
      <c r="J88" s="31" t="s">
        <v>112</v>
      </c>
      <c r="K88" s="33" t="n">
        <f aca="false">K81-K86</f>
        <v>36534.004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16197.0508153099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16197.0508153099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758.676995056746</v>
      </c>
      <c r="C89" s="130"/>
      <c r="D89" s="130"/>
      <c r="E89" s="109"/>
      <c r="F89" s="109"/>
      <c r="G89" s="109"/>
      <c r="H89" s="33"/>
      <c r="J89" s="31" t="s">
        <v>113</v>
      </c>
      <c r="K89" s="33" t="n">
        <f aca="false">(K88/K87)</f>
        <v>1461.4408705837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572.815428296631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572.815428296631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25795.0178319293</v>
      </c>
      <c r="C90" s="130"/>
      <c r="D90" s="130"/>
      <c r="E90" s="109"/>
      <c r="F90" s="109"/>
      <c r="G90" s="109"/>
      <c r="H90" s="33"/>
      <c r="J90" s="31" t="s">
        <v>114</v>
      </c>
      <c r="K90" s="33" t="n">
        <f aca="false">((K89*(K85))+K77)</f>
        <v>51150.4304704296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19475.7245620855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19475.7245620855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25795.0178319293</v>
      </c>
      <c r="C92" s="130"/>
      <c r="D92" s="130"/>
      <c r="E92" s="109"/>
      <c r="F92" s="109"/>
      <c r="G92" s="109"/>
      <c r="H92" s="33"/>
      <c r="J92" s="56" t="s">
        <v>116</v>
      </c>
      <c r="K92" s="65" t="n">
        <f aca="false">(K90+K91)</f>
        <v>51150.4304704296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19475.7245620855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19475.7245620855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758.676995056746</v>
      </c>
      <c r="C95" s="130"/>
      <c r="D95" s="130"/>
      <c r="E95" s="109"/>
      <c r="F95" s="109"/>
      <c r="G95" s="109"/>
      <c r="H95" s="33"/>
      <c r="J95" s="91" t="s">
        <v>118</v>
      </c>
      <c r="K95" s="92" t="n">
        <f aca="false">K92/(K85)</f>
        <v>1461.4408705837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572.815428296631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572.815428296631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758.676995056746</v>
      </c>
      <c r="C96" s="130"/>
      <c r="D96" s="130"/>
      <c r="E96" s="109"/>
      <c r="F96" s="109"/>
      <c r="G96" s="109"/>
      <c r="H96" s="33"/>
      <c r="J96" s="93" t="s">
        <v>119</v>
      </c>
      <c r="K96" s="94" t="n">
        <f aca="false">(K94+K95)</f>
        <v>1461.4408705837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572.815428296631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572.815428296631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-9354.17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-3545.5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4186.25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20290.5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12558.75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20290.5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12558.75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4197.1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2650.75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290</v>
      </c>
      <c r="H139" s="33" t="n">
        <f aca="false">G139</f>
        <v>290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290</v>
      </c>
      <c r="Q139" s="33" t="n">
        <f aca="false">P139</f>
        <v>290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290</v>
      </c>
      <c r="Z139" s="33" t="n">
        <f aca="false">Y139</f>
        <v>290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21273</v>
      </c>
      <c r="H141" s="154" t="n">
        <f aca="false">(H135+H136+H139+H140+H137)-H138</f>
        <v>25527.6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21273</v>
      </c>
      <c r="Q141" s="154" t="n">
        <f aca="false">(Q135+Q136+Q139+Q140+Q137)-Q138</f>
        <v>35534.004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21273</v>
      </c>
      <c r="Z141" s="154" t="n">
        <f aca="false">(Z135+Z136+Z139+Z140+Z137)-Z138</f>
        <v>16249.5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21273</v>
      </c>
      <c r="AI141" s="154" t="n">
        <f aca="false">(AI135+AI136+AI139+AI140+AI137)-AI138</f>
        <v>16249.5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21273</v>
      </c>
      <c r="H147" s="161" t="n">
        <f aca="false">H141-((H144*1.2)+(H145*1.2)+(H146*1.2)+(H142*1.2))</f>
        <v>25527.6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21273</v>
      </c>
      <c r="Q147" s="161" t="n">
        <f aca="false">Q141-((Q144*1.2)+(Q145*1.2)+(Q146*1.2)+(Q142*1.2))</f>
        <v>35534.004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21273</v>
      </c>
      <c r="Z147" s="161" t="n">
        <f aca="false">Z141-((Z144*1.2)+(Z145*1.2)+(Z146*1.2)+(Z142*1.2))</f>
        <v>16249.5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21273</v>
      </c>
      <c r="AI147" s="161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3545.5</v>
      </c>
      <c r="I148" s="1" t="n">
        <f aca="false">(H148-G81)/1.2</f>
        <v>2954.58333333333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-5023.5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23027.6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36534.004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17249.5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17249.5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758.676995056746</v>
      </c>
      <c r="B167" s="174" t="str">
        <f aca="false">B94</f>
        <v>0</v>
      </c>
      <c r="C167" s="171"/>
      <c r="D167" s="171"/>
      <c r="E167" s="174" t="n">
        <f aca="false">B96</f>
        <v>758.676995056746</v>
      </c>
      <c r="F167" s="23"/>
      <c r="G167" s="23"/>
      <c r="H167" s="33"/>
      <c r="J167" s="173" t="n">
        <f aca="false">K95</f>
        <v>1461.4408705837</v>
      </c>
      <c r="K167" s="174" t="n">
        <f aca="false">K94</f>
        <v>0</v>
      </c>
      <c r="L167" s="171"/>
      <c r="M167" s="171"/>
      <c r="N167" s="174" t="n">
        <f aca="false">K96</f>
        <v>1461.4408705837</v>
      </c>
      <c r="O167" s="23"/>
      <c r="P167" s="23"/>
      <c r="Q167" s="33"/>
      <c r="S167" s="173" t="n">
        <f aca="false">T95</f>
        <v>572.815428296631</v>
      </c>
      <c r="T167" s="174" t="n">
        <f aca="false">T94</f>
        <v>0</v>
      </c>
      <c r="U167" s="171"/>
      <c r="V167" s="171"/>
      <c r="W167" s="174" t="n">
        <f aca="false">T96</f>
        <v>572.815428296631</v>
      </c>
      <c r="X167" s="23"/>
      <c r="Y167" s="23"/>
      <c r="Z167" s="33"/>
      <c r="AB167" s="173" t="n">
        <f aca="false">AC95</f>
        <v>572.815428296631</v>
      </c>
      <c r="AC167" s="174" t="n">
        <f aca="false">AC94</f>
        <v>0</v>
      </c>
      <c r="AD167" s="171"/>
      <c r="AE167" s="171"/>
      <c r="AF167" s="174" t="n">
        <f aca="false">AC96</f>
        <v>572.815428296631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1539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1539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1539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1539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20985.5</v>
      </c>
      <c r="B173" s="99" t="n">
        <f aca="false">H137</f>
        <v>4197.1</v>
      </c>
      <c r="C173" s="183"/>
      <c r="D173" s="23"/>
      <c r="E173" s="179" t="n">
        <f aca="false">H139+H140</f>
        <v>345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345</v>
      </c>
      <c r="O173" s="23"/>
      <c r="P173" s="23"/>
      <c r="Q173" s="33"/>
      <c r="S173" s="182" t="n">
        <f aca="false">Z141-Z137-Z139-Z140</f>
        <v>13253.75</v>
      </c>
      <c r="T173" s="99" t="n">
        <f aca="false">Z137</f>
        <v>2650.75</v>
      </c>
      <c r="U173" s="183"/>
      <c r="V173" s="23"/>
      <c r="W173" s="179" t="n">
        <f aca="false">Z139+Z140</f>
        <v>345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25527.6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35534.004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16249.5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16249.5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23027.6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36534.004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17249.5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17249.5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4306.41783192935</v>
      </c>
      <c r="B182" s="99" t="str">
        <f aca="false">B114</f>
        <v>199.99</v>
      </c>
      <c r="C182" s="99"/>
      <c r="D182" s="23"/>
      <c r="E182" s="99" t="n">
        <f aca="false">E179+A182+B182+A185</f>
        <v>27544.0078319294</v>
      </c>
      <c r="F182" s="23"/>
      <c r="G182" s="23"/>
      <c r="H182" s="101"/>
      <c r="J182" s="107" t="n">
        <f aca="false">(J167*K59)+N185-N179-J185</f>
        <v>14693.9855998458</v>
      </c>
      <c r="K182" s="99" t="n">
        <f aca="false">K114</f>
        <v>239.99</v>
      </c>
      <c r="L182" s="99"/>
      <c r="M182" s="23"/>
      <c r="N182" s="99" t="n">
        <f aca="false">N179+J182+K182+J185</f>
        <v>51487.9795998458</v>
      </c>
      <c r="O182" s="23"/>
      <c r="P182" s="23"/>
      <c r="Q182" s="101"/>
      <c r="S182" s="107" t="n">
        <f aca="false">(S167*T59)+W185-W179-S185</f>
        <v>3765.22456208547</v>
      </c>
      <c r="T182" s="99" t="n">
        <f aca="false">T114</f>
        <v>199.99</v>
      </c>
      <c r="U182" s="99"/>
      <c r="V182" s="23"/>
      <c r="W182" s="99" t="n">
        <f aca="false">W179+S182+T182+S185</f>
        <v>21224.7145620855</v>
      </c>
      <c r="X182" s="23"/>
      <c r="Y182" s="23"/>
      <c r="Z182" s="101"/>
      <c r="AB182" s="107" t="n">
        <f aca="false">(AB167*AC59)+AF185-AF179-AB185</f>
        <v>3765.22456208547</v>
      </c>
      <c r="AC182" s="99" t="n">
        <f aca="false">AC114</f>
        <v>239.99</v>
      </c>
      <c r="AD182" s="99"/>
      <c r="AE182" s="23"/>
      <c r="AF182" s="99" t="n">
        <f aca="false">AF179+AB182+AC182+AB185</f>
        <v>21264.7145620855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1549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1559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1549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1549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187.898819444444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0.042546</v>
      </c>
      <c r="K188" s="99" t="n">
        <f aca="false">(P158*K67)/1.2</f>
        <v>2251.66170486111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140.751128472222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140.751128472222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287.888819444444</v>
      </c>
      <c r="C191" s="130"/>
      <c r="D191" s="130"/>
      <c r="E191" s="99" t="n">
        <f aca="false">H148</f>
        <v>3545.5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3391.65170486111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1240.74112847222</v>
      </c>
      <c r="U191" s="130"/>
      <c r="V191" s="130"/>
      <c r="W191" s="99" t="n">
        <f aca="false">Z148</f>
        <v>-5023.5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1280.74112847222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758.676995056746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572.815428296631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572.815428296631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758.676995056746</v>
      </c>
      <c r="B212" s="174" t="str">
        <f aca="false">B167</f>
        <v>0</v>
      </c>
      <c r="C212" s="171"/>
      <c r="D212" s="171"/>
      <c r="E212" s="174" t="n">
        <f aca="false">E167</f>
        <v>758.676995056746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20985.5</v>
      </c>
      <c r="B215" s="99" t="n">
        <f aca="false">B173</f>
        <v>4197.1</v>
      </c>
      <c r="C215" s="183"/>
      <c r="D215" s="109"/>
      <c r="E215" s="179" t="n">
        <f aca="false">E173</f>
        <v>345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25527.6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23027.6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4306.41783192935</v>
      </c>
      <c r="B224" s="99" t="str">
        <f aca="false">B182</f>
        <v>199.99</v>
      </c>
      <c r="C224" s="99"/>
      <c r="D224" s="109"/>
      <c r="E224" s="99" t="n">
        <f aca="false">E182</f>
        <v>27544.0078319294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758.676995056746</v>
      </c>
      <c r="B230" s="99" t="str">
        <f aca="false">B167</f>
        <v>0</v>
      </c>
      <c r="C230" s="183"/>
      <c r="D230" s="183"/>
      <c r="E230" s="99" t="n">
        <f aca="false">E167</f>
        <v>758.676995056746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1539</v>
      </c>
      <c r="B233" s="99" t="n">
        <f aca="false">E185</f>
        <v>1549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3545.5</v>
      </c>
      <c r="B240" s="99" t="n">
        <f aca="false">B68</f>
        <v>187.898819444444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3833.38881944444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-125.488583333333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25795.0178319293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-125.488583333333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5" colorId="64" zoomScale="65" zoomScaleNormal="6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9150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2344.65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534.615741668739</v>
      </c>
      <c r="F33" s="228"/>
      <c r="G33" s="228"/>
      <c r="H33" s="47"/>
      <c r="I33" s="2"/>
      <c r="J33" s="34" t="s">
        <v>354</v>
      </c>
      <c r="K33" s="48" t="n">
        <f aca="false">H21-H11+(H16*20%)</f>
        <v>17785</v>
      </c>
      <c r="L33" s="1" t="n">
        <f aca="false">H21-H11+(H16*20%)</f>
        <v>17785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534.615741668739</v>
      </c>
      <c r="B36" s="228" t="str">
        <f aca="false">IF(B26="YES", K42, "0.00")</f>
        <v>0.00</v>
      </c>
      <c r="C36" s="228"/>
      <c r="D36" s="228"/>
      <c r="E36" s="228" t="n">
        <f aca="false">K31</f>
        <v>2565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17785</v>
      </c>
      <c r="L39" s="2" t="n">
        <f aca="false">(L47*K46)+K44</f>
        <v>25824.1326469613</v>
      </c>
      <c r="N39" s="1" t="n">
        <f aca="false">K39-L39</f>
        <v>-8039.13264696132</v>
      </c>
      <c r="P39" s="208"/>
    </row>
    <row r="40" customFormat="false" ht="17.35" hidden="false" customHeight="false" outlineLevel="0" collapsed="false">
      <c r="A40" s="103" t="n">
        <f aca="false">E36*A45/100</f>
        <v>27250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2137.5</v>
      </c>
      <c r="L40" s="2" t="n">
        <f aca="false">K39-L39</f>
        <v>-8039.13264696132</v>
      </c>
      <c r="N40" s="1" t="n">
        <f aca="false">N38-N39</f>
        <v>10950.8126469613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1590.1929324915</v>
      </c>
      <c r="L44" s="2"/>
      <c r="P44" s="208"/>
    </row>
    <row r="45" customFormat="false" ht="17.35" hidden="false" customHeight="false" outlineLevel="0" collapsed="false">
      <c r="A45" s="504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365</v>
      </c>
      <c r="K45" s="2" t="n">
        <f aca="false">(K39-K44)</f>
        <v>16194.8070675085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30.2924246430873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534.615741668739</v>
      </c>
      <c r="L47" s="2" t="n">
        <f aca="false">L49-K42</f>
        <v>800</v>
      </c>
      <c r="M47" s="1" t="n">
        <f aca="false">K47-L47</f>
        <v>-265.384258331261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534.615741668739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534.615741668739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11715.289630132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30977.43864144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5900.48720207121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-79.4865856696561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208.298125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168.901354166667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534.615741668739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534.615741668739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534.615741668739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534.615741668739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25527.6</v>
      </c>
      <c r="C81" s="130"/>
      <c r="D81" s="130"/>
      <c r="E81" s="109"/>
      <c r="F81" s="109"/>
      <c r="G81" s="109"/>
      <c r="H81" s="33"/>
      <c r="J81" s="25" t="s">
        <v>105</v>
      </c>
      <c r="K81" s="27" t="n">
        <f aca="false">P158</f>
        <v>36534.004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22222.765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17249.5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2565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2565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2565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0.1715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1560.94413891714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1754.08197448349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1754.08197448349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26.7811670063367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23966.6558610829</v>
      </c>
      <c r="C88" s="130"/>
      <c r="D88" s="130"/>
      <c r="E88" s="109"/>
      <c r="F88" s="109"/>
      <c r="G88" s="109"/>
      <c r="H88" s="33"/>
      <c r="J88" s="31" t="s">
        <v>112</v>
      </c>
      <c r="K88" s="33" t="n">
        <f aca="false">K81-K86</f>
        <v>36534.004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20468.6830255165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15495.4180255165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894.907076133466</v>
      </c>
      <c r="C89" s="130"/>
      <c r="D89" s="130"/>
      <c r="E89" s="109"/>
      <c r="F89" s="109"/>
      <c r="G89" s="109"/>
      <c r="H89" s="33"/>
      <c r="J89" s="31" t="s">
        <v>113</v>
      </c>
      <c r="K89" s="33" t="n">
        <f aca="false">(K88/K87)</f>
        <v>1461.4408705837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723.88347530815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548.001893315771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30426.8405885378</v>
      </c>
      <c r="C90" s="130"/>
      <c r="D90" s="130"/>
      <c r="E90" s="109"/>
      <c r="F90" s="109"/>
      <c r="G90" s="109"/>
      <c r="H90" s="33"/>
      <c r="J90" s="31" t="s">
        <v>114</v>
      </c>
      <c r="K90" s="33" t="n">
        <f aca="false">((K89*(K85))+K77)</f>
        <v>51150.4304704296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24612.0381604771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18632.0643727362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30426.8405885378</v>
      </c>
      <c r="C92" s="130"/>
      <c r="D92" s="130"/>
      <c r="E92" s="109"/>
      <c r="F92" s="109"/>
      <c r="G92" s="109"/>
      <c r="H92" s="33"/>
      <c r="J92" s="56" t="s">
        <v>116</v>
      </c>
      <c r="K92" s="65" t="n">
        <f aca="false">(K90+K91)</f>
        <v>51150.4304704296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24612.0381604771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18632.0643727362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894.907076133466</v>
      </c>
      <c r="C95" s="130"/>
      <c r="D95" s="130"/>
      <c r="E95" s="109"/>
      <c r="F95" s="109"/>
      <c r="G95" s="109"/>
      <c r="H95" s="33"/>
      <c r="J95" s="91" t="s">
        <v>118</v>
      </c>
      <c r="K95" s="92" t="n">
        <f aca="false">K92/(K85)</f>
        <v>1461.4408705837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723.88347530815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548.001893315771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894.907076133466</v>
      </c>
      <c r="C96" s="130"/>
      <c r="D96" s="130"/>
      <c r="E96" s="109"/>
      <c r="F96" s="109"/>
      <c r="G96" s="109"/>
      <c r="H96" s="33"/>
      <c r="J96" s="93" t="s">
        <v>119</v>
      </c>
      <c r="K96" s="94" t="n">
        <f aca="false">(K94+K95)</f>
        <v>1461.4408705837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723.88347530815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548.001893315771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0.1715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-9354.17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-3545.5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20290.5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20290.5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4197.1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290</v>
      </c>
      <c r="H139" s="33" t="n">
        <f aca="false">G139</f>
        <v>290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290</v>
      </c>
      <c r="Q139" s="33" t="n">
        <f aca="false">P139</f>
        <v>290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290</v>
      </c>
      <c r="Z139" s="33" t="n">
        <f aca="false">Y139</f>
        <v>290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21273</v>
      </c>
      <c r="H141" s="154" t="n">
        <f aca="false">(H135+H136+H139+H140+H137)-H138</f>
        <v>25527.6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21273</v>
      </c>
      <c r="Q141" s="154" t="n">
        <f aca="false">(Q135+Q136+Q139+Q140+Q137)-Q138</f>
        <v>35534.004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21273</v>
      </c>
      <c r="Z141" s="154" t="n">
        <f aca="false">(Z135+Z136+Z139+Z140+Z137)-Z138</f>
        <v>21222.765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21273</v>
      </c>
      <c r="AI141" s="154" t="n">
        <f aca="false">(AI135+AI136+AI139+AI140+AI137)-AI138</f>
        <v>16249.5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21273</v>
      </c>
      <c r="H147" s="161" t="n">
        <f aca="false">H141-((H144*1.2)+(H145*1.2)+(H146*1.2)+(H142*1.2))</f>
        <v>25527.6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21273</v>
      </c>
      <c r="Q147" s="161" t="n">
        <f aca="false">Q141-((Q144*1.2)+(Q145*1.2)+(Q146*1.2)+(Q142*1.2))</f>
        <v>35534.004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21273</v>
      </c>
      <c r="Z147" s="161" t="n">
        <f aca="false">Z141-((Z144*1.2)+(Z145*1.2)+(Z146*1.2)+(Z142*1.2))</f>
        <v>21222.765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21273</v>
      </c>
      <c r="AI147" s="161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3545.5</v>
      </c>
      <c r="I148" s="1" t="n">
        <f aca="false">(H148-G81)/1.2</f>
        <v>2954.58333333333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25527.6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36534.004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22222.765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17249.5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894.907076133466</v>
      </c>
      <c r="B167" s="174" t="str">
        <f aca="false">B94</f>
        <v>0</v>
      </c>
      <c r="C167" s="171"/>
      <c r="D167" s="171"/>
      <c r="E167" s="174" t="n">
        <f aca="false">B96</f>
        <v>894.907076133466</v>
      </c>
      <c r="F167" s="23"/>
      <c r="G167" s="23"/>
      <c r="H167" s="33"/>
      <c r="J167" s="173" t="n">
        <f aca="false">K95</f>
        <v>1461.4408705837</v>
      </c>
      <c r="K167" s="174" t="n">
        <f aca="false">K94</f>
        <v>0</v>
      </c>
      <c r="L167" s="171"/>
      <c r="M167" s="171"/>
      <c r="N167" s="174" t="n">
        <f aca="false">K96</f>
        <v>1461.4408705837</v>
      </c>
      <c r="O167" s="23"/>
      <c r="P167" s="23"/>
      <c r="Q167" s="33"/>
      <c r="S167" s="173" t="n">
        <f aca="false">T95</f>
        <v>723.88347530815</v>
      </c>
      <c r="T167" s="174" t="n">
        <f aca="false">T94</f>
        <v>0</v>
      </c>
      <c r="U167" s="171"/>
      <c r="V167" s="171"/>
      <c r="W167" s="174" t="n">
        <f aca="false">T96</f>
        <v>723.88347530815</v>
      </c>
      <c r="X167" s="23"/>
      <c r="Y167" s="23"/>
      <c r="Z167" s="33"/>
      <c r="AB167" s="173" t="n">
        <f aca="false">AC95</f>
        <v>548.001893315771</v>
      </c>
      <c r="AC167" s="174" t="n">
        <f aca="false">AC94</f>
        <v>0</v>
      </c>
      <c r="AD167" s="171"/>
      <c r="AE167" s="171"/>
      <c r="AF167" s="174" t="n">
        <f aca="false">AC96</f>
        <v>548.001893315771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2565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2565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2565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2565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20985.5</v>
      </c>
      <c r="B173" s="99" t="n">
        <f aca="false">H137</f>
        <v>4197.1</v>
      </c>
      <c r="C173" s="183"/>
      <c r="D173" s="23"/>
      <c r="E173" s="179" t="n">
        <f aca="false">H139+H140</f>
        <v>345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345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345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25527.6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35534.004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21222.765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16249.5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25527.6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36534.004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22222.765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17249.5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7464.24058853783</v>
      </c>
      <c r="B182" s="99" t="str">
        <f aca="false">B114</f>
        <v>239.99</v>
      </c>
      <c r="C182" s="99"/>
      <c r="D182" s="23"/>
      <c r="E182" s="99" t="n">
        <f aca="false">E179+A182+B182+A185</f>
        <v>33241.8305885378</v>
      </c>
      <c r="F182" s="23"/>
      <c r="G182" s="23"/>
      <c r="H182" s="101"/>
      <c r="J182" s="107" t="n">
        <f aca="false">(J167*K59)+N185-N179-J185</f>
        <v>15719.9855998458</v>
      </c>
      <c r="K182" s="99" t="n">
        <f aca="false">K114</f>
        <v>239.99</v>
      </c>
      <c r="L182" s="99"/>
      <c r="M182" s="23"/>
      <c r="N182" s="99" t="n">
        <f aca="false">N179+J182+K182+J185</f>
        <v>52513.9795998458</v>
      </c>
      <c r="O182" s="23"/>
      <c r="P182" s="23"/>
      <c r="Q182" s="101"/>
      <c r="S182" s="107" t="n">
        <f aca="false">(S167*T59)+W185-W179-S185</f>
        <v>4954.27316047709</v>
      </c>
      <c r="T182" s="99" t="n">
        <f aca="false">T114</f>
        <v>199.99</v>
      </c>
      <c r="U182" s="99"/>
      <c r="V182" s="23"/>
      <c r="W182" s="99" t="n">
        <f aca="false">W179+S182+T182+S185</f>
        <v>27387.0281604771</v>
      </c>
      <c r="X182" s="23"/>
      <c r="Y182" s="23"/>
      <c r="Z182" s="101"/>
      <c r="AB182" s="107" t="n">
        <f aca="false">(AB167*AC59)+AF185-AF179-AB185</f>
        <v>3947.56437273622</v>
      </c>
      <c r="AC182" s="99" t="n">
        <f aca="false">AC114</f>
        <v>239.99</v>
      </c>
      <c r="AD182" s="99"/>
      <c r="AE182" s="23"/>
      <c r="AF182" s="99" t="n">
        <f aca="false">AF179+AB182+AC182+AB185</f>
        <v>21447.0543727362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239.99</v>
      </c>
      <c r="C185" s="99"/>
      <c r="D185" s="23"/>
      <c r="E185" s="99" t="n">
        <f aca="false">E170+A185</f>
        <v>2575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2585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2575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2575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0</v>
      </c>
      <c r="B188" s="99" t="n">
        <f aca="false">(G158*B67)</f>
        <v>249.95775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0.042546</v>
      </c>
      <c r="K188" s="99" t="n">
        <f aca="false">(P158*K67)/1.2</f>
        <v>2251.66170486111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181.331589409722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140.751128472222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349.949416666667</v>
      </c>
      <c r="C191" s="130"/>
      <c r="D191" s="130"/>
      <c r="E191" s="99" t="n">
        <f aca="false">H148</f>
        <v>3545.5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3391.65170486111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1281.32158940972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1280.74112847222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894.907076133466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723.88347530815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548.001893315771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894.907076133466</v>
      </c>
      <c r="B212" s="174" t="str">
        <f aca="false">B167</f>
        <v>0</v>
      </c>
      <c r="C212" s="171"/>
      <c r="D212" s="171"/>
      <c r="E212" s="174" t="n">
        <f aca="false">E167</f>
        <v>894.907076133466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20985.5</v>
      </c>
      <c r="B215" s="99" t="n">
        <f aca="false">B173</f>
        <v>4197.1</v>
      </c>
      <c r="C215" s="183"/>
      <c r="D215" s="109"/>
      <c r="E215" s="179" t="n">
        <f aca="false">E173</f>
        <v>345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25527.6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25527.6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7464.24058853783</v>
      </c>
      <c r="B224" s="99" t="str">
        <f aca="false">B182</f>
        <v>239.99</v>
      </c>
      <c r="C224" s="99"/>
      <c r="D224" s="109"/>
      <c r="E224" s="99" t="n">
        <f aca="false">E182</f>
        <v>33241.8305885378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894.907076133466</v>
      </c>
      <c r="B230" s="99" t="str">
        <f aca="false">B167</f>
        <v>0</v>
      </c>
      <c r="C230" s="183"/>
      <c r="D230" s="183"/>
      <c r="E230" s="99" t="n">
        <f aca="false">E167</f>
        <v>894.907076133466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2565</v>
      </c>
      <c r="B233" s="99" t="n">
        <f aca="false">E185</f>
        <v>2575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3545.5</v>
      </c>
      <c r="B240" s="99" t="n">
        <f aca="false">B68</f>
        <v>208.298125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3853.78979166666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249.95775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-149.966083333333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30426.8405885378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249.95775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-149.966083333333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8" colorId="64" zoomScale="65" zoomScaleNormal="6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35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7320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2813.65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558.082272086289</v>
      </c>
      <c r="F33" s="228"/>
      <c r="G33" s="228"/>
      <c r="H33" s="47"/>
      <c r="I33" s="2"/>
      <c r="J33" s="34" t="s">
        <v>354</v>
      </c>
      <c r="K33" s="48" t="n">
        <f aca="false">H21-H11+(H16*20%)</f>
        <v>17785</v>
      </c>
      <c r="L33" s="1" t="n">
        <f aca="false">H21-H11+(H16*20%)</f>
        <v>17785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503.872272086289</v>
      </c>
      <c r="B36" s="228" t="n">
        <f aca="false">IF(B26="YES", K42, "0.00")</f>
        <v>54.21</v>
      </c>
      <c r="C36" s="228"/>
      <c r="D36" s="228"/>
      <c r="E36" s="228" t="n">
        <f aca="false">K31</f>
        <v>2565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17785</v>
      </c>
      <c r="L39" s="2" t="n">
        <f aca="false">(L47*K46)+K44</f>
        <v>25479.0049050863</v>
      </c>
      <c r="N39" s="1" t="n">
        <f aca="false">K39-L39</f>
        <v>-7694.00490508625</v>
      </c>
      <c r="P39" s="208"/>
    </row>
    <row r="40" customFormat="false" ht="17.35" hidden="false" customHeight="false" outlineLevel="0" collapsed="false">
      <c r="A40" s="312" t="n">
        <f aca="false">E36*A45/100</f>
        <v>27250</v>
      </c>
      <c r="B40" s="103" t="n">
        <f aca="false">IF(B26="YES", K42, "0.00")</f>
        <v>54.21</v>
      </c>
      <c r="C40" s="103"/>
      <c r="D40" s="103"/>
      <c r="E40" s="179" t="n">
        <f aca="false">K32</f>
        <v>1897.35</v>
      </c>
      <c r="F40" s="183"/>
      <c r="G40" s="183"/>
      <c r="H40" s="47"/>
      <c r="J40" s="2" t="s">
        <v>106</v>
      </c>
      <c r="K40" s="2" t="n">
        <f aca="false">(A40)/1.2</f>
        <v>2137.5</v>
      </c>
      <c r="L40" s="2" t="n">
        <f aca="false">K39-L39</f>
        <v>-7694.00490508625</v>
      </c>
      <c r="N40" s="1" t="n">
        <f aca="false">N38-N39</f>
        <v>10605.6849050863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54.21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1759.73485551389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365</v>
      </c>
      <c r="K45" s="2" t="n">
        <f aca="false">(K39-K44)</f>
        <v>16025.2651444861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503.872272086289</v>
      </c>
      <c r="L47" s="2" t="n">
        <f aca="false">L49-K42</f>
        <v>745.79</v>
      </c>
      <c r="M47" s="1" t="n">
        <f aca="false">K47-L47</f>
        <v>-241.917727913711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558.082272086289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558.082272086289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9177.38353494802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32053.4600768257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6976.50863745697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996.534849716107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200.954375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168.901354166667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503.872272086289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503.872272086289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558.082272086289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558.082272086289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24627.6</v>
      </c>
      <c r="C81" s="130"/>
      <c r="D81" s="130"/>
      <c r="E81" s="109"/>
      <c r="F81" s="109"/>
      <c r="G81" s="109"/>
      <c r="H81" s="33"/>
      <c r="J81" s="25" t="s">
        <v>105</v>
      </c>
      <c r="K81" s="27" t="n">
        <f aca="false">P158</f>
        <v>36534.004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22222.765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17249.5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2565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2565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2565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1837.00921363005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1754.08197448349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1754.08197448349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22790.59078637</v>
      </c>
      <c r="C88" s="130"/>
      <c r="D88" s="130"/>
      <c r="E88" s="109"/>
      <c r="F88" s="109"/>
      <c r="G88" s="109"/>
      <c r="H88" s="33"/>
      <c r="J88" s="31" t="s">
        <v>112</v>
      </c>
      <c r="K88" s="33" t="n">
        <f aca="false">K81-K86</f>
        <v>36534.004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20468.6830255165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15495.4180255165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788.615089940239</v>
      </c>
      <c r="C89" s="130"/>
      <c r="D89" s="130"/>
      <c r="E89" s="109"/>
      <c r="F89" s="109"/>
      <c r="G89" s="109"/>
      <c r="H89" s="33"/>
      <c r="J89" s="31" t="s">
        <v>113</v>
      </c>
      <c r="K89" s="33" t="n">
        <f aca="false">(K88/K87)</f>
        <v>1461.4408705837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723.88347530815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548.001893315771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26812.9130579681</v>
      </c>
      <c r="C90" s="130"/>
      <c r="D90" s="130"/>
      <c r="E90" s="109"/>
      <c r="F90" s="109"/>
      <c r="G90" s="109"/>
      <c r="H90" s="33"/>
      <c r="J90" s="31" t="s">
        <v>114</v>
      </c>
      <c r="K90" s="33" t="n">
        <f aca="false">((K89*(K85))+K77)</f>
        <v>51150.4304704296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24612.0381604771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18632.0643727362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26812.9130579681</v>
      </c>
      <c r="C92" s="130"/>
      <c r="D92" s="130"/>
      <c r="E92" s="109"/>
      <c r="F92" s="109"/>
      <c r="G92" s="109"/>
      <c r="H92" s="33"/>
      <c r="J92" s="56" t="s">
        <v>116</v>
      </c>
      <c r="K92" s="65" t="n">
        <f aca="false">(K90+K91)</f>
        <v>51150.4304704296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24612.0381604771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18632.0643727362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87.0548823529412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84.5676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66.9652941176471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80.3583529411765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788.615089940239</v>
      </c>
      <c r="C95" s="130"/>
      <c r="D95" s="130"/>
      <c r="E95" s="109"/>
      <c r="F95" s="109"/>
      <c r="G95" s="109"/>
      <c r="H95" s="33"/>
      <c r="J95" s="91" t="s">
        <v>118</v>
      </c>
      <c r="K95" s="92" t="n">
        <f aca="false">K92/(K85)</f>
        <v>1461.4408705837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723.88347530815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548.001893315771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875.669972293181</v>
      </c>
      <c r="C96" s="130"/>
      <c r="D96" s="130"/>
      <c r="E96" s="109"/>
      <c r="F96" s="109"/>
      <c r="G96" s="109"/>
      <c r="H96" s="33"/>
      <c r="J96" s="93" t="s">
        <v>119</v>
      </c>
      <c r="K96" s="94" t="n">
        <f aca="false">(K94+K95)</f>
        <v>1546.0084705837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790.848769425797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628.360246256948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-9354.17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-3545.5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20290.5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20290.5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4197.1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290</v>
      </c>
      <c r="H139" s="33" t="n">
        <f aca="false">G139</f>
        <v>290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290</v>
      </c>
      <c r="Q139" s="33" t="n">
        <f aca="false">P139</f>
        <v>290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290</v>
      </c>
      <c r="Z139" s="33" t="n">
        <f aca="false">Y139</f>
        <v>290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21273</v>
      </c>
      <c r="H141" s="154" t="n">
        <f aca="false">(H135+H136+H139+H140+H137)-H138</f>
        <v>25527.6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21273</v>
      </c>
      <c r="Q141" s="154" t="n">
        <f aca="false">(Q135+Q136+Q139+Q140+Q137)-Q138</f>
        <v>35534.004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21273</v>
      </c>
      <c r="Z141" s="154" t="n">
        <f aca="false">(Z135+Z136+Z139+Z140+Z137)-Z138</f>
        <v>21222.765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21273</v>
      </c>
      <c r="AI141" s="154" t="n">
        <f aca="false">(AI135+AI136+AI139+AI140+AI137)-AI138</f>
        <v>16249.5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21273</v>
      </c>
      <c r="H147" s="161" t="n">
        <f aca="false">H141-((H144*1.2)+(H145*1.2)+(H146*1.2)+(H142*1.2))</f>
        <v>25527.6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21273</v>
      </c>
      <c r="Q147" s="161" t="n">
        <f aca="false">Q141-((Q144*1.2)+(Q145*1.2)+(Q146*1.2)+(Q142*1.2))</f>
        <v>35534.004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21273</v>
      </c>
      <c r="Z147" s="161" t="n">
        <f aca="false">Z141-((Z144*1.2)+(Z145*1.2)+(Z146*1.2)+(Z142*1.2))</f>
        <v>21222.765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21273</v>
      </c>
      <c r="AI147" s="161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3545.5</v>
      </c>
      <c r="I148" s="1" t="n">
        <f aca="false">(H148-G81)/1.2</f>
        <v>2954.58333333333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24627.6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36534.004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22222.765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17249.5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788.615089940239</v>
      </c>
      <c r="B167" s="174" t="n">
        <f aca="false">B94</f>
        <v>87.0548823529412</v>
      </c>
      <c r="C167" s="171"/>
      <c r="D167" s="171"/>
      <c r="E167" s="174" t="n">
        <f aca="false">B96</f>
        <v>875.669972293181</v>
      </c>
      <c r="F167" s="23"/>
      <c r="G167" s="23"/>
      <c r="H167" s="33"/>
      <c r="J167" s="173" t="n">
        <f aca="false">K95</f>
        <v>1461.4408705837</v>
      </c>
      <c r="K167" s="174" t="n">
        <f aca="false">K94</f>
        <v>84.5676</v>
      </c>
      <c r="L167" s="171"/>
      <c r="M167" s="171"/>
      <c r="N167" s="174" t="n">
        <f aca="false">K96</f>
        <v>1546.0084705837</v>
      </c>
      <c r="O167" s="23"/>
      <c r="P167" s="23"/>
      <c r="Q167" s="33"/>
      <c r="S167" s="173" t="n">
        <f aca="false">T95</f>
        <v>723.88347530815</v>
      </c>
      <c r="T167" s="174" t="n">
        <f aca="false">T94</f>
        <v>66.9652941176471</v>
      </c>
      <c r="U167" s="171"/>
      <c r="V167" s="171"/>
      <c r="W167" s="174" t="n">
        <f aca="false">T96</f>
        <v>790.848769425797</v>
      </c>
      <c r="X167" s="23"/>
      <c r="Y167" s="23"/>
      <c r="Z167" s="33"/>
      <c r="AB167" s="173" t="n">
        <f aca="false">AC95</f>
        <v>548.001893315771</v>
      </c>
      <c r="AC167" s="174" t="n">
        <f aca="false">AC94</f>
        <v>80.3583529411765</v>
      </c>
      <c r="AD167" s="171"/>
      <c r="AE167" s="171"/>
      <c r="AF167" s="174" t="n">
        <f aca="false">AC96</f>
        <v>628.360246256948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2565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2565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2565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2565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20985.5</v>
      </c>
      <c r="B173" s="99" t="n">
        <f aca="false">H137</f>
        <v>4197.1</v>
      </c>
      <c r="C173" s="183"/>
      <c r="D173" s="23"/>
      <c r="E173" s="179" t="n">
        <f aca="false">H139+H140</f>
        <v>345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345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345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25527.6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35534.004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21222.765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16249.5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24627.6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36534.004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22222.765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17249.5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4750.31305796813</v>
      </c>
      <c r="B182" s="99" t="str">
        <f aca="false">B114</f>
        <v>239.99</v>
      </c>
      <c r="C182" s="99"/>
      <c r="D182" s="23"/>
      <c r="E182" s="99" t="n">
        <f aca="false">E179+A182+B182+A185</f>
        <v>29627.9030579681</v>
      </c>
      <c r="F182" s="23"/>
      <c r="G182" s="23"/>
      <c r="H182" s="101"/>
      <c r="J182" s="107" t="n">
        <f aca="false">(J167*K59)+N185-N179-J185</f>
        <v>15719.9855998458</v>
      </c>
      <c r="K182" s="99" t="n">
        <f aca="false">K114</f>
        <v>239.99</v>
      </c>
      <c r="L182" s="99"/>
      <c r="M182" s="23"/>
      <c r="N182" s="99" t="n">
        <f aca="false">N179+J182+K182+J185</f>
        <v>52513.9795998458</v>
      </c>
      <c r="O182" s="23"/>
      <c r="P182" s="23"/>
      <c r="Q182" s="101"/>
      <c r="S182" s="107" t="n">
        <f aca="false">(S167*T59)+W185-W179-S185</f>
        <v>4954.27316047709</v>
      </c>
      <c r="T182" s="99" t="n">
        <f aca="false">T114</f>
        <v>199.99</v>
      </c>
      <c r="U182" s="99"/>
      <c r="V182" s="23"/>
      <c r="W182" s="99" t="n">
        <f aca="false">W179+S182+T182+S185</f>
        <v>27387.0281604771</v>
      </c>
      <c r="X182" s="23"/>
      <c r="Y182" s="23"/>
      <c r="Z182" s="101"/>
      <c r="AB182" s="107" t="n">
        <f aca="false">(AB167*AC59)+AF185-AF179-AB185</f>
        <v>3947.56437273622</v>
      </c>
      <c r="AC182" s="99" t="n">
        <f aca="false">AC114</f>
        <v>239.99</v>
      </c>
      <c r="AD182" s="99"/>
      <c r="AE182" s="23"/>
      <c r="AF182" s="99" t="n">
        <f aca="false">AF179+AB182+AC182+AB185</f>
        <v>21447.0543727362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2575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2585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2575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2575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0.041856</v>
      </c>
      <c r="B188" s="99" t="n">
        <f aca="false">(G158*B67)/1.2</f>
        <v>200.954375</v>
      </c>
      <c r="C188" s="130"/>
      <c r="D188" s="130"/>
      <c r="E188" s="99" t="n">
        <f aca="false">(E40*A108)*0.1*C45/100</f>
        <v>56.9205</v>
      </c>
      <c r="F188" s="23"/>
      <c r="G188" s="23"/>
      <c r="H188" s="33"/>
      <c r="J188" s="107" t="n">
        <f aca="false">IF(N105="YES", H15*0.000002, 0)</f>
        <v>0.042546</v>
      </c>
      <c r="K188" s="99" t="n">
        <f aca="false">(P158*K67)/1.2</f>
        <v>2251.66170486111</v>
      </c>
      <c r="L188" s="130"/>
      <c r="M188" s="130"/>
      <c r="N188" s="99" t="n">
        <f aca="false">(E40*J108)*0.1</f>
        <v>56.9205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181.331589409722</v>
      </c>
      <c r="U188" s="130"/>
      <c r="V188" s="130"/>
      <c r="W188" s="99" t="n">
        <f aca="false">(E40*S108)*0.1</f>
        <v>37.947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140.751128472222</v>
      </c>
      <c r="AD188" s="130"/>
      <c r="AE188" s="130"/>
      <c r="AF188" s="99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357.866541666667</v>
      </c>
      <c r="C191" s="130"/>
      <c r="D191" s="130"/>
      <c r="E191" s="99" t="n">
        <f aca="false">H148</f>
        <v>3545.5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3448.57220486111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1319.26858940972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1318.68812847222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875.669972293181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790.848769425797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628.360246256948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788.615089940239</v>
      </c>
      <c r="B212" s="174" t="n">
        <f aca="false">B167</f>
        <v>87.0548823529412</v>
      </c>
      <c r="C212" s="171"/>
      <c r="D212" s="171"/>
      <c r="E212" s="174" t="n">
        <f aca="false">E167</f>
        <v>875.669972293181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20985.5</v>
      </c>
      <c r="B215" s="99" t="n">
        <f aca="false">B173</f>
        <v>4197.1</v>
      </c>
      <c r="C215" s="183"/>
      <c r="D215" s="109"/>
      <c r="E215" s="179" t="n">
        <f aca="false">E173</f>
        <v>345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25527.6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24627.6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4750.31305796813</v>
      </c>
      <c r="B224" s="99" t="str">
        <f aca="false">B182</f>
        <v>239.99</v>
      </c>
      <c r="C224" s="99"/>
      <c r="D224" s="109"/>
      <c r="E224" s="99" t="n">
        <f aca="false">E182</f>
        <v>29627.9030579681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788.615089940239</v>
      </c>
      <c r="B230" s="99" t="n">
        <f aca="false">B167</f>
        <v>87.0548823529412</v>
      </c>
      <c r="C230" s="183"/>
      <c r="D230" s="183"/>
      <c r="E230" s="99" t="n">
        <f aca="false">E167</f>
        <v>875.669972293181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2565</v>
      </c>
      <c r="B233" s="99" t="n">
        <f aca="false">E185</f>
        <v>2575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3545.5</v>
      </c>
      <c r="B240" s="99" t="n">
        <f aca="false">B68</f>
        <v>200.954375</v>
      </c>
      <c r="C240" s="130"/>
      <c r="D240" s="130"/>
      <c r="E240" s="99" t="n">
        <f aca="false">E188</f>
        <v>56.9205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3903.36654166666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241.14525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669.196666666667</v>
      </c>
      <c r="C255" s="194"/>
      <c r="D255" s="195" t="s">
        <v>215</v>
      </c>
      <c r="E255" s="195"/>
      <c r="F255" s="196" t="n">
        <f aca="false">(B254-F254)+B255</f>
        <v>428.051416666667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26812.9130579681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241.14525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569.205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428.051416666667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8" colorId="64" zoomScale="65" zoomScaleNormal="6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44854.17</v>
      </c>
      <c r="C3" s="440" t="n">
        <v>0</v>
      </c>
      <c r="D3" s="440" t="n">
        <v>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3" t="s">
        <v>171</v>
      </c>
      <c r="B21" s="493"/>
      <c r="C21" s="493"/>
      <c r="D21" s="493"/>
      <c r="E21" s="493"/>
      <c r="F21" s="493"/>
      <c r="G21" s="445"/>
      <c r="H21" s="446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351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352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27250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353</v>
      </c>
      <c r="F32" s="130"/>
      <c r="G32" s="130"/>
      <c r="H32" s="33"/>
      <c r="I32" s="2" t="n">
        <v>0</v>
      </c>
      <c r="J32" s="29" t="s">
        <v>36</v>
      </c>
      <c r="K32" s="448" t="n">
        <v>1030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555.613637363489</v>
      </c>
      <c r="F33" s="228"/>
      <c r="G33" s="228"/>
      <c r="H33" s="47"/>
      <c r="I33" s="2"/>
      <c r="J33" s="34" t="s">
        <v>354</v>
      </c>
      <c r="K33" s="48" t="n">
        <f aca="false">H21-H11+(H16*20%)</f>
        <v>17785</v>
      </c>
      <c r="L33" s="1" t="n">
        <f aca="false">H21-H11+(H16*20%)</f>
        <v>17785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355</v>
      </c>
      <c r="B35" s="130" t="s">
        <v>356</v>
      </c>
      <c r="C35" s="130"/>
      <c r="D35" s="208"/>
      <c r="E35" s="130" t="s">
        <v>357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555.613637363489</v>
      </c>
      <c r="B36" s="228" t="str">
        <f aca="false">IF(B26="YES", K42, "0.00")</f>
        <v>0.00</v>
      </c>
      <c r="C36" s="228"/>
      <c r="D36" s="228"/>
      <c r="E36" s="228" t="n">
        <f aca="false">K31</f>
        <v>1539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358</v>
      </c>
      <c r="B39" s="130" t="s">
        <v>359</v>
      </c>
      <c r="C39" s="130"/>
      <c r="D39" s="208"/>
      <c r="E39" s="130" t="s">
        <v>360</v>
      </c>
      <c r="F39" s="183"/>
      <c r="G39" s="183"/>
      <c r="H39" s="47"/>
      <c r="J39" s="2" t="s">
        <v>84</v>
      </c>
      <c r="K39" s="2" t="n">
        <f aca="false">K33</f>
        <v>17785</v>
      </c>
      <c r="L39" s="2" t="n">
        <f aca="false">(L47*K46)+K44</f>
        <v>25188.0554739647</v>
      </c>
      <c r="N39" s="1" t="n">
        <f aca="false">K39-L39</f>
        <v>-7403.05547396472</v>
      </c>
      <c r="P39" s="208"/>
    </row>
    <row r="40" customFormat="false" ht="17.35" hidden="false" customHeight="false" outlineLevel="0" collapsed="false">
      <c r="A40" s="312" t="n">
        <f aca="false">E36*A45/100</f>
        <v>27250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1282.5</v>
      </c>
      <c r="L40" s="2" t="n">
        <f aca="false">K39-L39</f>
        <v>-7403.05547396472</v>
      </c>
      <c r="N40" s="1" t="n">
        <f aca="false">N38-N39</f>
        <v>10314.7354739647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361</v>
      </c>
      <c r="K41" s="2" t="n">
        <f aca="false">K35/12</f>
        <v>0.00825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364</v>
      </c>
      <c r="K44" s="2" t="n">
        <f aca="false">(K40/(1+K41)^(K36+1))</f>
        <v>954.115759494902</v>
      </c>
      <c r="L44" s="2"/>
      <c r="P44" s="208"/>
    </row>
    <row r="45" customFormat="false" ht="17.35" hidden="false" customHeight="false" outlineLevel="0" collapsed="false">
      <c r="A45" s="506" t="n">
        <v>100</v>
      </c>
      <c r="B45" s="130"/>
      <c r="C45" s="505" t="n">
        <v>100</v>
      </c>
      <c r="D45" s="505"/>
      <c r="E45" s="505"/>
      <c r="F45" s="130"/>
      <c r="G45" s="130"/>
      <c r="H45" s="33"/>
      <c r="J45" s="2" t="s">
        <v>365</v>
      </c>
      <c r="K45" s="2" t="n">
        <f aca="false">(K39-K44)</f>
        <v>16830.8842405051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30.2924246430873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555.613637363489</v>
      </c>
      <c r="L47" s="2" t="n">
        <f aca="false">L49-K42</f>
        <v>800</v>
      </c>
      <c r="M47" s="1" t="n">
        <f aca="false">K47-L47</f>
        <v>-244.386362636511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555.613637363489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369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555.613637363489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11773.0412206624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30242.5122921237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6009.22104210423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29.2472543633667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208.298125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168.901354166667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555.613637363489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555.613637363489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555.613637363489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555.613637363489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25527.6</v>
      </c>
      <c r="C81" s="130"/>
      <c r="D81" s="130"/>
      <c r="E81" s="109"/>
      <c r="F81" s="109"/>
      <c r="G81" s="109"/>
      <c r="H81" s="33"/>
      <c r="J81" s="25" t="s">
        <v>105</v>
      </c>
      <c r="K81" s="27" t="n">
        <f aca="false">P158</f>
        <v>36534.004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22222.765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17249.5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1539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1539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1539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0.1715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0.0142916666666667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936.566483350285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1052.44918469009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1052.44918469009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26.7811670063367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24591.0335166497</v>
      </c>
      <c r="C88" s="130"/>
      <c r="D88" s="130"/>
      <c r="E88" s="109"/>
      <c r="F88" s="109"/>
      <c r="G88" s="109"/>
      <c r="H88" s="33"/>
      <c r="J88" s="31" t="s">
        <v>112</v>
      </c>
      <c r="K88" s="33" t="n">
        <f aca="false">K81-K86</f>
        <v>36534.004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21170.3158153099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16197.0508153099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918.22113318778</v>
      </c>
      <c r="C89" s="130"/>
      <c r="D89" s="130"/>
      <c r="E89" s="109"/>
      <c r="F89" s="109"/>
      <c r="G89" s="109"/>
      <c r="H89" s="33"/>
      <c r="J89" s="31" t="s">
        <v>113</v>
      </c>
      <c r="K89" s="33" t="n">
        <f aca="false">(K88/K87)</f>
        <v>1461.4408705837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748.69701028901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572.815428296631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31219.5185283845</v>
      </c>
      <c r="C90" s="130"/>
      <c r="D90" s="130"/>
      <c r="E90" s="109"/>
      <c r="F90" s="109"/>
      <c r="G90" s="109"/>
      <c r="H90" s="33"/>
      <c r="J90" s="31" t="s">
        <v>114</v>
      </c>
      <c r="K90" s="33" t="n">
        <f aca="false">((K89*(K85))+K77)</f>
        <v>51150.4304704296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25455.6983498263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19475.7245620855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31219.5185283845</v>
      </c>
      <c r="C92" s="130"/>
      <c r="D92" s="130"/>
      <c r="E92" s="109"/>
      <c r="F92" s="109"/>
      <c r="G92" s="109"/>
      <c r="H92" s="33"/>
      <c r="J92" s="56" t="s">
        <v>116</v>
      </c>
      <c r="K92" s="65" t="n">
        <f aca="false">(K90+K91)</f>
        <v>51150.4304704296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25455.6983498263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19475.7245620855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918.22113318778</v>
      </c>
      <c r="C95" s="130"/>
      <c r="D95" s="130"/>
      <c r="E95" s="109"/>
      <c r="F95" s="109"/>
      <c r="G95" s="109"/>
      <c r="H95" s="33"/>
      <c r="J95" s="91" t="s">
        <v>118</v>
      </c>
      <c r="K95" s="92" t="n">
        <f aca="false">K92/(K85)</f>
        <v>1461.4408705837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748.69701028901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572.815428296631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918.22113318778</v>
      </c>
      <c r="C96" s="130"/>
      <c r="D96" s="130"/>
      <c r="E96" s="109"/>
      <c r="F96" s="109"/>
      <c r="G96" s="109"/>
      <c r="H96" s="33"/>
      <c r="J96" s="93" t="s">
        <v>119</v>
      </c>
      <c r="K96" s="94" t="n">
        <f aca="false">(K94+K95)</f>
        <v>1461.4408705837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748.69701028901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572.815428296631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0.1715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-9354.17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-3545.5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20290.5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20290.5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4197.1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290</v>
      </c>
      <c r="H139" s="33" t="n">
        <f aca="false">G139</f>
        <v>290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290</v>
      </c>
      <c r="Q139" s="33" t="n">
        <f aca="false">P139</f>
        <v>290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290</v>
      </c>
      <c r="Z139" s="33" t="n">
        <f aca="false">Y139</f>
        <v>290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21273</v>
      </c>
      <c r="H141" s="154" t="n">
        <f aca="false">(H135+H136+H139+H140+H137)-H138</f>
        <v>25527.6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21273</v>
      </c>
      <c r="Q141" s="154" t="n">
        <f aca="false">(Q135+Q136+Q139+Q140+Q137)-Q138</f>
        <v>35534.004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21273</v>
      </c>
      <c r="Z141" s="154" t="n">
        <f aca="false">(Z135+Z136+Z139+Z140+Z137)-Z138</f>
        <v>21222.765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21273</v>
      </c>
      <c r="AI141" s="154" t="n">
        <f aca="false">(AI135+AI136+AI139+AI140+AI137)-AI138</f>
        <v>16249.5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21273</v>
      </c>
      <c r="H147" s="161" t="n">
        <f aca="false">H141-((H144*1.2)+(H145*1.2)+(H146*1.2)+(H142*1.2))</f>
        <v>25527.6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21273</v>
      </c>
      <c r="Q147" s="161" t="n">
        <f aca="false">Q141-((Q144*1.2)+(Q145*1.2)+(Q146*1.2)+(Q142*1.2))</f>
        <v>35534.004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21273</v>
      </c>
      <c r="Z147" s="161" t="n">
        <f aca="false">Z141-((Z144*1.2)+(Z145*1.2)+(Z146*1.2)+(Z142*1.2))</f>
        <v>21222.765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21273</v>
      </c>
      <c r="AI147" s="161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3545.5</v>
      </c>
      <c r="I148" s="1" t="n">
        <f aca="false">(H148-G81)/1.2</f>
        <v>2954.58333333333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25527.6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36534.004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22222.765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17249.5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918.22113318778</v>
      </c>
      <c r="B167" s="174" t="str">
        <f aca="false">B94</f>
        <v>0</v>
      </c>
      <c r="C167" s="171"/>
      <c r="D167" s="171"/>
      <c r="E167" s="174" t="n">
        <f aca="false">B96</f>
        <v>918.22113318778</v>
      </c>
      <c r="F167" s="23"/>
      <c r="G167" s="23"/>
      <c r="H167" s="33"/>
      <c r="J167" s="173" t="n">
        <f aca="false">K95</f>
        <v>1461.4408705837</v>
      </c>
      <c r="K167" s="174" t="n">
        <f aca="false">K94</f>
        <v>0</v>
      </c>
      <c r="L167" s="171"/>
      <c r="M167" s="171"/>
      <c r="N167" s="174" t="n">
        <f aca="false">K96</f>
        <v>1461.4408705837</v>
      </c>
      <c r="O167" s="23"/>
      <c r="P167" s="23"/>
      <c r="Q167" s="33"/>
      <c r="S167" s="173" t="n">
        <f aca="false">T95</f>
        <v>748.69701028901</v>
      </c>
      <c r="T167" s="174" t="n">
        <f aca="false">T94</f>
        <v>0</v>
      </c>
      <c r="U167" s="171"/>
      <c r="V167" s="171"/>
      <c r="W167" s="174" t="n">
        <f aca="false">T96</f>
        <v>748.69701028901</v>
      </c>
      <c r="X167" s="23"/>
      <c r="Y167" s="23"/>
      <c r="Z167" s="33"/>
      <c r="AB167" s="173" t="n">
        <f aca="false">AC95</f>
        <v>572.815428296631</v>
      </c>
      <c r="AC167" s="174" t="n">
        <f aca="false">AC94</f>
        <v>0</v>
      </c>
      <c r="AD167" s="171"/>
      <c r="AE167" s="171"/>
      <c r="AF167" s="174" t="n">
        <f aca="false">AC96</f>
        <v>572.815428296631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1539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1539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1539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1539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20985.5</v>
      </c>
      <c r="B173" s="99" t="n">
        <f aca="false">H137</f>
        <v>4197.1</v>
      </c>
      <c r="C173" s="183"/>
      <c r="D173" s="23"/>
      <c r="E173" s="179" t="n">
        <f aca="false">H139+H140</f>
        <v>345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345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345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25527.6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n">
        <f aca="false">Q141</f>
        <v>35534.004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21222.765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16249.5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25527.6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36534.004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22222.765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17249.5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7230.91852838452</v>
      </c>
      <c r="B182" s="99" t="str">
        <f aca="false">B114</f>
        <v>199.99</v>
      </c>
      <c r="C182" s="99"/>
      <c r="D182" s="23"/>
      <c r="E182" s="99" t="n">
        <f aca="false">E179+A182+B182+A185</f>
        <v>32968.5085283845</v>
      </c>
      <c r="F182" s="23"/>
      <c r="G182" s="23"/>
      <c r="H182" s="101"/>
      <c r="J182" s="107" t="n">
        <f aca="false">(J167*K59)+N185-N179-J185</f>
        <v>14693.9855998458</v>
      </c>
      <c r="K182" s="99" t="n">
        <f aca="false">K114</f>
        <v>239.99</v>
      </c>
      <c r="L182" s="99"/>
      <c r="M182" s="23"/>
      <c r="N182" s="99" t="n">
        <f aca="false">N179+J182+K182+J185</f>
        <v>51487.9795998458</v>
      </c>
      <c r="O182" s="23"/>
      <c r="P182" s="23"/>
      <c r="Q182" s="101"/>
      <c r="S182" s="107" t="n">
        <f aca="false">(S167*T59)+W185-W179-S185</f>
        <v>4771.93334982633</v>
      </c>
      <c r="T182" s="99" t="n">
        <f aca="false">T114</f>
        <v>199.99</v>
      </c>
      <c r="U182" s="99"/>
      <c r="V182" s="23"/>
      <c r="W182" s="99" t="n">
        <f aca="false">W179+S182+T182+S185</f>
        <v>27204.6883498263</v>
      </c>
      <c r="X182" s="23"/>
      <c r="Y182" s="23"/>
      <c r="Z182" s="101"/>
      <c r="AB182" s="107" t="n">
        <f aca="false">(AB167*AC59)+AF185-AF179-AB185</f>
        <v>3765.22456208547</v>
      </c>
      <c r="AC182" s="99" t="n">
        <f aca="false">AC114</f>
        <v>239.99</v>
      </c>
      <c r="AD182" s="99"/>
      <c r="AE182" s="23"/>
      <c r="AF182" s="99" t="n">
        <f aca="false">AF179+AB182+AC182+AB185</f>
        <v>21264.7145620855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IF(A40=0,(E167),(E170+A185))</f>
        <v>1549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1559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1549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1549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4.1856</v>
      </c>
      <c r="B188" s="99" t="n">
        <f aca="false">(G158*B67)/1.2</f>
        <v>208.298125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0.042546</v>
      </c>
      <c r="K188" s="99" t="n">
        <f aca="false">(P158*K67)/1.2</f>
        <v>2251.66170486111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181.331589409722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140.751128472222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308.288125</v>
      </c>
      <c r="C191" s="130"/>
      <c r="D191" s="130"/>
      <c r="E191" s="99" t="n">
        <f aca="false">H148</f>
        <v>3545.5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3391.65170486111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1281.32158940972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1280.74112847222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918.22113318778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748.69701028901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572.815428296631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918.22113318778</v>
      </c>
      <c r="B212" s="174" t="str">
        <f aca="false">B167</f>
        <v>0</v>
      </c>
      <c r="C212" s="171"/>
      <c r="D212" s="171"/>
      <c r="E212" s="174" t="n">
        <f aca="false">E167</f>
        <v>918.22113318778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20985.5</v>
      </c>
      <c r="B215" s="99" t="n">
        <f aca="false">B173</f>
        <v>4197.1</v>
      </c>
      <c r="C215" s="183"/>
      <c r="D215" s="109"/>
      <c r="E215" s="179" t="n">
        <f aca="false">E173</f>
        <v>345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25527.6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25527.6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7230.91852838452</v>
      </c>
      <c r="B224" s="99" t="str">
        <f aca="false">B182</f>
        <v>199.99</v>
      </c>
      <c r="C224" s="99"/>
      <c r="D224" s="109"/>
      <c r="E224" s="99" t="n">
        <f aca="false">E182</f>
        <v>32968.5085283845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918.22113318778</v>
      </c>
      <c r="B230" s="99" t="str">
        <f aca="false">B167</f>
        <v>0</v>
      </c>
      <c r="C230" s="183"/>
      <c r="D230" s="183"/>
      <c r="E230" s="99" t="n">
        <f aca="false">E167</f>
        <v>918.22113318778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1539</v>
      </c>
      <c r="B233" s="99" t="n">
        <f aca="false">E185</f>
        <v>1549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3545.5</v>
      </c>
      <c r="B240" s="99" t="n">
        <f aca="false">B68</f>
        <v>208.298125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3853.788125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0.099</v>
      </c>
      <c r="C253" s="194"/>
      <c r="D253" s="195" t="s">
        <v>211</v>
      </c>
      <c r="E253" s="195"/>
      <c r="F253" s="193" t="n">
        <f aca="false">B83</f>
        <v>0.1715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249.95775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-149.96775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0.099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0.1715</v>
      </c>
      <c r="C260" s="43"/>
      <c r="D260" s="163" t="s">
        <v>212</v>
      </c>
      <c r="E260" s="163"/>
      <c r="F260" s="143" t="n">
        <f aca="false">(B89*B59)-(C89*B59)</f>
        <v>31219.5185283845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249.95775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-149.96775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44854.17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7" t="n">
        <f aca="false">(B7+C7+D7+E3)</f>
        <v>16745</v>
      </c>
      <c r="F9" s="63"/>
      <c r="G9" s="453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 E9 + E10 ) * 0.2</f>
        <v>3488</v>
      </c>
      <c r="F11" s="63"/>
      <c r="G11" s="453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453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8" t="n">
        <f aca="false">(E9+E10+E13+E14+E11) - E12</f>
        <v>21273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455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150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28125</v>
      </c>
      <c r="I31" s="234" t="n">
        <f aca="false">IF(C107="YES",H31,0)</f>
        <v>24000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1663.42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137.554858278566</v>
      </c>
      <c r="E33" s="212"/>
      <c r="F33" s="63"/>
      <c r="G33" s="215" t="s">
        <v>354</v>
      </c>
      <c r="H33" s="459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97.5548582785664</v>
      </c>
      <c r="B36" s="99" t="n">
        <f aca="false">IF(B26="YES", H42, "")</f>
        <v>40</v>
      </c>
      <c r="C36" s="217"/>
      <c r="D36" s="181" t="n">
        <f aca="false">I31</f>
        <v>24000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17785</v>
      </c>
      <c r="I39" s="234" t="n">
        <f aca="false">(I48*H46)+H44</f>
        <v>56966.7202711129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24000</v>
      </c>
      <c r="B40" s="103" t="n">
        <f aca="false">IF(B26="YES",H42,"0")</f>
        <v>40</v>
      </c>
      <c r="C40" s="103"/>
      <c r="D40" s="181" t="n">
        <f aca="false">I32</f>
        <v>1440</v>
      </c>
      <c r="E40" s="212"/>
      <c r="F40" s="63"/>
      <c r="G40" s="63" t="s">
        <v>106</v>
      </c>
      <c r="H40" s="234" t="n">
        <f aca="false">A40/1.2</f>
        <v>20000</v>
      </c>
      <c r="I40" s="234" t="n">
        <f aca="false">H39-I39</f>
        <v>-39181.7202711129</v>
      </c>
      <c r="J40" s="63" t="n">
        <v>23437.5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40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14757.2508789992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3027.74912100084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31.0363745530248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97.5548582785664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137.554858278566</v>
      </c>
      <c r="I48" s="234" t="n">
        <f aca="false">I49-H42</f>
        <v>1360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137.554858278566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27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210" t="s">
        <v>14</v>
      </c>
      <c r="N61" s="290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2197.44</v>
      </c>
      <c r="C64" s="211" t="n">
        <v>10000</v>
      </c>
      <c r="D64" s="290" t="n">
        <f aca="false">B64-A143</f>
        <v>2197.44</v>
      </c>
      <c r="E64" s="212"/>
      <c r="F64" s="63"/>
      <c r="G64" s="284" t="s">
        <v>90</v>
      </c>
      <c r="H64" s="129" t="n">
        <f aca="false">H61*H63</f>
        <v>2197.44</v>
      </c>
      <c r="I64" s="211"/>
      <c r="J64" s="290" t="n">
        <f aca="false">H64-G145</f>
        <v>2197.44</v>
      </c>
      <c r="K64" s="212"/>
      <c r="L64" s="63"/>
      <c r="M64" s="284" t="s">
        <v>90</v>
      </c>
      <c r="N64" s="129" t="n">
        <f aca="false">N61*N63</f>
        <v>2197.44</v>
      </c>
      <c r="O64" s="211"/>
      <c r="P64" s="290" t="n">
        <f aca="false">N64-M145</f>
        <v>2197.44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209.28</v>
      </c>
      <c r="C67" s="211"/>
      <c r="D67" s="290"/>
      <c r="E67" s="212"/>
      <c r="F67" s="63"/>
      <c r="G67" s="284" t="s">
        <v>93</v>
      </c>
      <c r="H67" s="129" t="n">
        <f aca="false">(H61*H66)/1.2</f>
        <v>348.8</v>
      </c>
      <c r="I67" s="211"/>
      <c r="J67" s="290"/>
      <c r="K67" s="212"/>
      <c r="L67" s="63"/>
      <c r="M67" s="284" t="s">
        <v>93</v>
      </c>
      <c r="N67" s="129" t="n">
        <f aca="false">(N61*N66)/1.2</f>
        <v>348.8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0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162</v>
      </c>
      <c r="C73" s="211"/>
      <c r="D73" s="290" t="n">
        <f aca="false">B73+B71</f>
        <v>322</v>
      </c>
      <c r="E73" s="212"/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2919.44</v>
      </c>
      <c r="C81" s="211"/>
      <c r="D81" s="211"/>
      <c r="E81" s="212"/>
      <c r="F81" s="63"/>
      <c r="G81" s="302" t="s">
        <v>102</v>
      </c>
      <c r="H81" s="303" t="n">
        <f aca="false">SUM(J64:J80)</f>
        <v>3263.19</v>
      </c>
      <c r="I81" s="211"/>
      <c r="J81" s="211"/>
      <c r="K81" s="212"/>
      <c r="L81" s="63"/>
      <c r="M81" s="302" t="s">
        <v>102</v>
      </c>
      <c r="N81" s="303" t="n">
        <f aca="false">SUM(P64:P80)</f>
        <v>2919.44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81.0955555555556</v>
      </c>
      <c r="C82" s="211"/>
      <c r="D82" s="211"/>
      <c r="E82" s="212"/>
      <c r="F82" s="63"/>
      <c r="G82" s="210" t="s">
        <v>103</v>
      </c>
      <c r="H82" s="299" t="n">
        <f aca="false">H81/H29</f>
        <v>90.6441666666667</v>
      </c>
      <c r="I82" s="211"/>
      <c r="J82" s="211"/>
      <c r="K82" s="212"/>
      <c r="L82" s="63"/>
      <c r="M82" s="210" t="s">
        <v>103</v>
      </c>
      <c r="N82" s="299" t="n">
        <f aca="false">N81/H29</f>
        <v>81.0955555555556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97.5548582785664</v>
      </c>
      <c r="C83" s="211"/>
      <c r="D83" s="211"/>
      <c r="E83" s="212"/>
      <c r="F83" s="63"/>
      <c r="G83" s="304" t="s">
        <v>104</v>
      </c>
      <c r="H83" s="305" t="n">
        <f aca="false">H47</f>
        <v>97.5548582785664</v>
      </c>
      <c r="I83" s="211"/>
      <c r="J83" s="211"/>
      <c r="K83" s="212"/>
      <c r="L83" s="63"/>
      <c r="M83" s="304" t="s">
        <v>104</v>
      </c>
      <c r="N83" s="305" t="n">
        <f aca="false">H47</f>
        <v>97.5548582785664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6431.41489802839</v>
      </c>
      <c r="C85" s="211"/>
      <c r="D85" s="211"/>
      <c r="E85" s="212"/>
      <c r="F85" s="63"/>
      <c r="G85" s="287" t="s">
        <v>114</v>
      </c>
      <c r="H85" s="127" t="n">
        <f aca="false">((H83*H29)+H81)*1.2</f>
        <v>8130.19787763407</v>
      </c>
      <c r="I85" s="211"/>
      <c r="J85" s="211"/>
      <c r="K85" s="212"/>
      <c r="L85" s="63"/>
      <c r="M85" s="287" t="s">
        <v>114</v>
      </c>
      <c r="N85" s="127" t="n">
        <f aca="false">((N83*H29)+N81)</f>
        <v>6431.41489802839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54.4815299953998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57.3934904633305</v>
      </c>
      <c r="I86" s="211"/>
      <c r="J86" s="211"/>
      <c r="K86" s="212"/>
      <c r="L86" s="63"/>
      <c r="M86" s="210" t="s">
        <v>115</v>
      </c>
      <c r="N86" s="299" t="n">
        <f aca="false">(N85/(1-N70))*N70</f>
        <v>54.4815299953998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6485.89642802379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8187.5913680974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6485.89642802379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52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50.5756097560976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42.1463414634146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180.163789667327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199.6973504414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158.192595805458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232.163789667327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250.272960197498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200.338937268873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199.6973504414</v>
      </c>
      <c r="H127" s="174" t="n">
        <f aca="false">IF(G105="YES", H89*H57, 0)</f>
        <v>303.453658536585</v>
      </c>
      <c r="I127" s="174"/>
      <c r="J127" s="333" t="n">
        <f aca="false">H91</f>
        <v>250.272960197498</v>
      </c>
      <c r="K127" s="212"/>
      <c r="L127" s="63"/>
      <c r="M127" s="332" t="n">
        <f aca="false">N90</f>
        <v>158.192595805458</v>
      </c>
      <c r="N127" s="174" t="n">
        <f aca="false">IF(M105="YES", N89*N57, 0)</f>
        <v>252.878048780488</v>
      </c>
      <c r="O127" s="174"/>
      <c r="P127" s="174" t="n">
        <f aca="false">N91</f>
        <v>200.338937268873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180.163789667327</v>
      </c>
      <c r="B128" s="320" t="n">
        <f aca="false">IF(A105="YES", B89, 0)</f>
        <v>52</v>
      </c>
      <c r="C128" s="324"/>
      <c r="D128" s="320" t="n">
        <f aca="false">B91</f>
        <v>232.163789667327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27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27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1621.47410700595</v>
      </c>
      <c r="C131" s="316"/>
      <c r="D131" s="38" t="n">
        <f aca="false">IF(A105="YES", B89*B57, 0)</f>
        <v>468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1198.1841026484</v>
      </c>
      <c r="H133" s="99" t="n">
        <f aca="false">IF(G105="YES", H89*H57, 0)</f>
        <v>303.453658536585</v>
      </c>
      <c r="I133" s="217"/>
      <c r="J133" s="181" t="n">
        <f aca="false">H91*H57</f>
        <v>1501.63776118499</v>
      </c>
      <c r="K133" s="212"/>
      <c r="L133" s="63"/>
      <c r="M133" s="182" t="n">
        <f aca="false">N90*N57</f>
        <v>949.15557483275</v>
      </c>
      <c r="N133" s="99" t="n">
        <f aca="false">IF(M105="YES", N89*N57, 0)</f>
        <v>252.878048780488</v>
      </c>
      <c r="O133" s="217"/>
      <c r="P133" s="181" t="n">
        <f aca="false">N91*N57</f>
        <v>1202.03362361324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2089.47410700595</v>
      </c>
      <c r="B134" s="38" t="n">
        <f aca="false">E114</f>
        <v>4000</v>
      </c>
      <c r="C134" s="316"/>
      <c r="D134" s="336" t="n">
        <f aca="false">B58</f>
        <v>27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0.127638</v>
      </c>
      <c r="H136" s="99" t="n">
        <f aca="false">IF(G105="YES", E15*0.000002, 0)</f>
        <v>0.042546</v>
      </c>
      <c r="I136" s="99"/>
      <c r="J136" s="99" t="n">
        <f aca="false">G136+H136</f>
        <v>0.170184</v>
      </c>
      <c r="K136" s="101"/>
      <c r="L136" s="63"/>
      <c r="M136" s="107" t="n">
        <f aca="false">E15*0.000006</f>
        <v>0.127638</v>
      </c>
      <c r="N136" s="99" t="n">
        <f aca="false">IF(M105="YES", E15*0.000002, 0)</f>
        <v>0.042546</v>
      </c>
      <c r="O136" s="99"/>
      <c r="P136" s="99" t="n">
        <f aca="false">M136+N136</f>
        <v>0.170184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180.163789667327</v>
      </c>
      <c r="B137" s="38" t="n">
        <f aca="false">IF(A105="YES", B89, 0)</f>
        <v>52</v>
      </c>
      <c r="C137" s="316"/>
      <c r="D137" s="38" t="n">
        <f aca="false">B91</f>
        <v>232.163789667327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348.8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348.8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 G18*0.000002, 0)*1.2*100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28.8</v>
      </c>
      <c r="H142" s="99" t="n">
        <f aca="false">G102-100</f>
        <v>99.99</v>
      </c>
      <c r="I142" s="99"/>
      <c r="J142" s="99" t="n">
        <f aca="false">(H139+J139+G142+H142)-H145</f>
        <v>477.59</v>
      </c>
      <c r="K142" s="101"/>
      <c r="L142" s="63"/>
      <c r="M142" s="107" t="n">
        <f aca="false">IF(M105="YES", ((B36*N105)*0.1)*(M130), 0)</f>
        <v>28.8</v>
      </c>
      <c r="N142" s="99" t="n">
        <f aca="false">M102-100</f>
        <v>99.99</v>
      </c>
      <c r="O142" s="99"/>
      <c r="P142" s="99" t="n">
        <f aca="false">(N139+P139+M142+N142)-N145</f>
        <v>477.59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0</v>
      </c>
      <c r="C148" s="38"/>
      <c r="D148" s="38" t="n">
        <f aca="false">IF(A105="YES", (B40*B105)*B125, 0)*0.1</f>
        <v>43.2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352.47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250.272960197498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200.338937268873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232.163789667327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180.163789667327</v>
      </c>
      <c r="B177" s="354" t="n">
        <f aca="false">IF(A105="YES", B89, 0)</f>
        <v>52</v>
      </c>
      <c r="C177" s="356"/>
      <c r="D177" s="354" t="n">
        <f aca="false">B91</f>
        <v>232.163789667327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Terminal pause with 9 down</v>
      </c>
      <c r="B180" s="99" t="n">
        <f aca="false">B90*B57</f>
        <v>1621.47410700595</v>
      </c>
      <c r="C180" s="352"/>
      <c r="D180" s="99" t="n">
        <f aca="false">IF(A105="YES", B89*B57, 0)</f>
        <v>468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2089.47410700595</v>
      </c>
      <c r="B183" s="99" t="n">
        <f aca="false">E114</f>
        <v>4000</v>
      </c>
      <c r="C183" s="352"/>
      <c r="D183" s="360" t="n">
        <f aca="false">B58</f>
        <v>27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180.163789667327</v>
      </c>
      <c r="B186" s="99" t="n">
        <f aca="false">IF(A105="YES", B89, 0)</f>
        <v>52</v>
      </c>
      <c r="C186" s="352"/>
      <c r="D186" s="99" t="n">
        <f aca="false">B91</f>
        <v>232.163789667327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 G18*0.000002, 0)*1.2*100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209.28</v>
      </c>
      <c r="B197" s="99" t="n">
        <f aca="false">B102</f>
        <v>0</v>
      </c>
      <c r="C197" s="99"/>
      <c r="D197" s="99" t="n">
        <f aca="false">IF(A105="YES", (B40*B105)*B125, 0)*0.1</f>
        <v>43.2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352.47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2197.44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209.28</v>
      </c>
      <c r="C211" s="319" t="s">
        <v>214</v>
      </c>
      <c r="D211" s="369" t="n">
        <f aca="false">B225+E221+B221+B223</f>
        <v>531.99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2520.15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2197.44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209.28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2520.15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432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54.4815299953998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65" zoomScaleNormal="6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44854.17</v>
      </c>
      <c r="C3" s="497" t="n">
        <v>0</v>
      </c>
      <c r="D3" s="262" t="n">
        <v>833.33</v>
      </c>
      <c r="E3" s="498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4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7" t="n">
        <f aca="false">(B7+C7+D7+E3)</f>
        <v>47687.5</v>
      </c>
      <c r="F9" s="63"/>
      <c r="G9" s="453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 E9 + E10 ) * 0.2</f>
        <v>9647.5</v>
      </c>
      <c r="F11" s="63"/>
      <c r="G11" s="453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453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8" t="n">
        <f aca="false">(E9+E10+E13+E14+E11) - E12</f>
        <v>58585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455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200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19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18300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8" t="n">
        <f aca="false">H48</f>
        <v>1215.95751660654</v>
      </c>
      <c r="E33" s="212"/>
      <c r="F33" s="63"/>
      <c r="G33" s="215" t="s">
        <v>354</v>
      </c>
      <c r="H33" s="459" t="n">
        <f aca="false">E21-E11+((E16*20%)+(E19*20%)+(E20*20%))</f>
        <v>48737.5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1215.95751660654</v>
      </c>
      <c r="B36" s="99" t="str">
        <f aca="false">IF(B26="YES", H42, "")</f>
        <v/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48737.5</v>
      </c>
      <c r="I39" s="234" t="n">
        <f aca="false">(I48*H46)+H44</f>
        <v>54312.5930593229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(A40)/1.2</f>
        <v>16000</v>
      </c>
      <c r="I40" s="234" t="n">
        <f aca="false">H39-I39</f>
        <v>-5575.0930593229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11903.1985590007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509" t="n">
        <v>100</v>
      </c>
      <c r="D45" s="509"/>
      <c r="E45" s="212"/>
      <c r="F45" s="63"/>
      <c r="G45" s="63" t="s">
        <v>372</v>
      </c>
      <c r="H45" s="234" t="n">
        <f aca="false">(H39-H44)</f>
        <v>36834.3014409993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30.2924246430873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1215.95751660654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1215.95751660654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1215.95751660654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211" t="n">
        <v>10000</v>
      </c>
      <c r="D64" s="290" t="n">
        <f aca="false">B64-A143</f>
        <v>5993.509375</v>
      </c>
      <c r="E64" s="465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0.00979166666666667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566.790625</v>
      </c>
      <c r="C67" s="211"/>
      <c r="D67" s="290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157.5</v>
      </c>
      <c r="C73" s="211"/>
      <c r="D73" s="290" t="n">
        <f aca="false">B73+B71</f>
        <v>317.5</v>
      </c>
      <c r="E73" s="212"/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1100</v>
      </c>
      <c r="C76" s="211"/>
      <c r="D76" s="290" t="n">
        <f aca="false">B76</f>
        <v>1100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100</v>
      </c>
      <c r="E80" s="465" t="n">
        <f aca="false">(D73+D76+D79+D80)/(B58+B57)</f>
        <v>51.9285714285714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7811.009375</v>
      </c>
      <c r="C81" s="211"/>
      <c r="D81" s="211"/>
      <c r="E81" s="465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223.171696428571</v>
      </c>
      <c r="C82" s="211"/>
      <c r="D82" s="211"/>
      <c r="E82" s="465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1215.95751660654</v>
      </c>
      <c r="C83" s="211"/>
      <c r="D83" s="211"/>
      <c r="E83" s="465" t="n">
        <f aca="false">B83+E80+E77+E64</f>
        <v>1439.12921303512</v>
      </c>
      <c r="F83" s="63"/>
      <c r="G83" s="304" t="s">
        <v>104</v>
      </c>
      <c r="H83" s="305" t="n">
        <f aca="false">H47</f>
        <v>1215.95751660654</v>
      </c>
      <c r="I83" s="211"/>
      <c r="J83" s="211"/>
      <c r="K83" s="212"/>
      <c r="L83" s="63"/>
      <c r="M83" s="304" t="s">
        <v>104</v>
      </c>
      <c r="N83" s="305" t="n">
        <f aca="false">H47</f>
        <v>1215.95751660654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60443.4269474749</v>
      </c>
      <c r="C85" s="211"/>
      <c r="D85" s="211"/>
      <c r="E85" s="465" t="n">
        <f aca="false">B85/(B58+B57)</f>
        <v>1726.95505564214</v>
      </c>
      <c r="F85" s="63"/>
      <c r="G85" s="287" t="s">
        <v>114</v>
      </c>
      <c r="H85" s="127" t="n">
        <f aca="false">((H83*H29)+H81)*1.2</f>
        <v>59519.4269474749</v>
      </c>
      <c r="I85" s="211"/>
      <c r="J85" s="211"/>
      <c r="K85" s="212"/>
      <c r="L85" s="63"/>
      <c r="M85" s="287" t="s">
        <v>114</v>
      </c>
      <c r="N85" s="127" t="n">
        <f aca="false">((N83*H29)+N81)</f>
        <v>49269.522456229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426.688169254058</v>
      </c>
      <c r="C86" s="211"/>
      <c r="D86" s="211"/>
      <c r="E86" s="465" t="n">
        <f aca="false">B86/(B58+B57)</f>
        <v>12.1910905501159</v>
      </c>
      <c r="F86" s="63"/>
      <c r="G86" s="210" t="s">
        <v>115</v>
      </c>
      <c r="H86" s="299" t="n">
        <f aca="false">((((H83*H29)+H81))/(1-H70))*H70</f>
        <v>420.165377805894</v>
      </c>
      <c r="I86" s="211"/>
      <c r="J86" s="211"/>
      <c r="K86" s="212"/>
      <c r="L86" s="63"/>
      <c r="M86" s="210" t="s">
        <v>115</v>
      </c>
      <c r="N86" s="299" t="n">
        <f aca="false">(N85/(1-N70))*N70</f>
        <v>417.36989575668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60870.1151167289</v>
      </c>
      <c r="C87" s="211"/>
      <c r="D87" s="211"/>
      <c r="E87" s="465" t="n">
        <f aca="false">E86+E85</f>
        <v>1739.14614619225</v>
      </c>
      <c r="F87" s="63"/>
      <c r="G87" s="284" t="s">
        <v>116</v>
      </c>
      <c r="H87" s="129" t="n">
        <f aca="false">IF(H110="YES",((H85+H86)-K114),(H85+H86))</f>
        <v>59939.5923252807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49686.8923519857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1739.14614619225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1498.48980813202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1242.17230879964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1739.14614619225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1498.48980813202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1242.17230879964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200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1498.48980813202</v>
      </c>
      <c r="H127" s="174" t="n">
        <f aca="false">IF(G105="YES", H89*H57, 0)</f>
        <v>0</v>
      </c>
      <c r="I127" s="174"/>
      <c r="J127" s="333" t="n">
        <f aca="false">H91</f>
        <v>1498.48980813202</v>
      </c>
      <c r="K127" s="212"/>
      <c r="L127" s="63"/>
      <c r="M127" s="332" t="n">
        <f aca="false">N90</f>
        <v>1242.17230879964</v>
      </c>
      <c r="N127" s="174" t="n">
        <f aca="false">IF(M105="YES", N89*N57, 0)</f>
        <v>0</v>
      </c>
      <c r="O127" s="174"/>
      <c r="P127" s="174" t="n">
        <f aca="false">N91</f>
        <v>1242.17230879964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1739.14614619225</v>
      </c>
      <c r="B128" s="320" t="n">
        <f aca="false">IF(A105="YES", B89, 0)</f>
        <v>0</v>
      </c>
      <c r="C128" s="324"/>
      <c r="D128" s="320" t="n">
        <f aca="false">B91</f>
        <v>1739.14614619225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1739.14614619225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8990.93884879211</v>
      </c>
      <c r="H133" s="99" t="n">
        <f aca="false">IF(G105="YES", H89*H57, 0)</f>
        <v>0</v>
      </c>
      <c r="I133" s="217"/>
      <c r="J133" s="181" t="n">
        <f aca="false">H91*H57</f>
        <v>8990.93884879211</v>
      </c>
      <c r="K133" s="212"/>
      <c r="L133" s="63"/>
      <c r="M133" s="182" t="n">
        <f aca="false">N90*N57</f>
        <v>7453.03385279786</v>
      </c>
      <c r="N133" s="99" t="n">
        <f aca="false">IF(M105="YES", N89*N57, 0)</f>
        <v>0</v>
      </c>
      <c r="O133" s="217"/>
      <c r="P133" s="181" t="n">
        <f aca="false">N91*N57</f>
        <v>7453.03385279786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1739.14614619225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0.35151</v>
      </c>
      <c r="H136" s="99" t="n">
        <f aca="false">IF(G105="YES", E15*0.000002, 0)</f>
        <v>0.11717</v>
      </c>
      <c r="I136" s="99"/>
      <c r="J136" s="99" t="n">
        <f aca="false">G136+H136</f>
        <v>0.46868</v>
      </c>
      <c r="K136" s="101"/>
      <c r="L136" s="63"/>
      <c r="M136" s="107" t="n">
        <f aca="false">E15*0.000006</f>
        <v>0.35151</v>
      </c>
      <c r="N136" s="99" t="n">
        <f aca="false">IF(M105="YES", E15*0.000002, 0)</f>
        <v>0.11717</v>
      </c>
      <c r="O136" s="99"/>
      <c r="P136" s="99" t="n">
        <f aca="false">M136+N136</f>
        <v>0.46868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1739.14614619225</v>
      </c>
      <c r="B137" s="38" t="n">
        <f aca="false">IF(A105="YES", B89, 0)</f>
        <v>0</v>
      </c>
      <c r="C137" s="316"/>
      <c r="D137" s="38" t="n">
        <f aca="false">B91</f>
        <v>1739.14614619225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566.790625</v>
      </c>
      <c r="B148" s="38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666.782291666667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1498.48980813202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1242.17230879964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1739.14614619225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1739.14614619225</v>
      </c>
      <c r="B177" s="354" t="n">
        <f aca="false">IF(A105="YES", B89, 0)</f>
        <v>0</v>
      </c>
      <c r="C177" s="356"/>
      <c r="D177" s="354" t="n">
        <f aca="false">B91</f>
        <v>1739.14614619225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1739.14614619225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1739.14614619225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1739.14614619225</v>
      </c>
      <c r="B186" s="99" t="n">
        <f aca="false">IF(A105="YES", B89, 0)</f>
        <v>0</v>
      </c>
      <c r="C186" s="352"/>
      <c r="D186" s="99" t="n">
        <f aca="false">B91</f>
        <v>1739.14614619225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566.790625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666.782291666667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566.790625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5526.71041666667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566.790625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5526.71041666667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426.688169254058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94" colorId="64" zoomScale="65" zoomScaleNormal="65" zoomScalePageLayoutView="100" workbookViewId="0">
      <selection pane="topLeft" activeCell="B115" activeCellId="0" sqref="B11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3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44854.17</v>
      </c>
      <c r="C3" s="497" t="n">
        <v>0</v>
      </c>
      <c r="D3" s="262" t="n">
        <v>833.33</v>
      </c>
      <c r="E3" s="498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45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4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 t="n">
        <v>23125</v>
      </c>
      <c r="C9" s="485"/>
      <c r="D9" s="485"/>
      <c r="E9" s="507" t="n">
        <f aca="false">(B7+C7+D7+E3)</f>
        <v>16745</v>
      </c>
      <c r="F9" s="63"/>
      <c r="G9" s="453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45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 t="n">
        <v>0</v>
      </c>
      <c r="C11" s="487"/>
      <c r="D11" s="487"/>
      <c r="E11" s="299" t="n">
        <f aca="false">( E9 + E10 ) * 0.2</f>
        <v>3488</v>
      </c>
      <c r="F11" s="63"/>
      <c r="G11" s="453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 t="n">
        <v>0</v>
      </c>
      <c r="C13" s="487"/>
      <c r="D13" s="487"/>
      <c r="E13" s="498" t="n">
        <v>585</v>
      </c>
      <c r="F13" s="63"/>
      <c r="G13" s="453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8" t="n">
        <f aca="false">(E9+E10+E13+E14+E11) - E12</f>
        <v>21273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455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100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351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384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6" t="n">
        <v>35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352</v>
      </c>
      <c r="C30" s="169"/>
      <c r="D30" s="211"/>
      <c r="E30" s="212"/>
      <c r="F30" s="63"/>
      <c r="G30" s="214" t="s">
        <v>32</v>
      </c>
      <c r="H30" s="456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18300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7" t="s">
        <v>353</v>
      </c>
      <c r="E32" s="212"/>
      <c r="F32" s="63"/>
      <c r="G32" s="214" t="s">
        <v>36</v>
      </c>
      <c r="I32" s="448" t="n">
        <v>1030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8" t="n">
        <f aca="false">H48</f>
        <v>197.554858278566</v>
      </c>
      <c r="E33" s="212"/>
      <c r="F33" s="63"/>
      <c r="G33" s="215" t="s">
        <v>354</v>
      </c>
      <c r="H33" s="459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355</v>
      </c>
      <c r="B35" s="211" t="s">
        <v>356</v>
      </c>
      <c r="C35" s="211"/>
      <c r="D35" s="211" t="s">
        <v>357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97.5548582785664</v>
      </c>
      <c r="B36" s="99" t="n">
        <f aca="false">IF(B26="YES", H42, "")</f>
        <v>100</v>
      </c>
      <c r="C36" s="217"/>
      <c r="D36" s="181" t="n">
        <f aca="false">H31</f>
        <v>24000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358</v>
      </c>
      <c r="B39" s="211" t="s">
        <v>359</v>
      </c>
      <c r="C39" s="211"/>
      <c r="D39" s="211" t="s">
        <v>360</v>
      </c>
      <c r="E39" s="212"/>
      <c r="F39" s="63"/>
      <c r="G39" s="63" t="s">
        <v>84</v>
      </c>
      <c r="H39" s="234" t="n">
        <f aca="false">H33</f>
        <v>17785</v>
      </c>
      <c r="I39" s="234" t="n">
        <f aca="false">(I48*H46)+H44</f>
        <v>55104.5377979314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24000</v>
      </c>
      <c r="B40" s="103" t="n">
        <f aca="false">IF(B26="YES",H42,"0")</f>
        <v>100</v>
      </c>
      <c r="C40" s="103"/>
      <c r="D40" s="181" t="n">
        <f aca="false">I32</f>
        <v>3600</v>
      </c>
      <c r="E40" s="212"/>
      <c r="F40" s="63"/>
      <c r="G40" s="63" t="s">
        <v>106</v>
      </c>
      <c r="H40" s="234" t="n">
        <f aca="false">A40/1.2</f>
        <v>20000</v>
      </c>
      <c r="I40" s="234" t="n">
        <f aca="false">H39-I39</f>
        <v>-37319.5377979314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361</v>
      </c>
      <c r="H41" s="238" t="n">
        <f aca="false">H35/12</f>
        <v>0.00825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362</v>
      </c>
      <c r="H42" s="234" t="n">
        <f aca="false">(I32/H34)*(C45/100)</f>
        <v>100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363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0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14757.2508789992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1" t="n">
        <v>100</v>
      </c>
      <c r="B45" s="211"/>
      <c r="C45" s="462" t="n">
        <v>100</v>
      </c>
      <c r="D45" s="462"/>
      <c r="E45" s="212"/>
      <c r="F45" s="63"/>
      <c r="G45" s="63" t="s">
        <v>372</v>
      </c>
      <c r="H45" s="234" t="n">
        <f aca="false">(H39-H44)</f>
        <v>3027.74912100084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31.0363745530248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367</v>
      </c>
      <c r="H47" s="234" t="n">
        <f aca="false">H45/H46</f>
        <v>97.5548582785664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3" t="s">
        <v>368</v>
      </c>
      <c r="H48" s="234" t="n">
        <f aca="false">IF(B26="YES", H47+H42, H47)</f>
        <v>197.554858278566</v>
      </c>
      <c r="I48" s="234" t="n">
        <f aca="false">I49-H42</f>
        <v>1300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369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197.554858278566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210" t="s">
        <v>14</v>
      </c>
      <c r="N61" s="290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2197.44</v>
      </c>
      <c r="C64" s="464" t="n">
        <v>10000</v>
      </c>
      <c r="D64" s="290" t="n">
        <f aca="false">B64</f>
        <v>2197.44</v>
      </c>
      <c r="E64" s="465" t="n">
        <f aca="false">D64/(B58+B57)</f>
        <v>61.04</v>
      </c>
      <c r="F64" s="63"/>
      <c r="G64" s="284" t="s">
        <v>90</v>
      </c>
      <c r="H64" s="129" t="n">
        <f aca="false">H61*H63</f>
        <v>2197.44</v>
      </c>
      <c r="I64" s="211"/>
      <c r="J64" s="290" t="n">
        <f aca="false">H64-G145</f>
        <v>2197.44</v>
      </c>
      <c r="K64" s="212"/>
      <c r="L64" s="63"/>
      <c r="M64" s="284" t="s">
        <v>90</v>
      </c>
      <c r="N64" s="129" t="n">
        <f aca="false">N61*N63</f>
        <v>2197.44</v>
      </c>
      <c r="O64" s="211"/>
      <c r="P64" s="290" t="n">
        <f aca="false">N64-M145</f>
        <v>2197.44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6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212.73</v>
      </c>
      <c r="C67" s="467" t="s">
        <v>218</v>
      </c>
      <c r="D67" s="468"/>
      <c r="E67" s="212"/>
      <c r="F67" s="63"/>
      <c r="G67" s="284" t="s">
        <v>93</v>
      </c>
      <c r="H67" s="129" t="n">
        <f aca="false">(H61*H66)/1.2</f>
        <v>348.8</v>
      </c>
      <c r="I67" s="211"/>
      <c r="J67" s="290"/>
      <c r="K67" s="212"/>
      <c r="L67" s="63"/>
      <c r="M67" s="284" t="s">
        <v>93</v>
      </c>
      <c r="N67" s="129" t="n">
        <f aca="false">(N61*N66)/1.2</f>
        <v>348.8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69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0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162</v>
      </c>
      <c r="C73" s="211"/>
      <c r="D73" s="471" t="n">
        <f aca="false">B73+B71</f>
        <v>322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2"/>
      <c r="D77" s="290" t="n">
        <f aca="false">B77</f>
        <v>0</v>
      </c>
      <c r="E77" s="465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2"/>
      <c r="D78" s="290" t="n">
        <f aca="false">B78</f>
        <v>0</v>
      </c>
      <c r="E78" s="465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2"/>
      <c r="D79" s="290" t="n">
        <f aca="false">B79</f>
        <v>300</v>
      </c>
      <c r="E79" s="465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2"/>
      <c r="D80" s="290" t="n">
        <f aca="false">B80</f>
        <v>100</v>
      </c>
      <c r="E80" s="465" t="n">
        <f aca="false">(D73+D76+D79+D80)/(B58+B57)</f>
        <v>20.0555555555556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2919.44</v>
      </c>
      <c r="C81" s="472"/>
      <c r="D81" s="473"/>
      <c r="E81" s="465"/>
      <c r="F81" s="63"/>
      <c r="G81" s="302" t="s">
        <v>102</v>
      </c>
      <c r="H81" s="303" t="n">
        <f aca="false">SUM(J64:J80)</f>
        <v>3263.19</v>
      </c>
      <c r="I81" s="211"/>
      <c r="J81" s="211"/>
      <c r="K81" s="212"/>
      <c r="L81" s="63"/>
      <c r="M81" s="302" t="s">
        <v>102</v>
      </c>
      <c r="N81" s="303" t="n">
        <f aca="false">SUM(P64:P80)</f>
        <v>2919.44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81.0955555555556</v>
      </c>
      <c r="C82" s="472"/>
      <c r="D82" s="211"/>
      <c r="E82" s="465"/>
      <c r="F82" s="63"/>
      <c r="G82" s="210" t="s">
        <v>103</v>
      </c>
      <c r="H82" s="299" t="n">
        <f aca="false">H81/H29</f>
        <v>90.6441666666667</v>
      </c>
      <c r="I82" s="211"/>
      <c r="J82" s="211"/>
      <c r="K82" s="212"/>
      <c r="L82" s="63"/>
      <c r="M82" s="210" t="s">
        <v>103</v>
      </c>
      <c r="N82" s="299" t="n">
        <f aca="false">N81/H29</f>
        <v>81.0955555555556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97.5548582785664</v>
      </c>
      <c r="C83" s="472"/>
      <c r="D83" s="211"/>
      <c r="E83" s="465" t="n">
        <f aca="false">B83+E80+E77+E64</f>
        <v>178.650413834122</v>
      </c>
      <c r="F83" s="63"/>
      <c r="G83" s="304" t="s">
        <v>104</v>
      </c>
      <c r="H83" s="305" t="n">
        <f aca="false">H47</f>
        <v>97.5548582785664</v>
      </c>
      <c r="I83" s="211"/>
      <c r="J83" s="211"/>
      <c r="K83" s="212"/>
      <c r="L83" s="63"/>
      <c r="M83" s="304" t="s">
        <v>104</v>
      </c>
      <c r="N83" s="305" t="n">
        <f aca="false">H47</f>
        <v>97.5548582785664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2"/>
      <c r="D84" s="472"/>
      <c r="E84" s="465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6431.41489802839</v>
      </c>
      <c r="C85" s="472"/>
      <c r="D85" s="472"/>
      <c r="E85" s="465" t="n">
        <f aca="false">B85/(B58+B57)</f>
        <v>178.650413834122</v>
      </c>
      <c r="F85" s="63"/>
      <c r="G85" s="287" t="s">
        <v>114</v>
      </c>
      <c r="H85" s="127" t="n">
        <f aca="false">((H83*H29)+H81)*1.2</f>
        <v>8130.19787763407</v>
      </c>
      <c r="I85" s="211"/>
      <c r="J85" s="211"/>
      <c r="K85" s="212"/>
      <c r="L85" s="63"/>
      <c r="M85" s="287" t="s">
        <v>114</v>
      </c>
      <c r="N85" s="127" t="n">
        <f aca="false">((N83*H29)+N81)</f>
        <v>6431.41489802839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54.4815299953998</v>
      </c>
      <c r="C86" s="472" t="s">
        <v>227</v>
      </c>
      <c r="D86" s="211"/>
      <c r="E86" s="465" t="n">
        <f aca="false">B86/(B58+B57)</f>
        <v>1.51337583320555</v>
      </c>
      <c r="F86" s="63"/>
      <c r="G86" s="210" t="s">
        <v>115</v>
      </c>
      <c r="H86" s="299" t="n">
        <f aca="false">((((H83*H29)+H81))/(1-H70))*H70</f>
        <v>57.3934904633305</v>
      </c>
      <c r="I86" s="211"/>
      <c r="J86" s="211"/>
      <c r="K86" s="212"/>
      <c r="L86" s="63"/>
      <c r="M86" s="210" t="s">
        <v>115</v>
      </c>
      <c r="N86" s="299" t="n">
        <f aca="false">(N85/(1-N70))*N70</f>
        <v>54.4815299953998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6485.89642802379</v>
      </c>
      <c r="C87" s="472"/>
      <c r="D87" s="474"/>
      <c r="E87" s="465" t="n">
        <f aca="false">E86+E85</f>
        <v>180.163789667327</v>
      </c>
      <c r="F87" s="63"/>
      <c r="G87" s="284" t="s">
        <v>116</v>
      </c>
      <c r="H87" s="129" t="n">
        <f aca="false">IF(H110="YES",((H85+H86)-K114),(H85+H86))</f>
        <v>8187.5913680974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6485.89642802379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2"/>
      <c r="D88" s="211"/>
      <c r="E88" s="465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34.3333333333333</v>
      </c>
      <c r="C89" s="472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126.439024390244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105.365853658537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180.163789667327</v>
      </c>
      <c r="C90" s="472"/>
      <c r="D90" s="211"/>
      <c r="E90" s="475"/>
      <c r="F90" s="63"/>
      <c r="G90" s="307" t="s">
        <v>118</v>
      </c>
      <c r="H90" s="308" t="n">
        <f aca="false">IF(H99=Y98, (H87-J105)/(H58), H87/(H57+H58))</f>
        <v>199.6973504414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158.192595805458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180.163789667327</v>
      </c>
      <c r="C91" s="472"/>
      <c r="D91" s="476"/>
      <c r="E91" s="429"/>
      <c r="F91" s="63"/>
      <c r="G91" s="309" t="s">
        <v>119</v>
      </c>
      <c r="H91" s="310" t="n">
        <f aca="false">IF(G105="YES", H90+H89, H90)</f>
        <v>326.136374831644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263.558449463995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7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8"/>
      <c r="C97" s="478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260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5000</v>
      </c>
      <c r="E99" s="103"/>
      <c r="F99" s="63"/>
      <c r="G99" s="216" t="s">
        <v>284</v>
      </c>
      <c r="H99" s="311" t="s">
        <v>262</v>
      </c>
      <c r="I99" s="311"/>
      <c r="J99" s="103" t="n">
        <v>0</v>
      </c>
      <c r="K99" s="103"/>
      <c r="L99" s="63"/>
      <c r="M99" s="216" t="s">
        <v>284</v>
      </c>
      <c r="N99" s="311" t="s">
        <v>262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261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262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263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19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384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249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199.6973504414</v>
      </c>
      <c r="H127" s="174" t="n">
        <f aca="false">IF(G105="YES", H89*H57, 0)</f>
        <v>758.634146341463</v>
      </c>
      <c r="I127" s="174"/>
      <c r="J127" s="333" t="n">
        <f aca="false">H91</f>
        <v>326.136374831644</v>
      </c>
      <c r="K127" s="212"/>
      <c r="L127" s="63"/>
      <c r="M127" s="332" t="n">
        <f aca="false">N90</f>
        <v>158.192595805458</v>
      </c>
      <c r="N127" s="174" t="n">
        <f aca="false">IF(M105="YES", N89*N57, 0)</f>
        <v>632.195121951219</v>
      </c>
      <c r="O127" s="174"/>
      <c r="P127" s="174" t="n">
        <f aca="false">N91</f>
        <v>263.558449463995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180.163789667327</v>
      </c>
      <c r="B128" s="320" t="n">
        <f aca="false">IF(A105="YES", B89, 0)</f>
        <v>0</v>
      </c>
      <c r="C128" s="324"/>
      <c r="D128" s="320" t="n">
        <f aca="false">B91</f>
        <v>180.163789667327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180.163789667327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238</v>
      </c>
      <c r="O132" s="211"/>
      <c r="P132" s="211" t="s">
        <v>242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1198.1841026484</v>
      </c>
      <c r="H133" s="99" t="n">
        <f aca="false">IF(G105="YES", H89*H57, 0)</f>
        <v>758.634146341463</v>
      </c>
      <c r="I133" s="217"/>
      <c r="J133" s="181" t="n">
        <f aca="false">H91*H57</f>
        <v>1956.81824898986</v>
      </c>
      <c r="K133" s="212"/>
      <c r="L133" s="63"/>
      <c r="M133" s="182" t="n">
        <f aca="false">N90*N57</f>
        <v>949.15557483275</v>
      </c>
      <c r="N133" s="99" t="n">
        <f aca="false">IF(M105="YES", N89*N57, 0)</f>
        <v>632.195121951219</v>
      </c>
      <c r="O133" s="217"/>
      <c r="P133" s="181" t="n">
        <f aca="false">N91*N57</f>
        <v>1581.35069678397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180.163789667327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251</v>
      </c>
      <c r="N135" s="211" t="s">
        <v>252</v>
      </c>
      <c r="O135" s="211"/>
      <c r="P135" s="211" t="s">
        <v>256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0.127638</v>
      </c>
      <c r="H136" s="99" t="n">
        <f aca="false">IF(G105="YES", E15*0.000002, 0)</f>
        <v>0.042546</v>
      </c>
      <c r="I136" s="99"/>
      <c r="J136" s="99" t="n">
        <f aca="false">G136+H136</f>
        <v>0.170184</v>
      </c>
      <c r="K136" s="101"/>
      <c r="L136" s="63"/>
      <c r="M136" s="107" t="n">
        <f aca="false">E15*0.000006</f>
        <v>0.127638</v>
      </c>
      <c r="N136" s="99" t="n">
        <f aca="false">IF(M105="YES", E15*0.000002, 0)</f>
        <v>0.042546</v>
      </c>
      <c r="O136" s="99"/>
      <c r="P136" s="99" t="n">
        <f aca="false">M136+N136</f>
        <v>0.170184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180.163789667327</v>
      </c>
      <c r="B137" s="38" t="n">
        <f aca="false">IF(A105="YES", B89, 0)</f>
        <v>0</v>
      </c>
      <c r="C137" s="316"/>
      <c r="D137" s="38" t="n">
        <f aca="false">B91</f>
        <v>180.163789667327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348.8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348.8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 G18*0.000002, 0)*1.2*100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72</v>
      </c>
      <c r="H142" s="99" t="n">
        <f aca="false">G102-100</f>
        <v>99.99</v>
      </c>
      <c r="I142" s="99"/>
      <c r="J142" s="99" t="n">
        <f aca="false">(H139+J139+G142+H142)-H145</f>
        <v>520.79</v>
      </c>
      <c r="K142" s="101"/>
      <c r="L142" s="63"/>
      <c r="M142" s="107" t="n">
        <f aca="false">IF(M105="YES", ((B36*N105)*0.1)*(M130), 0)</f>
        <v>72</v>
      </c>
      <c r="N142" s="99" t="n">
        <f aca="false">M102-100</f>
        <v>99.99</v>
      </c>
      <c r="O142" s="99"/>
      <c r="P142" s="99" t="n">
        <f aca="false">(N139+P139+M142+N142)-N145</f>
        <v>520.79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212.73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312.72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326.136374831644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263.558449463995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180.163789667327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180.163789667327</v>
      </c>
      <c r="B177" s="354" t="n">
        <f aca="false">IF(A105="YES", B89, 0)</f>
        <v>0</v>
      </c>
      <c r="C177" s="356"/>
      <c r="D177" s="354" t="n">
        <f aca="false">B91</f>
        <v>180.163789667327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Monthly in advance</v>
      </c>
      <c r="B180" s="99" t="n">
        <f aca="false">B90*B57</f>
        <v>180.163789667327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180.163789667327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180.163789667327</v>
      </c>
      <c r="B186" s="99" t="n">
        <f aca="false">IF(A105="YES", B89, 0)</f>
        <v>0</v>
      </c>
      <c r="C186" s="352"/>
      <c r="D186" s="99" t="n">
        <f aca="false">B91</f>
        <v>180.163789667327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 G18*0.000002, 0)*1.2*100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212.73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312.72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0.099</v>
      </c>
      <c r="C209" s="320" t="s">
        <v>212</v>
      </c>
      <c r="D209" s="369" t="n">
        <f aca="false">D64</f>
        <v>2197.44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212.73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2084.7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2197.44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212.73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2084.7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79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160</v>
      </c>
      <c r="C229" s="335" t="s">
        <v>223</v>
      </c>
      <c r="D229" s="342"/>
      <c r="E229" s="146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54.4815299953998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300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100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65" zoomScaleNormal="6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46854.17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240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250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251</v>
      </c>
      <c r="C43" s="226"/>
      <c r="D43" s="236" t="s">
        <v>252</v>
      </c>
      <c r="E43" s="239"/>
      <c r="F43" s="63"/>
      <c r="G43" s="63" t="s">
        <v>253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254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256</v>
      </c>
      <c r="B46" s="236" t="s">
        <v>257</v>
      </c>
      <c r="C46" s="226"/>
      <c r="D46" s="236" t="s">
        <v>258</v>
      </c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385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260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261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262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263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249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249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238</v>
      </c>
      <c r="C138" s="211"/>
      <c r="D138" s="211" t="s">
        <v>242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238</v>
      </c>
      <c r="O138" s="211"/>
      <c r="P138" s="211" t="s">
        <v>242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251</v>
      </c>
      <c r="B141" s="211" t="s">
        <v>252</v>
      </c>
      <c r="C141" s="211"/>
      <c r="D141" s="211" t="s">
        <v>256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251</v>
      </c>
      <c r="N141" s="211" t="s">
        <v>252</v>
      </c>
      <c r="O141" s="211"/>
      <c r="P141" s="211" t="s">
        <v>256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44854.17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510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58585</v>
      </c>
      <c r="F15" s="63"/>
      <c r="G15" s="273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289.425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5332.61666666667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444.384722222222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13613.54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96.1020371117386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13709.6420371117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1142.47016975931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1142.47016975931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1142.47016975931</v>
      </c>
      <c r="B128" s="320" t="n">
        <f aca="false">IF(A105="YES", B89, 0)</f>
        <v>0</v>
      </c>
      <c r="C128" s="325"/>
      <c r="D128" s="320" t="n">
        <f aca="false">B91</f>
        <v>1142.47016975931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8" t="n">
        <f aca="false">B90*B57</f>
        <v>1142.47016975931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1142.47016975931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0.35151</v>
      </c>
      <c r="H136" s="99" t="n">
        <f aca="false">IF(G105="YES", E15*0.000002, 0)</f>
        <v>0.11717</v>
      </c>
      <c r="I136" s="99"/>
      <c r="J136" s="99" t="n">
        <f aca="false">G136+H136</f>
        <v>0.46868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1142.47016975931</v>
      </c>
      <c r="B137" s="38" t="n">
        <f aca="false">IF(A105="YES", B89, 0)</f>
        <v>0</v>
      </c>
      <c r="C137" s="316"/>
      <c r="D137" s="38" t="n">
        <f aca="false">B91</f>
        <v>1142.47016975931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1142.47016975931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1142.47016975931</v>
      </c>
      <c r="B171" s="354" t="n">
        <f aca="false">IF(A105="YES", B89, 0)</f>
        <v>0</v>
      </c>
      <c r="C171" s="357"/>
      <c r="D171" s="354" t="n">
        <f aca="false">B91</f>
        <v>1142.47016975931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Monthly in advance</v>
      </c>
      <c r="B174" s="99" t="n">
        <f aca="false">B90*B57</f>
        <v>1142.47016975931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1142.47016975931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1142.47016975931</v>
      </c>
      <c r="B180" s="99" t="n">
        <f aca="false">IF(A105="YES", B89, 0)</f>
        <v>0</v>
      </c>
      <c r="C180" s="352"/>
      <c r="D180" s="99" t="n">
        <f aca="false">B91</f>
        <v>1142.47016975931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289.425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789.415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289.425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4102.515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289.425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65" zoomScaleNormal="6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80" t="s">
        <v>379</v>
      </c>
      <c r="B1" s="480"/>
      <c r="C1" s="480"/>
      <c r="D1" s="480"/>
      <c r="E1" s="480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6" t="s">
        <v>143</v>
      </c>
      <c r="C2" s="496" t="s">
        <v>144</v>
      </c>
      <c r="D2" s="496" t="s">
        <v>145</v>
      </c>
      <c r="E2" s="482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7" t="n">
        <v>44854.17</v>
      </c>
      <c r="C3" s="497" t="n">
        <v>0</v>
      </c>
      <c r="D3" s="497" t="n">
        <v>833.33</v>
      </c>
      <c r="E3" s="498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499" t="n">
        <v>0</v>
      </c>
      <c r="C4" s="499" t="n">
        <v>0</v>
      </c>
      <c r="D4" s="499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7" t="n">
        <v>0</v>
      </c>
      <c r="C5" s="497" t="n">
        <v>0</v>
      </c>
      <c r="D5" s="497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48020.83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5" t="s">
        <v>161</v>
      </c>
      <c r="B9" s="485"/>
      <c r="C9" s="485"/>
      <c r="D9" s="485"/>
      <c r="E9" s="500" t="n">
        <f aca="false">B7+C7+D7+E3</f>
        <v>48854.16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7" t="s">
        <v>162</v>
      </c>
      <c r="B10" s="487"/>
      <c r="C10" s="487"/>
      <c r="D10" s="487"/>
      <c r="E10" s="498" t="n">
        <v>550</v>
      </c>
      <c r="F10" s="63"/>
      <c r="G10" s="63"/>
      <c r="H10" s="63"/>
      <c r="I10" s="16" t="s">
        <v>1</v>
      </c>
      <c r="J10" s="14" t="n">
        <f aca="false">E15-E11-J8</f>
        <v>49404.16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7" t="s">
        <v>163</v>
      </c>
      <c r="B11" s="487"/>
      <c r="C11" s="487"/>
      <c r="D11" s="487"/>
      <c r="E11" s="299" t="n">
        <f aca="false">(E9+E10)*20%</f>
        <v>9880.832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7" t="s">
        <v>164</v>
      </c>
      <c r="B12" s="487"/>
      <c r="C12" s="487"/>
      <c r="D12" s="487"/>
      <c r="E12" s="498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7" t="s">
        <v>165</v>
      </c>
      <c r="B13" s="487"/>
      <c r="C13" s="487"/>
      <c r="D13" s="487"/>
      <c r="E13" s="498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7" t="s">
        <v>166</v>
      </c>
      <c r="B14" s="487"/>
      <c r="C14" s="487"/>
      <c r="D14" s="487"/>
      <c r="E14" s="498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7" t="s">
        <v>167</v>
      </c>
      <c r="B15" s="487"/>
      <c r="C15" s="487"/>
      <c r="D15" s="487"/>
      <c r="E15" s="501" t="n">
        <f aca="false">(E9+E10+E13+E14+E11)-E12</f>
        <v>59984.992</v>
      </c>
      <c r="F15" s="63"/>
      <c r="G15" s="273" t="n">
        <f aca="false">E15</f>
        <v>59984.992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7" t="s">
        <v>168</v>
      </c>
      <c r="B16" s="487"/>
      <c r="C16" s="487"/>
      <c r="D16" s="487"/>
      <c r="E16" s="498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8" t="s">
        <v>13</v>
      </c>
      <c r="B18" s="489" t="s">
        <v>170</v>
      </c>
      <c r="C18" s="489"/>
      <c r="D18" s="489"/>
      <c r="E18" s="502" t="n">
        <v>0</v>
      </c>
      <c r="F18" s="63"/>
      <c r="G18" s="273" t="n">
        <f aca="false">(B3+C3+E10+D3+E3)*1.2</f>
        <v>59284.992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8" t="s">
        <v>15</v>
      </c>
      <c r="B19" s="489" t="s">
        <v>170</v>
      </c>
      <c r="C19" s="489"/>
      <c r="D19" s="489"/>
      <c r="E19" s="502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8" t="s">
        <v>16</v>
      </c>
      <c r="B20" s="489" t="s">
        <v>170</v>
      </c>
      <c r="C20" s="489"/>
      <c r="D20" s="489"/>
      <c r="E20" s="502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0" t="s">
        <v>171</v>
      </c>
      <c r="B21" s="490"/>
      <c r="C21" s="490"/>
      <c r="D21" s="490"/>
      <c r="E21" s="503" t="n">
        <f aca="false">E15-((E18*1.2)+(E19*1.2)+(E20*1.2)+(E16*1.2))</f>
        <v>59984.992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233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234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235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236</v>
      </c>
      <c r="B29" s="219" t="n">
        <v>12345</v>
      </c>
      <c r="C29" s="219"/>
      <c r="D29" s="220" t="n">
        <f aca="true">TODAY()+1</f>
        <v>45108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237</v>
      </c>
      <c r="C31" s="211"/>
      <c r="D31" s="217" t="s">
        <v>238</v>
      </c>
      <c r="E31" s="212"/>
      <c r="F31" s="63"/>
      <c r="G31" s="214" t="s">
        <v>239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240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242</v>
      </c>
      <c r="B34" s="227" t="s">
        <v>243</v>
      </c>
      <c r="C34" s="226"/>
      <c r="D34" s="228" t="s">
        <v>40</v>
      </c>
      <c r="E34" s="212"/>
      <c r="F34" s="63"/>
      <c r="G34" s="223" t="s">
        <v>244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247</v>
      </c>
      <c r="C37" s="211"/>
      <c r="D37" s="217" t="s">
        <v>248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249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251</v>
      </c>
      <c r="B43" s="236" t="s">
        <v>252</v>
      </c>
      <c r="C43" s="226"/>
      <c r="D43" s="236" t="s">
        <v>256</v>
      </c>
      <c r="E43" s="239"/>
      <c r="F43" s="63"/>
      <c r="G43" s="63" t="s">
        <v>253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1</v>
      </c>
      <c r="E44" s="278"/>
      <c r="F44" s="63"/>
      <c r="G44" s="63" t="s">
        <v>254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255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259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59284.992</v>
      </c>
      <c r="C61" s="211"/>
      <c r="D61" s="211"/>
      <c r="E61" s="212"/>
      <c r="F61" s="63"/>
      <c r="G61" s="210" t="s">
        <v>14</v>
      </c>
      <c r="H61" s="290" t="n">
        <f aca="false">G18</f>
        <v>59284.992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4149.94944</v>
      </c>
      <c r="C64" s="211" t="n">
        <v>10000</v>
      </c>
      <c r="D64" s="290" t="n">
        <f aca="false">B64</f>
        <v>4149.94944</v>
      </c>
      <c r="E64" s="212"/>
      <c r="F64" s="63"/>
      <c r="G64" s="284" t="s">
        <v>90</v>
      </c>
      <c r="H64" s="129" t="n">
        <f aca="false">H61*H63</f>
        <v>4149.94944</v>
      </c>
      <c r="I64" s="211"/>
      <c r="J64" s="290" t="n">
        <f aca="false">H64</f>
        <v>4149.94944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0.005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296.42496</v>
      </c>
      <c r="C67" s="211"/>
      <c r="D67" s="290"/>
      <c r="E67" s="212"/>
      <c r="F67" s="63"/>
      <c r="G67" s="284" t="s">
        <v>93</v>
      </c>
      <c r="H67" s="129" t="n">
        <f aca="false">H61*H66</f>
        <v>296.42496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54</v>
      </c>
      <c r="C73" s="211"/>
      <c r="D73" s="290" t="n">
        <f aca="false">B73+B71</f>
        <v>214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300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100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5430.61610666667</v>
      </c>
      <c r="C81" s="211"/>
      <c r="D81" s="211"/>
      <c r="E81" s="212"/>
      <c r="F81" s="63"/>
      <c r="G81" s="302" t="s">
        <v>102</v>
      </c>
      <c r="H81" s="303" t="n">
        <f aca="false">SUM(J64:J80)</f>
        <v>5803.53277333333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452.551342222222</v>
      </c>
      <c r="C82" s="211"/>
      <c r="D82" s="211"/>
      <c r="E82" s="212"/>
      <c r="F82" s="63"/>
      <c r="G82" s="210" t="s">
        <v>103</v>
      </c>
      <c r="H82" s="299" t="n">
        <f aca="false">H81/H29</f>
        <v>483.627731111111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11442.6161066667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14178.639328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96.9322058249294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100.091241726503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11539.5483124916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14178.7405697265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961.629026040967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1181.56171414388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961.629026040967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1181.56171414388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260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261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262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263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961.629026040967</v>
      </c>
      <c r="B128" s="320" t="n">
        <f aca="false">IF(A105="YES", B89, 0)</f>
        <v>0</v>
      </c>
      <c r="C128" s="325"/>
      <c r="D128" s="320" t="n">
        <f aca="false">B91</f>
        <v>961.629026040967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1181.56171414388</v>
      </c>
      <c r="H130" s="174" t="n">
        <f aca="false">IF(G105="YES", H89*H57, 0)</f>
        <v>0</v>
      </c>
      <c r="I130" s="174"/>
      <c r="J130" s="333" t="n">
        <f aca="false">H91</f>
        <v>1181.56171414388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8" t="n">
        <f aca="false">B90*B57</f>
        <v>8654.6612343687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1181.56171414388</v>
      </c>
      <c r="H133" s="99" t="n">
        <f aca="false">IF(G105="YES", H89*H57, 0)</f>
        <v>0</v>
      </c>
      <c r="I133" s="217"/>
      <c r="J133" s="181" t="n">
        <f aca="false">H91*H57</f>
        <v>1181.56171414388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8654.6612343687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0.359909952</v>
      </c>
      <c r="H136" s="99" t="n">
        <f aca="false">IF(G105="YES", E15*0.000002, 0)</f>
        <v>0.119969984</v>
      </c>
      <c r="I136" s="99"/>
      <c r="J136" s="99" t="n">
        <f aca="false">G136+H136</f>
        <v>0.479879936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961.629026040967</v>
      </c>
      <c r="B137" s="38" t="n">
        <f aca="false">IF(A105="YES", B89, 0)</f>
        <v>0</v>
      </c>
      <c r="C137" s="316"/>
      <c r="D137" s="38" t="n">
        <f aca="false">B91</f>
        <v>961.629026040967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296.42496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42.68519424</v>
      </c>
      <c r="B140" s="342" t="n">
        <f aca="false">G18*0.000002 *1.2*100</f>
        <v>14.22839808</v>
      </c>
      <c r="C140" s="316"/>
      <c r="D140" s="342" t="n">
        <f aca="false">A140+B140</f>
        <v>56.91359232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1516.41296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296.42496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796.41496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1181.56171414388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961.629026040967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961.629026040967</v>
      </c>
      <c r="B171" s="354" t="n">
        <f aca="false">IF(A105="YES", B89, 0)</f>
        <v>0</v>
      </c>
      <c r="C171" s="357"/>
      <c r="D171" s="354" t="n">
        <f aca="false">B91</f>
        <v>961.629026040967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Terminal pause with 9 down</v>
      </c>
      <c r="B174" s="99" t="n">
        <f aca="false">B90*B57</f>
        <v>8654.6612343687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8654.6612343687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961.629026040967</v>
      </c>
      <c r="B180" s="99" t="n">
        <f aca="false">IF(A105="YES", B89, 0)</f>
        <v>0</v>
      </c>
      <c r="C180" s="352"/>
      <c r="D180" s="99" t="n">
        <f aca="false">B91</f>
        <v>961.629026040967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42.68519424</v>
      </c>
      <c r="B183" s="364" t="n">
        <f aca="false">G18*0.000002 *1.2*100</f>
        <v>14.22839808</v>
      </c>
      <c r="C183" s="352"/>
      <c r="D183" s="364" t="n">
        <f aca="false">A183+B183</f>
        <v>56.91359232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296.42496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796.41496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4149.94944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296.42496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4193.51448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4149.94944</v>
      </c>
      <c r="C211" s="374" t="s">
        <v>218</v>
      </c>
      <c r="D211" s="316"/>
      <c r="E211" s="375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296.42496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4193.51448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160</v>
      </c>
      <c r="C223" s="335" t="s">
        <v>223</v>
      </c>
      <c r="D223" s="342"/>
      <c r="E223" s="146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96.9322058249294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300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100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4560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2020-12-02T11:02:33Z</dcterms:created>
  <dc:creator>Kushal Panchal</dc:creator>
  <dc:description/>
  <dc:language>en-US</dc:language>
  <cp:lastModifiedBy/>
  <dcterms:modified xsi:type="dcterms:W3CDTF">2023-06-30T15:09:14Z</dcterms:modified>
  <cp:revision>799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