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<sst xmlns="http://schemas.openxmlformats.org/spreadsheetml/2006/main" count="39602" uniqueCount="425">
  <si>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</si>
  <si>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</si>
  <si>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</si>
  <si>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</si>
  <si>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</si>
  <si>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</si>
  <si>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</si>
  <si>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</si>
  <si>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</si>
  <si>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</si>
  <si>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</si>
  <si>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</si>
  <si>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</si>
  <si>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</si>
  <si>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</si>
  <si>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</si>
  <si>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</si>
  <si>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</si>
  <si>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</si>
  <si>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</si>
  <si>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</si>
  <si>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</si>
  <si>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</si>
  <si>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</si>
  <si>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</si>
  <si>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</si>
  <si>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</si>
  <si>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</si>
  <si>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</si>
  <si>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</si>
  <si>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</si>
  <si>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</si>
  <si>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</si>
  <si>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</si>
  <si>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</si>
  <si>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</si>
  <si>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</si>
  <si>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</si>
  <si>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</si>
  <si>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</si>
  <si>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</si>
  <si>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</si>
  <si>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</si>
  <si>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</si>
  <si>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</si>
  <si>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</si>
  <si>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</si>
  <si>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</si>
  <si>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</si>
  <si>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</si>
  <si>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</si>
  <si>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</si>
  <si>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</si>
  <si>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</si>
  <si>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</si>
  <si>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</si>
  <si>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</si>
  <si>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</si>
  <si>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</si>
  <si>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</si>
  <si>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</si>
  <si>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</si>
  <si>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</si>
  <si>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</si>
  <si>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</si>
  <si>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</si>
  <si>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</si>
  <si>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</si>
  <si>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</si>
  <si>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</si>
  <si>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</si>
  <si>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</si>
  <si>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</si>
  <si>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</si>
  <si>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</si>
  <si>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</si>
  <si>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</si>
  <si>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</si>
  <si>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</si>
  <si>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</si>
  <si>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</si>
  <si>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</si>
  <si>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</si>
  <si>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</si>
  <si>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</si>
  <si>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</si>
  <si>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</si>
  <si>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</si>
  <si>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</si>
  <si>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</si>
  <si>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</si>
  <si>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</si>
  <si>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</si>
  <si>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</si>
  <si>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</si>
  <si>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</si>
  <si>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</si>
  <si>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</si>
  <si>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</si>
  <si>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</si>
  <si>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</si>
  <si>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</si>
  <si>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</si>
  <si>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</si>
  <si>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</si>
  <si>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</si>
  <si>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</si>
  <si>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</si>
  <si>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</si>
  <si>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</si>
  <si>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</si>
  <si>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</si>
  <si>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</si>
  <si>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</si>
  <si>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</si>
  <si>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</si>
  <si>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</si>
  <si>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</si>
  <si>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</si>
  <si>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</si>
  <si>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</si>
  <si>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</si>
  <si>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</si>
  <si>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</si>
  <si>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</si>
  <si>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</si>
  <si>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</si>
  <si>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</si>
  <si>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</si>
  <si>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</si>
  <si>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</si>
  <si>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</si>
  <si>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</si>
  <si>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</si>
  <si>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</si>
  <si>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</si>
  <si>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</si>
  <si>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</si>
  <si>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</si>
  <si>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</si>
  <si>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</si>
  <si>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</si>
  <si>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</si>
  <si>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</si>
  <si>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</si>
  <si>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</si>
  <si>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</si>
  <si>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</si>
  <si>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</si>
  <si>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</si>
  <si>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</si>
  <si>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</si>
  <si>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</si>
  <si>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</si>
  <si>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</si>
  <si>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</si>
  <si>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</si>
  <si>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</si>
  <si>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</si>
  <si>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</si>
  <si>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</si>
  <si>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</si>
  <si>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</si>
  <si>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</si>
  <si>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</si>
  <si>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</si>
  <si>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</si>
  <si>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</si>
  <si>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</si>
  <si>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</si>
  <si>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</si>
  <si>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</si>
  <si>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</si>
  <si>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</si>
  <si>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</si>
  <si>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</si>
  <si>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</si>
  <si>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</si>
  <si>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</si>
  <si>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</si>
  <si>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</si>
  <si>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</si>
  <si>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</si>
  <si>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</si>
  <si>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</si>
  <si>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</si>
  <si>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</si>
  <si>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</si>
  <si>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</si>
  <si>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</si>
  <si>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</si>
  <si>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</si>
  <si>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</si>
  <si>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</si>
  <si>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</si>
  <si>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</si>
  <si>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</si>
  <si>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</si>
  <si>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</si>
  <si>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</si>
  <si>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</si>
  <si>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</si>
  <si>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</si>
  <si>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</si>
  <si>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</si>
  <si>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</si>
  <si>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</si>
  <si>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</si>
  <si>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</si>
  <si>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</si>
  <si>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</si>
  <si>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</si>
  <si>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</si>
  <si>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</si>
  <si>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</si>
  <si>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</si>
  <si>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</si>
  <si>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</si>
  <si>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</si>
  <si>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</si>
  <si>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</si>
  <si>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</si>
  <si>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</si>
  <si>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</si>
  <si>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</si>
  <si>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</si>
  <si>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</si>
  <si>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</si>
  <si>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</si>
  <si>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</si>
  <si>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</si>
  <si>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</si>
  <si>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</si>
  <si>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</si>
  <si>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</si>
  <si>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</si>
  <si>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</si>
  <si>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</si>
  <si>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</si>
  <si>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</si>
  <si>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</si>
  <si>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</si>
  <si>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</si>
  <si>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</si>
  <si>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</si>
  <si>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</si>
  <si>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</si>
  <si>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</si>
  <si>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</si>
  <si>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</si>
  <si>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</si>
  <si>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</si>
  <si>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</si>
  <si>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</si>
  <si>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</si>
  <si>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</si>
  <si>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</si>
  <si>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</si>
  <si>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</si>
  <si>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</si>
  <si>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</si>
  <si>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</si>
  <si>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</si>
  <si>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</si>
  <si>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</si>
  <si>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</si>
  <si>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</si>
  <si>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</si>
  <si>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</si>
  <si>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</si>
  <si>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</si>
  <si>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</si>
  <si>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</si>
  <si>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</si>
  <si>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</si>
  <si>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</si>
  <si>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</si>
  <si>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</si>
  <si>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</si>
  <si>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</si>
  <si>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</si>
  <si>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</si>
  <si>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</si>
  <si>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</si>
  <si>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</si>
  <si>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</si>
  <si>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</si>
  <si>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</si>
  <si>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</si>
  <si>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</si>
  <si>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</si>
  <si>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</si>
  <si>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</si>
  <si>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</si>
  <si>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</si>
  <si>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</si>
  <si>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</si>
  <si>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</si>
  <si>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</si>
  <si>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</si>
  <si>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</si>
  <si>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</si>
  <si>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</si>
  <si>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</si>
  <si>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</si>
  <si>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</si>
  <si>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</si>
  <si>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</si>
  <si>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</si>
  <si>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</si>
  <si>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</si>
  <si>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</si>
  <si>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</si>
  <si>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</si>
  <si>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</si>
  <si>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</si>
  <si>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</si>
  <si>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</si>
  <si>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</si>
  <si>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</si>
  <si>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</si>
  <si>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</si>
  <si>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</si>
  <si>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</si>
  <si>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</si>
  <si>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</si>
  <si>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</si>
  <si>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</si>
  <si>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</si>
  <si>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</si>
  <si>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</si>
  <si>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</si>
  <si>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</si>
  <si>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</si>
  <si>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</si>
  <si>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</si>
  <si>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</si>
  <si>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</si>
  <si>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</si>
  <si>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</si>
  <si>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</si>
  <si>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</si>
  <si>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</si>
  <si>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</si>
  <si>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</si>
  <si>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</si>
  <si>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</si>
  <si>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</si>
  <si>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</si>
  <si>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</si>
  <si>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</si>
  <si>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</si>
  <si>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</si>
  <si>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</si>
  <si>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</si>
  <si>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</si>
  <si>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</si>
  <si>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</si>
  <si>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</si>
  <si>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</si>
  <si>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</si>
  <si>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</si>
  <si>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</si>
  <si>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</si>
  <si>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</si>
  <si>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</si>
  <si>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</si>
  <si>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</si>
  <si>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</si>
  <si>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</si>
  <si>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</si>
  <si>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</si>
  <si>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</si>
  <si>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</si>
  <si>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</si>
  <si>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</si>
  <si>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</si>
  <si>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</si>
  <si>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</si>
  <si>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</si>
  <si>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</si>
  <si>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</si>
  <si>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</si>
  <si>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27045.00</t>
  </si>
  <si>
    <t xml:space="preserve">442.53</t>
  </si>
  <si>
    <t xml:space="preserve">69019.99</t>
  </si>
  <si>
    <t xml:space="preserve">8.19</t>
  </si>
  <si>
    <t xml:space="preserve">60</t>
  </si>
  <si>
    <t xml:space="preserve">2</t>
  </si>
  <si>
    <t xml:space="preserve">RFL included?</t>
  </si>
  <si>
    <t>NO</t>
  </si>
  <si>
    <t>60</t>
  </si>
  <si>
    <t>Limited Credit</t>
  </si>
  <si>
    <t>YES</t>
  </si>
  <si>
    <t>199.99</t>
  </si>
  <si>
    <t>100</t>
  </si>
  <si>
    <t>0</t>
  </si>
  <si>
    <t>200</t>
  </si>
  <si>
    <t xml:space="preserve"> Terminal pause with 6 down </t>
  </si>
  <si>
    <t>69019.99</t>
  </si>
  <si>
    <t>1000</t>
  </si>
  <si>
    <t>33</t>
  </si>
  <si>
    <t>5000</t>
  </si>
  <si>
    <t>500</t>
  </si>
  <si>
    <t>609.18</t>
  </si>
  <si>
    <t>12</t>
  </si>
  <si>
    <t>239.99</t>
  </si>
  <si>
    <t>50</t>
  </si>
  <si>
    <t>A1 Credit</t>
  </si>
  <si>
    <t>40</t>
  </si>
  <si>
    <t>6000</t>
  </si>
  <si>
    <t>20</t>
  </si>
  <si>
    <t>10</t>
  </si>
  <si>
    <t>1</t>
  </si>
  <si>
    <t>70</t>
  </si>
  <si>
    <t>30</t>
  </si>
  <si>
    <t>8.19</t>
  </si>
  <si>
    <t>2</t>
  </si>
  <si>
    <t>442.53</t>
  </si>
  <si>
    <t>22648.00</t>
  </si>
  <si>
    <t>312.00</t>
  </si>
  <si>
    <t>0.00</t>
  </si>
  <si>
    <t>437.00</t>
  </si>
  <si>
    <t>Yes</t>
  </si>
  <si>
    <t>22650.00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</si>
</sst>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15166.67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405</v>
      </c>
      <c r="B34" s="31"/>
      <c r="C34" s="40" t="s">
        <v>402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400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11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407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422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0.0</v>
      </c>
      <c r="C108" s="22"/>
      <c r="D108" s="22" t="n">
        <v>0.0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18875.0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424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405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0.07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0.07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 t="n">
        <v>0.0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20833.33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C70</f>
        <v>5040</v>
      </c>
      <c r="C70" s="214" t="n">
        <v>10000.0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18875.0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14075.0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50.0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390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0.0</v>
      </c>
      <c r="C108" s="106"/>
      <c r="D108" s="106" t="n">
        <v>0.0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20833.33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6000.0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30.0</v>
      </c>
      <c r="B45" s="214"/>
      <c r="C45" s="459" t="n">
        <v>30.0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10000.0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-366.249833333333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-363.583166666667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-363.583166666667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-363.583166666667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2151.481392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2166.6693405115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180.555778375958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180.555778375958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180.555778375958</v>
      </c>
      <c r="B134" s="320" t="n">
        <f aca="false">IF(A111="YES",B95,0)</f>
        <v>0</v>
      </c>
      <c r="C134" s="324"/>
      <c r="D134" s="320" t="n">
        <f aca="false">B97</f>
        <v>180.555778375958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1625.00200538362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1625.00200538362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180.555778375958</v>
      </c>
      <c r="B143" s="37" t="n">
        <f aca="false">IF(A111="YES",B95,0)</f>
        <v>0</v>
      </c>
      <c r="C143" s="316"/>
      <c r="D143" s="37" t="n">
        <f aca="false">B97</f>
        <v>180.555778375958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180.555778375958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180.555778375958</v>
      </c>
      <c r="B177" s="354" t="n">
        <f aca="false">IF(A111="YES",B95,0)</f>
        <v>0</v>
      </c>
      <c r="C177" s="356"/>
      <c r="D177" s="354" t="n">
        <f aca="false">A177+B177</f>
        <v>180.555778375958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1625.00200538362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1625.00200538362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180.555778375958</v>
      </c>
      <c r="B186" s="102" t="n">
        <f aca="false">IF(A111="YES",B95,0)</f>
        <v>0</v>
      </c>
      <c r="C186" s="352"/>
      <c r="D186" s="102" t="n">
        <f aca="false">B97</f>
        <v>180.555778375958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-316.249833333333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-313.583166666667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-313.583166666667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1792.90116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1808.0891085115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150.674092375958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215.674092375958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150.674092375958</v>
      </c>
      <c r="B134" s="320" t="n">
        <f aca="false">IF(A111="YES",B95,0)</f>
        <v>65</v>
      </c>
      <c r="C134" s="325"/>
      <c r="D134" s="320" t="n">
        <f aca="false">B97</f>
        <v>215.674092375958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1356.06683138362</v>
      </c>
      <c r="C137" s="316"/>
      <c r="D137" s="37" t="n">
        <f aca="false">IF(A111="YES",B95*B63,0)</f>
        <v>585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1941.06683138362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150.674092375958</v>
      </c>
      <c r="B143" s="37" t="n">
        <f aca="false">IF(A111="YES",B95,0)</f>
        <v>65</v>
      </c>
      <c r="C143" s="316"/>
      <c r="D143" s="37" t="n">
        <f aca="false">B97</f>
        <v>215.674092375958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215.674092375958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150.674092375958</v>
      </c>
      <c r="B177" s="354" t="n">
        <f aca="false">IF(A111="YES",B95,0)</f>
        <v>65</v>
      </c>
      <c r="C177" s="357"/>
      <c r="D177" s="354" t="n">
        <f aca="false">B91</f>
        <v>1792.90116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1356.06683138362</v>
      </c>
      <c r="C180" s="352"/>
      <c r="D180" s="102" t="n">
        <f aca="false">IF(A111="YES",B95*B63,0)</f>
        <v>585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1941.06683138362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150.674092375958</v>
      </c>
      <c r="B186" s="102" t="n">
        <f aca="false">IF(A111="YES",B95,0)</f>
        <v>65</v>
      </c>
      <c r="C186" s="352"/>
      <c r="D186" s="102" t="n">
        <f aca="false">B97</f>
        <v>215.674092375958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420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6000</v>
      </c>
      <c r="C91" s="31"/>
      <c r="D91" s="31"/>
      <c r="E91" s="22"/>
      <c r="F91" s="30" t="s">
        <v>107</v>
      </c>
      <c r="G91" s="32" t="n">
        <f aca="false">IF(A111="YES",A43,0)*1.2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390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394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639.20865625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639.20865625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4874.0784004342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4874.0784004342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s">
        <v>407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420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6000</v>
      </c>
      <c r="C91" s="31"/>
      <c r="D91" s="31"/>
      <c r="E91" s="22"/>
      <c r="F91" s="30" t="s">
        <v>107</v>
      </c>
      <c r="G91" s="32" t="n">
        <f aca="false">IF(A111="YES",A43,0)*1.2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19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393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406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239.99</v>
      </c>
      <c r="C191" s="102"/>
      <c r="D191" s="22"/>
      <c r="E191" s="102" t="n">
        <f aca="false">E188+A191+B191+A194</f>
        <v>80448.3427879342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16.40879712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639.210322916667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E188+A210+B191+A194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239.99</v>
      </c>
      <c r="C233" s="102"/>
      <c r="D233" s="112"/>
      <c r="E233" s="102" t="n">
        <f aca="false">E191</f>
        <v>80448.3427879342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49.22639136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16.40879712</v>
      </c>
      <c r="B245" s="102" t="n">
        <f aca="false">E242+A245</f>
        <v>65.63518848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639.210322916667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5421.1527879342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4874.08206710087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5421.1527879342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4874.08206710087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0.0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0.0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2303.8024975</v>
      </c>
      <c r="C64" s="461" t="n">
        <v>10000.0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21166.67</v>
      </c>
      <c r="C7" s="154" t="n">
        <f aca="false">C3-C6</f>
        <v>0</v>
      </c>
      <c r="D7" s="154" t="n">
        <f aca="false">D3-D6</f>
        <v>479.17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295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21645.84</v>
      </c>
      <c r="F9" s="151"/>
      <c r="G9" s="135"/>
      <c r="H9" s="439" t="n">
        <f aca="false">B7+D7+F7+H3</f>
        <v>21645.84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22291.67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4458.334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27045.004</v>
      </c>
      <c r="I15" s="2"/>
      <c r="J15" s="16" t="n">
        <f aca="false">H15</f>
        <v>27045.004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26750.004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27045.004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13.41</v>
      </c>
      <c r="E32" s="225"/>
      <c r="F32" s="62"/>
      <c r="G32" s="226" t="s">
        <v>243</v>
      </c>
      <c r="H32" s="224" t="n">
        <f aca="false">A41</f>
        <v>13.41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513.41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420</v>
      </c>
      <c r="J36" s="43" t="s">
        <v>51</v>
      </c>
      <c r="K36" s="51" t="n">
        <f aca="false">K32-K34</f>
        <v>26045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13.41</v>
      </c>
      <c r="B41" s="240" t="n">
        <f aca="false">IF(B38="YES",D38+A41,D38)</f>
        <v>513.41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13.41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513.773636363636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513.773636363636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26750.004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24745.7297826854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253.5469125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26045</v>
      </c>
      <c r="C81" s="92"/>
      <c r="D81" s="92"/>
      <c r="E81" s="112"/>
      <c r="F81" s="24" t="s">
        <v>106</v>
      </c>
      <c r="G81" s="26" t="n">
        <f aca="false">B81</f>
        <v>26045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21665.1467407538</v>
      </c>
      <c r="C88" s="92" t="n">
        <f aca="false">B81-B86</f>
        <v>21665.1467407538</v>
      </c>
      <c r="D88" s="92"/>
      <c r="E88" s="112"/>
      <c r="F88" s="30" t="s">
        <v>113</v>
      </c>
      <c r="G88" s="32" t="n">
        <f aca="false">G81-G86</f>
        <v>21024.689207262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789.359481845283</v>
      </c>
      <c r="C89" s="92" t="n">
        <f aca="false">(B88/B87)</f>
        <v>789.359481845283</v>
      </c>
      <c r="D89" s="92"/>
      <c r="E89" s="112"/>
      <c r="F89" s="30" t="s">
        <v>114</v>
      </c>
      <c r="G89" s="32" t="n">
        <f aca="false">(G88/G87)</f>
        <v>717.380967190324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25259.5034190491</v>
      </c>
      <c r="C90" s="92"/>
      <c r="D90" s="92"/>
      <c r="E90" s="112"/>
      <c r="F90" s="30" t="s">
        <v>115</v>
      </c>
      <c r="G90" s="32" t="n">
        <f aca="false">((G89*(G85))+G77)</f>
        <v>22956.1909500904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25259.5034190491</v>
      </c>
      <c r="C92" s="92"/>
      <c r="D92" s="92"/>
      <c r="E92" s="112"/>
      <c r="F92" s="55" t="s">
        <v>117</v>
      </c>
      <c r="G92" s="64" t="n">
        <f aca="false">(G90+G91)</f>
        <v>22956.1909500904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21.5733375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789.359481845283</v>
      </c>
      <c r="C95" s="92"/>
      <c r="D95" s="92"/>
      <c r="E95" s="112"/>
      <c r="F95" s="94" t="s">
        <v>119</v>
      </c>
      <c r="G95" s="95" t="n">
        <f aca="false">G92/(G85)</f>
        <v>717.380967190324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810.932819345283</v>
      </c>
      <c r="C96" s="92"/>
      <c r="D96" s="92"/>
      <c r="E96" s="112"/>
      <c r="F96" s="96" t="s">
        <v>120</v>
      </c>
      <c r="G96" s="97" t="n">
        <f aca="false">G94+G95</f>
        <v>717.380967190324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21166.67</v>
      </c>
      <c r="C121" s="120" t="n">
        <f aca="false">B121</f>
        <v>21166.67</v>
      </c>
      <c r="D121" s="119" t="n">
        <f aca="false">D3</f>
        <v>479.17</v>
      </c>
      <c r="E121" s="120" t="n">
        <f aca="false">D121</f>
        <v>479.17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21166.67</v>
      </c>
      <c r="C125" s="132" t="n">
        <f aca="false">C121-C124</f>
        <v>21166.67</v>
      </c>
      <c r="D125" s="131" t="n">
        <f aca="false">D121-D124</f>
        <v>479.17</v>
      </c>
      <c r="E125" s="132" t="n">
        <f aca="false">E121-E124</f>
        <v>479.17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21645.84</v>
      </c>
      <c r="H135" s="152" t="n">
        <f aca="false">C125+E125+G125+H128</f>
        <v>21645.84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4458.334</v>
      </c>
      <c r="H137" s="32" t="n">
        <f aca="false">(H135+H136)*20%</f>
        <v>4458.334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230</v>
      </c>
      <c r="H139" s="32" t="n">
        <f aca="false">G139</f>
        <v>230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27045.004</v>
      </c>
      <c r="H141" s="156" t="n">
        <f aca="false">(H135+H136+H139+H140+H137)-H138</f>
        <v>27045.004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27045.004</v>
      </c>
      <c r="H147" s="163" t="n">
        <f aca="false">H141-((H144*1.2)+(H145*1.2)+(H146*1.2)+(H142*1.2))</f>
        <v>27045.004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-21704.1666666667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27045.004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789.359481845283</v>
      </c>
      <c r="B167" s="176" t="n">
        <f aca="false">B94</f>
        <v>21.5733375</v>
      </c>
      <c r="C167" s="173"/>
      <c r="D167" s="173"/>
      <c r="E167" s="176" t="n">
        <f aca="false">B96</f>
        <v>810.932819345283</v>
      </c>
      <c r="F167" s="22"/>
      <c r="G167" s="22" t="n">
        <f aca="false">ROUND(G95,2)</f>
        <v>717.38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22291.67</v>
      </c>
      <c r="B173" s="102" t="n">
        <f aca="false">H137</f>
        <v>4458.334</v>
      </c>
      <c r="C173" s="185"/>
      <c r="D173" s="22"/>
      <c r="E173" s="181" t="n">
        <f aca="false">H139+H140</f>
        <v>295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27045.004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27045.004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4214.49941904906</v>
      </c>
      <c r="B182" s="102" t="str">
        <f aca="false">B114</f>
        <v>239.99</v>
      </c>
      <c r="C182" s="102"/>
      <c r="D182" s="22"/>
      <c r="E182" s="102" t="n">
        <f aca="false">E179+A182+B182+A185</f>
        <v>31509.4934190491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6.42000096</v>
      </c>
      <c r="B188" s="102" t="n">
        <f aca="false">(G158*B67)/1.2</f>
        <v>211.28909375</v>
      </c>
      <c r="C188" s="92"/>
      <c r="D188" s="92"/>
      <c r="E188" s="102" t="n">
        <f aca="false">IF(E105="YES",(H36*A108)*0.1,0)</f>
        <v>13.2759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324.556660416667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810.932819345283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1911.156</v>
      </c>
      <c r="B201" s="185" t="n">
        <f aca="false">E179+A201+B182+A185</f>
        <v>29206.15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789.359481845283</v>
      </c>
      <c r="B212" s="176" t="n">
        <f aca="false">B167</f>
        <v>21.5733375</v>
      </c>
      <c r="C212" s="173"/>
      <c r="D212" s="173"/>
      <c r="E212" s="176" t="n">
        <f aca="false">E167</f>
        <v>810.932819345283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22291.67</v>
      </c>
      <c r="B215" s="102" t="n">
        <f aca="false">B173</f>
        <v>4458.334</v>
      </c>
      <c r="C215" s="185"/>
      <c r="D215" s="112"/>
      <c r="E215" s="181" t="n">
        <f aca="false">E173</f>
        <v>295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27045.004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27045.004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4214.49941904906</v>
      </c>
      <c r="B224" s="102" t="str">
        <f aca="false">B182</f>
        <v>239.99</v>
      </c>
      <c r="C224" s="102"/>
      <c r="D224" s="112"/>
      <c r="E224" s="102" t="n">
        <f aca="false">E182</f>
        <v>31509.4934190491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789.359481845283</v>
      </c>
      <c r="B230" s="102" t="n">
        <f aca="false">B167</f>
        <v>21.5733375</v>
      </c>
      <c r="C230" s="185"/>
      <c r="D230" s="185"/>
      <c r="E230" s="102" t="n">
        <f aca="false">E167</f>
        <v>810.932819345283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19.26000288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6.42000096</v>
      </c>
      <c r="B236" s="102" t="n">
        <f aca="false">E233+A236</f>
        <v>25.68000384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211.28909375</v>
      </c>
      <c r="C240" s="92"/>
      <c r="D240" s="92"/>
      <c r="E240" s="102" t="n">
        <f aca="false">IF(E105="YES",(H36*A108)*0.1,0)</f>
        <v>13.2759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324.556660416667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2313.34341904906</v>
      </c>
      <c r="C254" s="196"/>
      <c r="D254" s="197" t="s">
        <v>217</v>
      </c>
      <c r="E254" s="197"/>
      <c r="F254" s="199" t="n">
        <f aca="false">F261+F267+F269+B270+B271</f>
        <v>253.5469125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232.750666666667</v>
      </c>
      <c r="C255" s="196"/>
      <c r="D255" s="197" t="s">
        <v>219</v>
      </c>
      <c r="E255" s="197"/>
      <c r="F255" s="199" t="n">
        <f aca="false">(B254-F254)+B255</f>
        <v>2292.54717321572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2313.34341904906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253.5469125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132.759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2292.54717321572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199.99</v>
      </c>
      <c r="C182" s="102"/>
      <c r="D182" s="22"/>
      <c r="E182" s="102" t="n">
        <f aca="false">E179+A182+(B182*1.2)+A185</f>
        <v>80448.3431197443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199.99</v>
      </c>
      <c r="C224" s="102"/>
      <c r="D224" s="112"/>
      <c r="E224" s="102" t="n">
        <f aca="false">E182</f>
        <v>80448.3431197443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13.6739976</v>
      </c>
      <c r="B236" s="102" t="n">
        <f aca="false">E233+A236</f>
        <v>54.6959904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4874.08273224425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4874.08273224425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419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420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239.99</v>
      </c>
      <c r="C182" s="102"/>
      <c r="D182" s="22"/>
      <c r="E182" s="102" t="n">
        <f aca="false">E179+A182+B182+A185</f>
        <v>80448.3451197443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16.40879712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639.210322916667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E179+A201+B182+A185</f>
        <v>75037.19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239.99</v>
      </c>
      <c r="C224" s="102"/>
      <c r="D224" s="112"/>
      <c r="E224" s="102" t="n">
        <f aca="false">E182</f>
        <v>80448.3451197443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16.40879712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639.210322916667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4874.08439891091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4874.08439891091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421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10.647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1029.58657801085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10.647</v>
      </c>
      <c r="C134" s="325"/>
      <c r="D134" s="320" t="n">
        <f aca="false">B97</f>
        <v>1029.58657801085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9170.45620209762</v>
      </c>
      <c r="C137" s="316"/>
      <c r="D137" s="37" t="n">
        <f aca="false">IF(A111="YES",B95*B63,0)</f>
        <v>95.823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9266.27920209762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10.647</v>
      </c>
      <c r="C143" s="316"/>
      <c r="D143" s="37" t="n">
        <f aca="false">B97</f>
        <v>1029.58657801085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1186.63828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1029.58657801085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10.647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9170.45620209762</v>
      </c>
      <c r="C180" s="352"/>
      <c r="D180" s="102" t="n">
        <f aca="false">IF(A111="YES",B95*B63,0)</f>
        <v>95.823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9266.27920209762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10.647</v>
      </c>
      <c r="C186" s="352"/>
      <c r="D186" s="102" t="n">
        <f aca="false">B97</f>
        <v>1029.58657801085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1186.63828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4471.67328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4471.67328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1238.15599874708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12.7764</v>
      </c>
      <c r="C134" s="325"/>
      <c r="D134" s="320" t="n">
        <f aca="false">B97</f>
        <v>1238.15599874708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11028.4163887237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11143.4039887237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12.7764</v>
      </c>
      <c r="C143" s="316"/>
      <c r="D143" s="37" t="n">
        <f aca="false">B97</f>
        <v>1238.15599874708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1186.63994666667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1238.15599874708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12.7764</v>
      </c>
      <c r="C177" s="357"/>
      <c r="D177" s="354" t="n">
        <f aca="false">B91</f>
        <v>14601.478992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11028.4163887237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11143.4039887237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12.7764</v>
      </c>
      <c r="C186" s="352"/>
      <c r="D186" s="102" t="n">
        <f aca="false">B97</f>
        <v>1238.15599874708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1186.63994666667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4471.67494666667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4471.67494666667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29358.33</v>
      </c>
      <c r="C3" s="495" t="n">
        <v>0.0</v>
      </c>
      <c r="D3" s="495" t="n">
        <v>958.33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11.0</v>
      </c>
      <c r="C4" s="497" t="n">
        <v>0.0</v>
      </c>
      <c r="D4" s="497" t="n">
        <v>11.0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32.0</v>
      </c>
      <c r="C5" s="495" t="n">
        <v>0.0</v>
      </c>
      <c r="D5" s="495" t="n">
        <v>120.0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110.0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180.0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24.0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C70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423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8.19</v>
      </c>
      <c r="B41" s="240" t="n">
        <f aca="false">IF(B38="YES",D38+A41,D38)</f>
        <v>560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396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C70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1096.93957801085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263</v>
      </c>
      <c r="C105" s="311"/>
      <c r="D105" s="418" t="n">
        <v>6300.0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423</v>
      </c>
      <c r="B111" s="313" t="n">
        <v>20.0</v>
      </c>
      <c r="C111" s="313"/>
      <c r="D111" s="106" t="n">
        <v>440.0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78</v>
      </c>
      <c r="C134" s="325"/>
      <c r="D134" s="320" t="n">
        <f aca="false">B97</f>
        <v>1096.93957801085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1018.93957801085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1096.93957801085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78</v>
      </c>
      <c r="C143" s="316"/>
      <c r="D143" s="37" t="n">
        <f aca="false">B97</f>
        <v>1096.93957801085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1519.26295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1479.26495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IF(A111="YES",(A41/100*B111)*B131,0)*0.1</f>
        <v>21.6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1205.28988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1096.93957801085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78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1018.93957801085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1096.93957801085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78</v>
      </c>
      <c r="C186" s="352"/>
      <c r="D186" s="102" t="n">
        <f aca="false">B97</f>
        <v>1096.93957801085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21.6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1205.28988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555.99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4658.18928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4658.18928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216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str">
        <f aca="false">IF(B38="YES",D38+A41,D38)</f>
        <v>500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1225.37959874708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0</v>
      </c>
      <c r="C134" s="325"/>
      <c r="D134" s="320" t="n">
        <f aca="false">B97</f>
        <v>1225.37959874708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1225.37959874708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1225.37959874708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0</v>
      </c>
      <c r="C143" s="316"/>
      <c r="D143" s="37" t="n">
        <f aca="false">B97</f>
        <v>1225.37959874708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1225.37959874708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0</v>
      </c>
      <c r="C177" s="357"/>
      <c r="D177" s="354" t="n">
        <f aca="false">B97</f>
        <v>1225.37959874708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1225.37959874708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1225.37959874708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0</v>
      </c>
      <c r="C186" s="352"/>
      <c r="D186" s="102" t="n">
        <f aca="false">B97</f>
        <v>1225.37959874708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n">
        <f aca="false">IF(B38="YES",D38+A41,D38)</f>
        <v>550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1087.58127941374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65</v>
      </c>
      <c r="C134" s="325"/>
      <c r="D134" s="320" t="n">
        <f aca="false">B97</f>
        <v>1087.58127941374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1022.58127941374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1087.58127941374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65</v>
      </c>
      <c r="C143" s="316"/>
      <c r="D143" s="37" t="n">
        <f aca="false">B97</f>
        <v>1087.58127941374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1516.86295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1476.86495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1087.58127941374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65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1022.58127941374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1087.58127941374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65</v>
      </c>
      <c r="C186" s="352"/>
      <c r="D186" s="102" t="n">
        <f aca="false">B97</f>
        <v>1087.58127941374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0.07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609.1800000000001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423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0.07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IF(A111="YES",D41,0)*1.2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423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5000.0</v>
      </c>
      <c r="C111" s="106"/>
      <c r="D111" s="106"/>
      <c r="E111" s="106" t="n">
        <v>4000.0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11178.41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80448.388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11178.41</v>
      </c>
      <c r="B224" s="102" t="str">
        <f aca="false">B182</f>
        <v>199.99</v>
      </c>
      <c r="C224" s="102"/>
      <c r="D224" s="112"/>
      <c r="E224" s="102" t="n">
        <f aca="false">E182</f>
        <v>80448.388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5421.20000000001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4874.12761250001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5421.20000000001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4874.12761250001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36.0</v>
      </c>
      <c r="P29" s="211"/>
    </row>
    <row r="30" customFormat="false" ht="17.9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28050.0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1711.27399140932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1622.44399140932</v>
      </c>
      <c r="B36" s="231" t="n">
        <f aca="false">IF(B26="YES",K42,"0.00")</f>
        <v>88.83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28851.1624303507</v>
      </c>
      <c r="N39" s="1" t="n">
        <f aca="false">K39-L39</f>
        <v>28773.8275696493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n">
        <f aca="false">IF(B26="YES",K42,"0.00")</f>
        <v>88.83</v>
      </c>
      <c r="C40" s="106"/>
      <c r="D40" s="106"/>
      <c r="E40" s="181" t="n">
        <f aca="false">K32</f>
        <v>3109.05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28773.8275696493</v>
      </c>
      <c r="N40" s="1" t="n">
        <f aca="false">N38-N39</f>
        <v>-25862.1475696493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88.83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51229.2944716077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1622.44399140932</v>
      </c>
      <c r="L47" s="2" t="n">
        <f aca="false">L49-K42</f>
        <v>711.17</v>
      </c>
      <c r="M47" s="1" t="n">
        <f aca="false">K47-L47</f>
        <v>911.273991409321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1711.27399140932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1711.27399140932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30450.4410981286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-5415.50814104921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-403.531775903641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-403.531775903641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1622.44399140932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1622.44399140932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1711.27399140932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1711.27399140932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73644.2708907936</v>
      </c>
      <c r="C88" s="92"/>
      <c r="D88" s="92"/>
      <c r="E88" s="112"/>
      <c r="F88" s="30" t="s">
        <v>113</v>
      </c>
      <c r="G88" s="32" t="n">
        <f aca="false">G81-G86</f>
        <v>72604.3794972305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2565.76414110161</v>
      </c>
      <c r="C89" s="92"/>
      <c r="D89" s="92"/>
      <c r="E89" s="112"/>
      <c r="F89" s="30" t="s">
        <v>114</v>
      </c>
      <c r="G89" s="32" t="n">
        <f aca="false">(G88/G87)</f>
        <v>2360.38303272053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87235.9807974548</v>
      </c>
      <c r="C90" s="92"/>
      <c r="D90" s="92"/>
      <c r="E90" s="112"/>
      <c r="F90" s="30" t="s">
        <v>115</v>
      </c>
      <c r="G90" s="32" t="n">
        <f aca="false">((G89*(G85))+G77)</f>
        <v>80253.0231124979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87235.9807974548</v>
      </c>
      <c r="C92" s="92"/>
      <c r="D92" s="92"/>
      <c r="E92" s="112"/>
      <c r="F92" s="55" t="s">
        <v>117</v>
      </c>
      <c r="G92" s="64" t="n">
        <f aca="false">(G90+G91)</f>
        <v>80253.0231124979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109.731176470588</v>
      </c>
      <c r="C94" s="92"/>
      <c r="D94" s="92"/>
      <c r="E94" s="112"/>
      <c r="F94" s="87" t="s">
        <v>118</v>
      </c>
      <c r="G94" s="93" t="n">
        <f aca="false">IF(B26="YES",((E40/B85)*(1+A108)*(C45/100)),"0")</f>
        <v>109.731176470588</v>
      </c>
      <c r="H94" s="32"/>
      <c r="J94" s="87" t="s">
        <v>118</v>
      </c>
      <c r="K94" s="88" t="n">
        <f aca="false">((E40/K85)*(1+J108))*1.2</f>
        <v>138.5748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109.731176470588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131.677411764706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2565.76414110161</v>
      </c>
      <c r="C95" s="92"/>
      <c r="D95" s="92"/>
      <c r="E95" s="112"/>
      <c r="F95" s="94" t="s">
        <v>119</v>
      </c>
      <c r="G95" s="95" t="n">
        <f aca="false">G92/(G85)</f>
        <v>2360.38303272053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2675.4953175722</v>
      </c>
      <c r="C96" s="92"/>
      <c r="D96" s="92"/>
      <c r="E96" s="112"/>
      <c r="F96" s="96" t="s">
        <v>120</v>
      </c>
      <c r="G96" s="97" t="n">
        <f aca="false">G94+G95</f>
        <v>2470.11420919111</v>
      </c>
      <c r="H96" s="32"/>
      <c r="J96" s="96" t="s">
        <v>120</v>
      </c>
      <c r="K96" s="97" t="n">
        <f aca="false">(K94+K95)</f>
        <v>1649.45808112579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1768.02552715949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1789.97176245361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390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-16658.749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2565.76414110161</v>
      </c>
      <c r="B167" s="176" t="n">
        <f aca="false">B94</f>
        <v>109.731176470588</v>
      </c>
      <c r="C167" s="173"/>
      <c r="D167" s="173"/>
      <c r="E167" s="176" t="n">
        <f aca="false">B96</f>
        <v>2675.4953175722</v>
      </c>
      <c r="F167" s="22"/>
      <c r="G167" s="22" t="n">
        <f aca="false">ROUND(G95,2)</f>
        <v>2360.38</v>
      </c>
      <c r="H167" s="32"/>
      <c r="J167" s="175" t="n">
        <f aca="false">K95</f>
        <v>1510.88328112579</v>
      </c>
      <c r="K167" s="176" t="n">
        <f aca="false">K94</f>
        <v>138.5748</v>
      </c>
      <c r="L167" s="173"/>
      <c r="M167" s="173"/>
      <c r="N167" s="176" t="n">
        <f aca="false">K96</f>
        <v>1649.45808112579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109.731176470588</v>
      </c>
      <c r="U167" s="173"/>
      <c r="V167" s="173"/>
      <c r="W167" s="176" t="n">
        <f aca="false">T96</f>
        <v>1768.02552715949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131.677411764706</v>
      </c>
      <c r="AD167" s="173"/>
      <c r="AE167" s="173"/>
      <c r="AF167" s="176" t="n">
        <f aca="false">AC96</f>
        <v>1789.97176245361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16374.36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96948.328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13.6739976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62.181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93.2715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62.181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62.181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817.592397222222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3561.09979513889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1597.58388767361</v>
      </c>
      <c r="U191" s="92"/>
      <c r="V191" s="92"/>
      <c r="W191" s="102" t="n">
        <f aca="false">Z148</f>
        <v>-16658.749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1637.58388767361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2675.4953175722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1649.45808112579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1768.02552715949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1789.97176245361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9391.43599999999</v>
      </c>
      <c r="B201" s="185" t="n">
        <f aca="false">E179+A201+(B182*1.2)+A185</f>
        <v>89965.408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2565.76414110161</v>
      </c>
      <c r="B212" s="176" t="n">
        <f aca="false">B167</f>
        <v>109.731176470588</v>
      </c>
      <c r="C212" s="173"/>
      <c r="D212" s="173"/>
      <c r="E212" s="176" t="n">
        <f aca="false">E167</f>
        <v>2675.4953175722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16374.36</v>
      </c>
      <c r="B224" s="102" t="str">
        <f aca="false">B182</f>
        <v>199.99</v>
      </c>
      <c r="C224" s="102"/>
      <c r="D224" s="112"/>
      <c r="E224" s="102" t="n">
        <f aca="false">E182</f>
        <v>96948.328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2565.76414110161</v>
      </c>
      <c r="B230" s="102" t="n">
        <f aca="false">B167</f>
        <v>109.731176470588</v>
      </c>
      <c r="C230" s="185"/>
      <c r="D230" s="185"/>
      <c r="E230" s="102" t="n">
        <f aca="false">E167</f>
        <v>2675.4953175722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62.181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12320.9223972222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6992.92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721.8</v>
      </c>
      <c r="C255" s="196"/>
      <c r="D255" s="197" t="s">
        <v>219</v>
      </c>
      <c r="E255" s="197"/>
      <c r="F255" s="199" t="n">
        <f aca="false">(B254-F254)+B255</f>
        <v>6928.21432333333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6992.92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621.81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6928.21432333333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2490.0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1703.46527337661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1703.46527337661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29097.7257124496</v>
      </c>
      <c r="N39" s="1" t="n">
        <f aca="false">K39-L39</f>
        <v>28527.2642875504</v>
      </c>
      <c r="P39" s="211"/>
    </row>
    <row r="40" customFormat="false" ht="19.5" hidden="false" customHeight="false" outlineLevel="0" collapsed="false">
      <c r="A40" s="106" t="n">
        <f aca="false">E36*A45/100</f>
        <v>5825.0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28527.2642875504</v>
      </c>
      <c r="N40" s="1" t="n">
        <f aca="false">N38-N39</f>
        <v>-25615.5842875504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3837.41731703539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53787.5726829646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1703.46527337661</v>
      </c>
      <c r="L47" s="2" t="n">
        <f aca="false">L49-K42</f>
        <v>800</v>
      </c>
      <c r="M47" s="1" t="n">
        <f aca="false">K47-L47</f>
        <v>903.46527337661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1703.46527337661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1703.46527337661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30779.7018297299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-8251.25300990434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19691.725290374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-126.943490093159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1703.46527337661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1703.46527337661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1703.46527337661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1703.46527337661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4007.82786552385</v>
      </c>
      <c r="C86" s="92"/>
      <c r="D86" s="92"/>
      <c r="E86" s="112"/>
      <c r="F86" s="30" t="s">
        <v>111</v>
      </c>
      <c r="G86" s="32" t="n">
        <f aca="false">(G82/((1+G84)^(G85+1)))</f>
        <v>4631.76270166172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76316.1561344762</v>
      </c>
      <c r="C88" s="92"/>
      <c r="D88" s="92"/>
      <c r="E88" s="112"/>
      <c r="F88" s="30" t="s">
        <v>113</v>
      </c>
      <c r="G88" s="32" t="n">
        <f aca="false">G81-G86</f>
        <v>75692.2212983383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2658.85254111504</v>
      </c>
      <c r="C89" s="92"/>
      <c r="D89" s="92"/>
      <c r="E89" s="112"/>
      <c r="F89" s="30" t="s">
        <v>114</v>
      </c>
      <c r="G89" s="32" t="n">
        <f aca="false">(G88/G87)</f>
        <v>2460.76939295845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90400.9863979113</v>
      </c>
      <c r="C90" s="92"/>
      <c r="D90" s="92"/>
      <c r="E90" s="112"/>
      <c r="F90" s="30" t="s">
        <v>115</v>
      </c>
      <c r="G90" s="32" t="n">
        <f aca="false">((G89*(G85))+G77)</f>
        <v>83666.1593605874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90400.9863979113</v>
      </c>
      <c r="C92" s="92"/>
      <c r="D92" s="92"/>
      <c r="E92" s="112"/>
      <c r="F92" s="55" t="s">
        <v>117</v>
      </c>
      <c r="G92" s="64" t="n">
        <f aca="false">(G90+G91)</f>
        <v>83666.1593605874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2658.85254111504</v>
      </c>
      <c r="C95" s="92"/>
      <c r="D95" s="92"/>
      <c r="E95" s="112"/>
      <c r="F95" s="94" t="s">
        <v>119</v>
      </c>
      <c r="G95" s="95" t="n">
        <f aca="false">G92/(G85)</f>
        <v>2460.76939295845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2658.85254111504</v>
      </c>
      <c r="C96" s="92"/>
      <c r="D96" s="92"/>
      <c r="E96" s="112"/>
      <c r="F96" s="96" t="s">
        <v>120</v>
      </c>
      <c r="G96" s="97" t="n">
        <f aca="false">G94+G95</f>
        <v>2460.76939295845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2658.85254111504</v>
      </c>
      <c r="B167" s="176" t="str">
        <f aca="false">B94</f>
        <v>0</v>
      </c>
      <c r="C167" s="173"/>
      <c r="D167" s="173"/>
      <c r="E167" s="176" t="n">
        <f aca="false">B96</f>
        <v>2658.85254111504</v>
      </c>
      <c r="F167" s="22"/>
      <c r="G167" s="22" t="n">
        <f aca="false">ROUND(G95,2)</f>
        <v>2460.77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15754.42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96328.39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755.413063888889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2658.85254111504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9019.69599999998</v>
      </c>
      <c r="B201" s="185" t="n">
        <f aca="false">E179+A201+B182+A185</f>
        <v>89593.67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2658.85254111504</v>
      </c>
      <c r="B212" s="176" t="str">
        <f aca="false">B167</f>
        <v>0</v>
      </c>
      <c r="C212" s="173"/>
      <c r="D212" s="173"/>
      <c r="E212" s="176" t="n">
        <f aca="false">E167</f>
        <v>2658.85254111504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15754.42</v>
      </c>
      <c r="B224" s="102" t="str">
        <f aca="false">B182</f>
        <v>239.99</v>
      </c>
      <c r="C224" s="102"/>
      <c r="D224" s="112"/>
      <c r="E224" s="102" t="n">
        <f aca="false">E182</f>
        <v>96328.39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2658.85254111504</v>
      </c>
      <c r="B230" s="102" t="str">
        <f aca="false">B167</f>
        <v>0</v>
      </c>
      <c r="C230" s="185"/>
      <c r="D230" s="185"/>
      <c r="E230" s="102" t="n">
        <f aca="false">E167</f>
        <v>2658.85254111504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12258.7430638889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6744.72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6058.20599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6744.72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6058.20599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1494.0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1769.55463239297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1662.95463239297</v>
      </c>
      <c r="B36" s="231" t="n">
        <f aca="false">IF(B26="YES",K42,"0.00")</f>
        <v>106.6</v>
      </c>
      <c r="C36" s="231"/>
      <c r="D36" s="231"/>
      <c r="E36" s="231" t="n">
        <f aca="false">K31</f>
        <v>7570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27010.9287244391</v>
      </c>
      <c r="N39" s="1" t="n">
        <f aca="false">K39-L39</f>
        <v>30614.0612755609</v>
      </c>
      <c r="P39" s="211"/>
    </row>
    <row r="40" customFormat="false" ht="19.5" hidden="false" customHeight="false" outlineLevel="0" collapsed="false">
      <c r="A40" s="312" t="n">
        <f aca="false">E36*A45/100</f>
        <v>5825.0</v>
      </c>
      <c r="B40" s="106" t="n">
        <f aca="false">IF(B26="YES",K42,"0.00")</f>
        <v>106.6</v>
      </c>
      <c r="C40" s="106"/>
      <c r="D40" s="106"/>
      <c r="E40" s="181" t="n">
        <f aca="false">K32</f>
        <v>3731</v>
      </c>
      <c r="F40" s="185"/>
      <c r="G40" s="185"/>
      <c r="H40" s="46"/>
      <c r="J40" s="2" t="s">
        <v>107</v>
      </c>
      <c r="K40" s="2" t="n">
        <f aca="false">(A40)/1.2</f>
        <v>6308.33333333333</v>
      </c>
      <c r="L40" s="2" t="n">
        <f aca="false">K39-L39</f>
        <v>30614.0612755609</v>
      </c>
      <c r="N40" s="1" t="n">
        <f aca="false">N38-N39</f>
        <v>-27702.3812755609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106.6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5116.55642271386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52508.4335772862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1662.95463239297</v>
      </c>
      <c r="L47" s="2" t="n">
        <f aca="false">L49-K42</f>
        <v>693.4</v>
      </c>
      <c r="M47" s="1" t="n">
        <f aca="false">K47-L47</f>
        <v>969.554632392966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1769.55463239297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1769.55463239297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32510.3657969114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-6833.38057547678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19553.4311474688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-265.237632998396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668.476952777778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1662.95463239297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1662.95463239297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1769.55463239297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1769.55463239297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81923.984</v>
      </c>
      <c r="C81" s="92"/>
      <c r="D81" s="92"/>
      <c r="E81" s="112"/>
      <c r="F81" s="24" t="s">
        <v>106</v>
      </c>
      <c r="G81" s="26" t="n">
        <f aca="false">G158</f>
        <v>81923.984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7570</v>
      </c>
      <c r="C82" s="92"/>
      <c r="D82" s="92"/>
      <c r="E82" s="112"/>
      <c r="F82" s="30" t="s">
        <v>107</v>
      </c>
      <c r="G82" s="32" t="n">
        <f aca="false">IF(A111="YES",A40,0)</f>
        <v>7570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7570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7570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5343.77048736513</v>
      </c>
      <c r="C86" s="92"/>
      <c r="D86" s="92"/>
      <c r="E86" s="112"/>
      <c r="F86" s="30" t="s">
        <v>111</v>
      </c>
      <c r="G86" s="32" t="n">
        <f aca="false">(G82/((1+G84)^(G85+1)))</f>
        <v>6175.68360221563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5176.76434574659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5176.76434574659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76580.2135126349</v>
      </c>
      <c r="C88" s="92"/>
      <c r="D88" s="92"/>
      <c r="E88" s="112"/>
      <c r="F88" s="30" t="s">
        <v>113</v>
      </c>
      <c r="G88" s="32" t="n">
        <f aca="false">G81-G86</f>
        <v>75748.3003977844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64666.7361642534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48184.4746542534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2668.05229207839</v>
      </c>
      <c r="C89" s="92"/>
      <c r="D89" s="92"/>
      <c r="E89" s="112"/>
      <c r="F89" s="30" t="s">
        <v>114</v>
      </c>
      <c r="G89" s="32" t="n">
        <f aca="false">(G88/G87)</f>
        <v>2462.59253580107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2286.96597885949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1704.06395590457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90713.7779306652</v>
      </c>
      <c r="C90" s="92"/>
      <c r="D90" s="92"/>
      <c r="E90" s="112"/>
      <c r="F90" s="30" t="s">
        <v>115</v>
      </c>
      <c r="G90" s="32" t="n">
        <f aca="false">((G89*(G85))+G77)</f>
        <v>83728.1462172363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77756.8432812226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57938.1745007554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90713.7779306652</v>
      </c>
      <c r="C92" s="92"/>
      <c r="D92" s="92"/>
      <c r="E92" s="112"/>
      <c r="F92" s="55" t="s">
        <v>117</v>
      </c>
      <c r="G92" s="64" t="n">
        <f aca="false">(G90+G91)</f>
        <v>83728.1462172363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77756.8432812226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57938.1745007554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171.187058823529</v>
      </c>
      <c r="C94" s="92"/>
      <c r="D94" s="92"/>
      <c r="E94" s="112"/>
      <c r="F94" s="87" t="s">
        <v>118</v>
      </c>
      <c r="G94" s="93" t="n">
        <f aca="false">IF(B26="YES",((E40/B85)*(1+A108)*(C45/100)),"0")</f>
        <v>142.655882352941</v>
      </c>
      <c r="H94" s="32"/>
      <c r="J94" s="87" t="s">
        <v>118</v>
      </c>
      <c r="K94" s="88" t="n">
        <f aca="false">((E40/K85)*(1+J108))*1.2</f>
        <v>166.296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131.682352941176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158.018823529412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2668.05229207839</v>
      </c>
      <c r="C95" s="92"/>
      <c r="D95" s="92"/>
      <c r="E95" s="112"/>
      <c r="F95" s="94" t="s">
        <v>119</v>
      </c>
      <c r="G95" s="95" t="n">
        <f aca="false">G92/(G85)</f>
        <v>2462.59253580107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2286.96597885949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1704.06395590457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2839.23935090192</v>
      </c>
      <c r="C96" s="92"/>
      <c r="D96" s="92"/>
      <c r="E96" s="112"/>
      <c r="F96" s="96" t="s">
        <v>120</v>
      </c>
      <c r="G96" s="97" t="n">
        <f aca="false">G94+G95</f>
        <v>2605.24841815401</v>
      </c>
      <c r="H96" s="32"/>
      <c r="J96" s="96" t="s">
        <v>120</v>
      </c>
      <c r="K96" s="97" t="n">
        <f aca="false">(K94+K95)</f>
        <v>1677.17928112579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2418.64833180066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1862.08277943398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-58683.8783333333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81923.984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2668.05229207839</v>
      </c>
      <c r="B167" s="176" t="n">
        <f aca="false">B94</f>
        <v>171.187058823529</v>
      </c>
      <c r="C167" s="173"/>
      <c r="D167" s="173"/>
      <c r="E167" s="176" t="n">
        <f aca="false">B96</f>
        <v>2839.23935090192</v>
      </c>
      <c r="F167" s="22"/>
      <c r="G167" s="22" t="n">
        <f aca="false">ROUND(G95,2)</f>
        <v>2462.59</v>
      </c>
      <c r="H167" s="32"/>
      <c r="J167" s="175" t="n">
        <f aca="false">K95</f>
        <v>1510.88328112579</v>
      </c>
      <c r="K167" s="176" t="n">
        <f aca="false">K94</f>
        <v>166.296</v>
      </c>
      <c r="L167" s="173"/>
      <c r="M167" s="173"/>
      <c r="N167" s="176" t="n">
        <f aca="false">K96</f>
        <v>1677.17928112579</v>
      </c>
      <c r="O167" s="22"/>
      <c r="P167" s="22"/>
      <c r="Q167" s="32"/>
      <c r="S167" s="175" t="n">
        <f aca="false">T95</f>
        <v>2286.96597885949</v>
      </c>
      <c r="T167" s="176" t="n">
        <f aca="false">T94</f>
        <v>131.682352941176</v>
      </c>
      <c r="U167" s="173"/>
      <c r="V167" s="173"/>
      <c r="W167" s="176" t="n">
        <f aca="false">T96</f>
        <v>2418.64833180066</v>
      </c>
      <c r="X167" s="22"/>
      <c r="Y167" s="22"/>
      <c r="Z167" s="32"/>
      <c r="AB167" s="175" t="n">
        <f aca="false">AC95</f>
        <v>1704.06395590457</v>
      </c>
      <c r="AC167" s="176" t="n">
        <f aca="false">AC94</f>
        <v>158.018823529412</v>
      </c>
      <c r="AD167" s="173"/>
      <c r="AE167" s="173"/>
      <c r="AF167" s="176" t="n">
        <f aca="false">AC96</f>
        <v>1862.08277943398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7570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7570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7570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7570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81923.984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16359.72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98533.69</v>
      </c>
      <c r="F182" s="22"/>
      <c r="G182" s="22"/>
      <c r="H182" s="104"/>
      <c r="J182" s="110" t="n">
        <f aca="false">(J167*K59)+N185-N179-J185</f>
        <v>21170.035558277</v>
      </c>
      <c r="K182" s="102" t="n">
        <f aca="false">K114</f>
        <v>239.99</v>
      </c>
      <c r="L182" s="102"/>
      <c r="M182" s="22"/>
      <c r="N182" s="102" t="n">
        <f aca="false">N179+J182+K182+J185</f>
        <v>59200.021558277</v>
      </c>
      <c r="O182" s="22"/>
      <c r="P182" s="22"/>
      <c r="Q182" s="104"/>
      <c r="S182" s="110" t="n">
        <f aca="false">(S167*T59)+W185-W179-S185</f>
        <v>15483.3427712226</v>
      </c>
      <c r="T182" s="102" t="n">
        <f aca="false">T114</f>
        <v>199.99</v>
      </c>
      <c r="U182" s="102"/>
      <c r="V182" s="22"/>
      <c r="W182" s="102" t="n">
        <f aca="false">W179+S182+T182+S185</f>
        <v>85536.8332812226</v>
      </c>
      <c r="X182" s="22"/>
      <c r="Y182" s="22"/>
      <c r="Z182" s="104"/>
      <c r="AB182" s="110" t="n">
        <f aca="false">(AB167*AC59)+AF185-AF179-AB185</f>
        <v>12146.9355007554</v>
      </c>
      <c r="AC182" s="102" t="n">
        <f aca="false">AC114</f>
        <v>239.99</v>
      </c>
      <c r="AD182" s="102"/>
      <c r="AE182" s="22"/>
      <c r="AF182" s="102" t="n">
        <f aca="false">AF179+AB182+AC182+AB185</f>
        <v>65758.1645007554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7580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7590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7580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7580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0.136739976</v>
      </c>
      <c r="B188" s="102" t="n">
        <f aca="false">(G158*B67)/1.2</f>
        <v>668.476952777778</v>
      </c>
      <c r="C188" s="92"/>
      <c r="D188" s="92"/>
      <c r="E188" s="102" t="n">
        <f aca="false">(E40*A108)*0.1*C45/100</f>
        <v>111.93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111.93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74.62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74.62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880.398619444444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3579.75829513889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1744.51356318924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1650.02288767361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2839.23935090192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1677.17928112579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2418.64833180066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1862.08277943398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9374.07599999999</v>
      </c>
      <c r="B201" s="185" t="n">
        <f aca="false">E179+A201+B182+A185</f>
        <v>91548.05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2668.05229207839</v>
      </c>
      <c r="B212" s="176" t="n">
        <f aca="false">B167</f>
        <v>171.187058823529</v>
      </c>
      <c r="C212" s="173"/>
      <c r="D212" s="173"/>
      <c r="E212" s="176" t="n">
        <f aca="false">E167</f>
        <v>2839.23935090192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81923.984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16359.72</v>
      </c>
      <c r="B224" s="102" t="str">
        <f aca="false">B182</f>
        <v>239.99</v>
      </c>
      <c r="C224" s="102"/>
      <c r="D224" s="112"/>
      <c r="E224" s="102" t="n">
        <f aca="false">E182</f>
        <v>98533.69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2668.05229207839</v>
      </c>
      <c r="B230" s="102" t="n">
        <f aca="false">B167</f>
        <v>171.187058823529</v>
      </c>
      <c r="C230" s="185"/>
      <c r="D230" s="185"/>
      <c r="E230" s="102" t="n">
        <f aca="false">E167</f>
        <v>2839.23935090192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7570</v>
      </c>
      <c r="B233" s="102" t="n">
        <f aca="false">E185</f>
        <v>7580</v>
      </c>
      <c r="C233" s="92"/>
      <c r="D233" s="92"/>
      <c r="E233" s="102" t="n">
        <f aca="false">J18*0.000006*100*1.2</f>
        <v>49.22639136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16.40879712</v>
      </c>
      <c r="B236" s="102" t="n">
        <f aca="false">E233+A236</f>
        <v>65.63518848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668.476952777778</v>
      </c>
      <c r="C240" s="92"/>
      <c r="D240" s="92"/>
      <c r="E240" s="102" t="n">
        <f aca="false">E188</f>
        <v>111.93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12383.7286194444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6995.64</v>
      </c>
      <c r="C254" s="196"/>
      <c r="D254" s="197" t="s">
        <v>217</v>
      </c>
      <c r="E254" s="197"/>
      <c r="F254" s="199" t="n">
        <f aca="false">F261+F267+F269+B270+B271</f>
        <v>802.172343333334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1219.29166666667</v>
      </c>
      <c r="C255" s="196"/>
      <c r="D255" s="197" t="s">
        <v>219</v>
      </c>
      <c r="E255" s="197"/>
      <c r="F255" s="199" t="n">
        <f aca="false">(B254-F254)+B255</f>
        <v>7412.75932333333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6995.64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802.172343333334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1119.3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7412.75932333333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11355.0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1689.39538594558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1689.39538594558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29338.4625055488</v>
      </c>
      <c r="N39" s="1" t="n">
        <f aca="false">K39-L39</f>
        <v>28286.5274944512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28286.5274944512</v>
      </c>
      <c r="N40" s="1" t="n">
        <f aca="false">N38-N39</f>
        <v>-25374.8474944512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3895.08563047957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53729.9043695204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1689.39538594558</v>
      </c>
      <c r="L47" s="2" t="n">
        <f aca="false">L49-K42</f>
        <v>800</v>
      </c>
      <c r="M47" s="1" t="n">
        <f aca="false">K47-L47</f>
        <v>889.395385945576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1689.39538594558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1689.39538594558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30587.8022978266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-7758.80694981812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20184.1713504602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365.502569993056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1689.39538594558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1689.39538594558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1689.39538594558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1689.39538594558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4066.12858104662</v>
      </c>
      <c r="C86" s="92"/>
      <c r="D86" s="92"/>
      <c r="E86" s="112"/>
      <c r="F86" s="30" t="s">
        <v>111</v>
      </c>
      <c r="G86" s="32" t="n">
        <f aca="false">(G82/((1+G84)^(G85+1)))</f>
        <v>4699.42081317361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76257.8554189534</v>
      </c>
      <c r="C88" s="92"/>
      <c r="D88" s="92"/>
      <c r="E88" s="112"/>
      <c r="F88" s="30" t="s">
        <v>113</v>
      </c>
      <c r="G88" s="32" t="n">
        <f aca="false">G81-G86</f>
        <v>75624.5631868264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2638.72472958593</v>
      </c>
      <c r="C89" s="92"/>
      <c r="D89" s="92"/>
      <c r="E89" s="112"/>
      <c r="F89" s="30" t="s">
        <v>114</v>
      </c>
      <c r="G89" s="32" t="n">
        <f aca="false">(G88/G87)</f>
        <v>2441.35321735028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89716.6408059217</v>
      </c>
      <c r="C90" s="92"/>
      <c r="D90" s="92"/>
      <c r="E90" s="112"/>
      <c r="F90" s="30" t="s">
        <v>115</v>
      </c>
      <c r="G90" s="32" t="n">
        <f aca="false">((G89*(G85))+G77)</f>
        <v>83006.0093899096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89716.6408059217</v>
      </c>
      <c r="C92" s="92"/>
      <c r="D92" s="92"/>
      <c r="E92" s="112"/>
      <c r="F92" s="55" t="s">
        <v>117</v>
      </c>
      <c r="G92" s="64" t="n">
        <f aca="false">(G90+G91)</f>
        <v>83006.0093899096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2638.72472958593</v>
      </c>
      <c r="C95" s="92"/>
      <c r="D95" s="92"/>
      <c r="E95" s="112"/>
      <c r="F95" s="94" t="s">
        <v>119</v>
      </c>
      <c r="G95" s="95" t="n">
        <f aca="false">G92/(G85)</f>
        <v>2441.35321735028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2638.72472958593</v>
      </c>
      <c r="C96" s="92"/>
      <c r="D96" s="92"/>
      <c r="E96" s="112"/>
      <c r="F96" s="96" t="s">
        <v>120</v>
      </c>
      <c r="G96" s="97" t="n">
        <f aca="false">G94+G95</f>
        <v>2441.35321735028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2638.72472958593</v>
      </c>
      <c r="B167" s="176" t="str">
        <f aca="false">B94</f>
        <v>0</v>
      </c>
      <c r="C167" s="173"/>
      <c r="D167" s="173"/>
      <c r="E167" s="176" t="n">
        <f aca="false">B96</f>
        <v>2638.72472958593</v>
      </c>
      <c r="F167" s="22"/>
      <c r="G167" s="22" t="n">
        <f aca="false">ROUND(G95,2)</f>
        <v>2441.35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15070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95643.968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755.411397222222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2638.72472958593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8359.41599999998</v>
      </c>
      <c r="B201" s="185" t="n">
        <f aca="false">E179+A201+(B182*1.2)+A185</f>
        <v>88933.388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2638.72472958593</v>
      </c>
      <c r="B212" s="176" t="str">
        <f aca="false">B167</f>
        <v>0</v>
      </c>
      <c r="C212" s="173"/>
      <c r="D212" s="173"/>
      <c r="E212" s="176" t="n">
        <f aca="false">E167</f>
        <v>2638.72472958593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15070</v>
      </c>
      <c r="B224" s="102" t="str">
        <f aca="false">B182</f>
        <v>199.99</v>
      </c>
      <c r="C224" s="102"/>
      <c r="D224" s="112"/>
      <c r="E224" s="102" t="n">
        <f aca="false">E182</f>
        <v>95643.968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2638.72472958593</v>
      </c>
      <c r="B230" s="102" t="str">
        <f aca="false">B167</f>
        <v>0</v>
      </c>
      <c r="C230" s="185"/>
      <c r="D230" s="185"/>
      <c r="E230" s="102" t="n">
        <f aca="false">E167</f>
        <v>2638.72472958593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41.0219928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12258.7413972222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6720.58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6034.06432333334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6720.58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6034.06432333334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423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20000.0</v>
      </c>
      <c r="I31" s="237" t="n">
        <f aca="false">IF(C107="YES",H31,0)</f>
        <v>18925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1423.44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1581.30038918711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1403.63038918711</v>
      </c>
      <c r="B36" s="102" t="n">
        <f aca="false">IF(B26="YES",H42,"")</f>
        <v>177.67</v>
      </c>
      <c r="C36" s="220"/>
      <c r="D36" s="183" t="n">
        <f aca="false">I31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51858.8723378945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177.67</v>
      </c>
      <c r="C40" s="106"/>
      <c r="D40" s="183" t="n">
        <f aca="false">I32</f>
        <v>6218.45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5766.11766210552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177.67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12983.6187682653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44641.3712317348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1403.63038918711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1581.30038918711</v>
      </c>
      <c r="I48" s="237" t="n">
        <f aca="false">I49-H42</f>
        <v>1222.33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1581.30038918711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7076.293758</v>
      </c>
      <c r="C64" s="214" t="n">
        <v>10000.0</v>
      </c>
      <c r="D64" s="290" t="n">
        <f aca="false">B64-A143</f>
        <v>7076.293758</v>
      </c>
      <c r="E64" s="215"/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214"/>
      <c r="D67" s="290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290" t="n">
        <f aca="false">B73+B71</f>
        <v>375</v>
      </c>
      <c r="E73" s="215"/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8517.96042466667</v>
      </c>
      <c r="C81" s="214"/>
      <c r="D81" s="214"/>
      <c r="E81" s="215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243.370297847619</v>
      </c>
      <c r="C82" s="214"/>
      <c r="D82" s="214"/>
      <c r="E82" s="215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1403.63038918711</v>
      </c>
      <c r="C83" s="214"/>
      <c r="D83" s="214"/>
      <c r="E83" s="215"/>
      <c r="F83" s="62"/>
      <c r="G83" s="304" t="s">
        <v>105</v>
      </c>
      <c r="H83" s="305" t="n">
        <f aca="false">H47</f>
        <v>1403.63038918711</v>
      </c>
      <c r="I83" s="214"/>
      <c r="J83" s="214"/>
      <c r="K83" s="215"/>
      <c r="L83" s="62"/>
      <c r="M83" s="304" t="s">
        <v>105</v>
      </c>
      <c r="N83" s="305" t="n">
        <f aca="false">H47</f>
        <v>1403.63038918711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57645.0240462156</v>
      </c>
      <c r="C85" s="214"/>
      <c r="D85" s="214"/>
      <c r="E85" s="215"/>
      <c r="F85" s="62"/>
      <c r="G85" s="287" t="s">
        <v>115</v>
      </c>
      <c r="H85" s="130" t="n">
        <f aca="false">((H83*H29)+H81)*1.2</f>
        <v>68704.4473548587</v>
      </c>
      <c r="I85" s="214"/>
      <c r="J85" s="214"/>
      <c r="K85" s="215"/>
      <c r="L85" s="62"/>
      <c r="M85" s="287" t="s">
        <v>115</v>
      </c>
      <c r="N85" s="130" t="n">
        <f aca="false">((N83*H29)+N81)</f>
        <v>56923.7061290489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488.320090750515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485.005174953621</v>
      </c>
      <c r="I86" s="214"/>
      <c r="J86" s="214"/>
      <c r="K86" s="215"/>
      <c r="L86" s="62"/>
      <c r="M86" s="213" t="s">
        <v>116</v>
      </c>
      <c r="N86" s="299" t="n">
        <f aca="false">(N85/(1-N70))*N70</f>
        <v>482.209692904408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58133.3441369661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69189.4525298123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57405.9158219533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213.204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223.8642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186.5535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1660.9526896276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1729.73631324531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1435.14789554883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1874.1566896276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1953.60051324531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1621.70139554883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263</v>
      </c>
      <c r="C99" s="311"/>
      <c r="D99" s="106" t="n">
        <v>6500.0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423</v>
      </c>
      <c r="B105" s="313" t="n">
        <v>0.2</v>
      </c>
      <c r="C105" s="313"/>
      <c r="D105" s="106" t="n">
        <v>300.0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393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1729.73631324531</v>
      </c>
      <c r="H127" s="176" t="n">
        <f aca="false">IF(G105="YES",H89*H57,0)</f>
        <v>1343.1852</v>
      </c>
      <c r="I127" s="176"/>
      <c r="J127" s="333" t="n">
        <f aca="false">H91</f>
        <v>1953.60051324531</v>
      </c>
      <c r="K127" s="215"/>
      <c r="L127" s="62"/>
      <c r="M127" s="332" t="n">
        <f aca="false">N90</f>
        <v>1435.14789554883</v>
      </c>
      <c r="N127" s="176" t="n">
        <f aca="false">IF(M105="YES",N89*N57,0)</f>
        <v>1119.321</v>
      </c>
      <c r="O127" s="176"/>
      <c r="P127" s="176" t="n">
        <f aca="false">N91</f>
        <v>1621.70139554883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1660.9526896276</v>
      </c>
      <c r="B128" s="320" t="n">
        <f aca="false">IF(A105="YES",B89,0)</f>
        <v>213.204</v>
      </c>
      <c r="C128" s="324"/>
      <c r="D128" s="320" t="n">
        <f aca="false">B91</f>
        <v>1874.1566896276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1660.9526896276</v>
      </c>
      <c r="C131" s="316"/>
      <c r="D131" s="37" t="n">
        <f aca="false">IF(A105="YES",B89*B57,0)</f>
        <v>213.204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10378.4178794718</v>
      </c>
      <c r="H133" s="102" t="n">
        <f aca="false">IF(G105="YES",H89*H57,0)</f>
        <v>1343.1852</v>
      </c>
      <c r="I133" s="220"/>
      <c r="J133" s="183" t="n">
        <f aca="false">H91*H57</f>
        <v>11721.6030794718</v>
      </c>
      <c r="K133" s="215"/>
      <c r="L133" s="62"/>
      <c r="M133" s="184" t="n">
        <f aca="false">N90*N57</f>
        <v>8610.887373293</v>
      </c>
      <c r="N133" s="102" t="n">
        <f aca="false">IF(M105="YES",N89*N57,0)</f>
        <v>1119.321</v>
      </c>
      <c r="O133" s="220"/>
      <c r="P133" s="183" t="n">
        <f aca="false">N91*N57</f>
        <v>9730.208373293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1874.1566896276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1660.9526896276</v>
      </c>
      <c r="B137" s="37" t="n">
        <f aca="false">IF(A105="YES",B89,0)</f>
        <v>213.204</v>
      </c>
      <c r="C137" s="316"/>
      <c r="D137" s="37" t="n">
        <f aca="false">B91</f>
        <v>1874.1566896276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124.369</v>
      </c>
      <c r="H142" s="102" t="n">
        <f aca="false">G102-100</f>
        <v>99.99</v>
      </c>
      <c r="I142" s="102"/>
      <c r="J142" s="102" t="n">
        <f aca="false">(H139+J139+G142+H142)-H145</f>
        <v>1340.11922083333</v>
      </c>
      <c r="K142" s="104"/>
      <c r="L142" s="62"/>
      <c r="M142" s="110" t="n">
        <f aca="false">IF(M105="YES",((B36*N105)*0.1)*(M130),0)</f>
        <v>124.369</v>
      </c>
      <c r="N142" s="102" t="n">
        <f aca="false">M102-100</f>
        <v>99.99</v>
      </c>
      <c r="O142" s="102"/>
      <c r="P142" s="102" t="n">
        <f aca="false">(N139+P139+M142+N142)-N145</f>
        <v>1340.11922083333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37" t="n">
        <f aca="false">B102</f>
        <v>400</v>
      </c>
      <c r="C148" s="37"/>
      <c r="D148" s="37" t="n">
        <f aca="false">IF(A105="YES",(B40*B105)*B125,0)*0.1</f>
        <v>124.369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1963.271265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1953.60051324531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1621.70139554883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1874.1566896276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1660.9526896276</v>
      </c>
      <c r="B177" s="354" t="n">
        <f aca="false">IF(A105="YES",B89,0)</f>
        <v>213.204</v>
      </c>
      <c r="C177" s="356"/>
      <c r="D177" s="354" t="n">
        <f aca="false">B91</f>
        <v>1874.1566896276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1660.9526896276</v>
      </c>
      <c r="C180" s="352"/>
      <c r="D180" s="102" t="n">
        <f aca="false">IF(A105="YES",B89*B57,0)</f>
        <v>213.204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1874.1566896276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1660.9526896276</v>
      </c>
      <c r="B186" s="102" t="n">
        <f aca="false">IF(A105="YES",B89,0)</f>
        <v>213.204</v>
      </c>
      <c r="C186" s="352"/>
      <c r="D186" s="102" t="n">
        <f aca="false">B91</f>
        <v>1874.1566896276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124.369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1963.271265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7076.293758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1583.68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7321.061493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7076.293758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7321.061493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1243.69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488.320090750515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68839.988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24000.0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5400.0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1730.58979847558</v>
      </c>
      <c r="E33" s="215"/>
      <c r="F33" s="62"/>
      <c r="G33" s="218" t="s">
        <v>356</v>
      </c>
      <c r="H33" s="456" t="n">
        <f aca="false">E21-E11+((E16*20%)+(E19*20%)+(E20*20%))</f>
        <v>57474.99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1730.58979847558</v>
      </c>
      <c r="B36" s="102" t="str">
        <f aca="false">IF(B26="YES",H42,"")</f>
        <v/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57474.99</v>
      </c>
      <c r="I39" s="237" t="n">
        <f aca="false">(I48*H46)+H44</f>
        <v>50636.0745706378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(A40)/1.2</f>
        <v>24541.6666666667</v>
      </c>
      <c r="I40" s="237" t="n">
        <f aca="false">H39-I39</f>
        <v>6838.91542936218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35800.733504986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1730.58979847558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1730.58979847558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1730.58979847558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13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214" t="n">
        <v>10000.0</v>
      </c>
      <c r="D64" s="290" t="n">
        <f aca="false">B64-A143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214"/>
      <c r="D67" s="290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214"/>
      <c r="D81" s="214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214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1730.58979847558</v>
      </c>
      <c r="C83" s="214"/>
      <c r="D83" s="214"/>
      <c r="E83" s="462" t="n">
        <f aca="false">B83+E80+E77+E64</f>
        <v>2067.64489374427</v>
      </c>
      <c r="F83" s="62"/>
      <c r="G83" s="304" t="s">
        <v>105</v>
      </c>
      <c r="H83" s="305" t="n">
        <f aca="false">H47</f>
        <v>1730.58979847558</v>
      </c>
      <c r="I83" s="214"/>
      <c r="J83" s="214"/>
      <c r="K83" s="215"/>
      <c r="L83" s="62"/>
      <c r="M83" s="304" t="s">
        <v>105</v>
      </c>
      <c r="N83" s="305" t="n">
        <f aca="false">H47</f>
        <v>1730.58979847558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54852.4918615154</v>
      </c>
      <c r="C85" s="214"/>
      <c r="D85" s="214"/>
      <c r="E85" s="462" t="n">
        <f aca="false">B85/(B58+B57)</f>
        <v>2493.29508461434</v>
      </c>
      <c r="F85" s="62"/>
      <c r="G85" s="287" t="s">
        <v>115</v>
      </c>
      <c r="H85" s="130" t="n">
        <f aca="false">((H83*H29)+H81)*1.2</f>
        <v>53599.4244617555</v>
      </c>
      <c r="I85" s="214"/>
      <c r="J85" s="214"/>
      <c r="K85" s="215"/>
      <c r="L85" s="62"/>
      <c r="M85" s="287" t="s">
        <v>115</v>
      </c>
      <c r="N85" s="130" t="n">
        <f aca="false">((N83*H29)+N81)</f>
        <v>44514.9370514629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387.220091801743</v>
      </c>
      <c r="C86" s="214"/>
      <c r="D86" s="214"/>
      <c r="E86" s="462" t="n">
        <f aca="false">B86/(B58+B57)</f>
        <v>17.6009132637156</v>
      </c>
      <c r="F86" s="62"/>
      <c r="G86" s="213" t="s">
        <v>116</v>
      </c>
      <c r="H86" s="299" t="n">
        <f aca="false">((((H83*H29)+H81))/(1-H70))*H70</f>
        <v>378.37431548234</v>
      </c>
      <c r="I86" s="214"/>
      <c r="J86" s="214"/>
      <c r="K86" s="215"/>
      <c r="L86" s="62"/>
      <c r="M86" s="213" t="s">
        <v>116</v>
      </c>
      <c r="N86" s="299" t="n">
        <f aca="false">(N85/(1-N70))*N70</f>
        <v>377.09305287645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55239.7119533172</v>
      </c>
      <c r="C87" s="214"/>
      <c r="D87" s="214"/>
      <c r="E87" s="462" t="n">
        <f aca="false">E86+E85</f>
        <v>2510.89599787805</v>
      </c>
      <c r="F87" s="62"/>
      <c r="G87" s="284" t="s">
        <v>117</v>
      </c>
      <c r="H87" s="132" t="n">
        <f aca="false">IF(H110="YES",((H85+H86)-K114),(H85+H86))</f>
        <v>53977.7987772378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44892.0301043393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2510.89599787805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1999.17773249029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1662.6677816422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2510.89599787805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1999.17773249029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1662.6677816422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0.0</v>
      </c>
      <c r="C105" s="313"/>
      <c r="D105" s="106" t="s">
        <v>397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1999.17773249029</v>
      </c>
      <c r="H127" s="176" t="n">
        <f aca="false">IF(G105="YES",H89*H57,0)</f>
        <v>0</v>
      </c>
      <c r="I127" s="176"/>
      <c r="J127" s="333" t="n">
        <f aca="false">H91</f>
        <v>1999.17773249029</v>
      </c>
      <c r="K127" s="215"/>
      <c r="L127" s="62"/>
      <c r="M127" s="332" t="n">
        <f aca="false">N90</f>
        <v>1662.6677816422</v>
      </c>
      <c r="N127" s="176" t="n">
        <f aca="false">IF(M105="YES",N89*N57,0)</f>
        <v>0</v>
      </c>
      <c r="O127" s="176"/>
      <c r="P127" s="176" t="n">
        <f aca="false">N91</f>
        <v>1662.6677816422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2510.89599787805</v>
      </c>
      <c r="B128" s="320" t="n">
        <f aca="false">IF(A105="YES",B89,0)</f>
        <v>0</v>
      </c>
      <c r="C128" s="324"/>
      <c r="D128" s="320" t="n">
        <f aca="false">B91</f>
        <v>2510.89599787805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13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13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22598.0639809025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11995.0663949417</v>
      </c>
      <c r="H133" s="102" t="n">
        <f aca="false">IF(G105="YES",H89*H57,0)</f>
        <v>0</v>
      </c>
      <c r="I133" s="220"/>
      <c r="J133" s="183" t="n">
        <f aca="false">H91*H57</f>
        <v>11995.0663949417</v>
      </c>
      <c r="K133" s="215"/>
      <c r="L133" s="62"/>
      <c r="M133" s="184" t="n">
        <f aca="false">N90*N57</f>
        <v>9976.00668985318</v>
      </c>
      <c r="N133" s="102" t="n">
        <f aca="false">IF(M105="YES",N89*N57,0)</f>
        <v>0</v>
      </c>
      <c r="O133" s="220"/>
      <c r="P133" s="183" t="n">
        <f aca="false">N91*N57</f>
        <v>9976.00668985318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22598.0639809025</v>
      </c>
      <c r="B134" s="37" t="n">
        <f aca="false">E114</f>
        <v>4000</v>
      </c>
      <c r="C134" s="316"/>
      <c r="D134" s="336" t="n">
        <f aca="false">B58</f>
        <v>13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2510.89599787805</v>
      </c>
      <c r="B137" s="37" t="n">
        <f aca="false">IF(A105="YES",B89,0)</f>
        <v>0</v>
      </c>
      <c r="C137" s="316"/>
      <c r="D137" s="37" t="n">
        <f aca="false">B91</f>
        <v>2510.89599787805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IF(A105="YES",G18*0.000002,0)*1.2*100</f>
        <v>0</v>
      </c>
      <c r="C140" s="316"/>
      <c r="D140" s="342" t="n">
        <f aca="false">A140+B140</f>
        <v>49.22639136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1468.56649666667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1999.17773249029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1662.6677816422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2510.89599787805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2510.89599787805</v>
      </c>
      <c r="B177" s="354" t="n">
        <f aca="false">IF(A105="YES",B89,0)</f>
        <v>0</v>
      </c>
      <c r="C177" s="356"/>
      <c r="D177" s="354" t="n">
        <f aca="false">B91</f>
        <v>2510.89599787805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22598.0639809025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22598.0639809025</v>
      </c>
      <c r="B183" s="102" t="n">
        <f aca="false">E114</f>
        <v>4000</v>
      </c>
      <c r="C183" s="352"/>
      <c r="D183" s="360" t="n">
        <f aca="false">B58</f>
        <v>13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2510.89599787805</v>
      </c>
      <c r="B186" s="102" t="n">
        <f aca="false">IF(A105="YES",B89,0)</f>
        <v>0</v>
      </c>
      <c r="C186" s="352"/>
      <c r="D186" s="102" t="n">
        <f aca="false">B91</f>
        <v>2510.89599787805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IF(A105="YES",G18*0.000002,0)*1.2*100</f>
        <v>0</v>
      </c>
      <c r="C189" s="352"/>
      <c r="D189" s="364" t="n">
        <f aca="false">A189+B189</f>
        <v>49.22639136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1468.56649666667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5155.51782146667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5155.51782146667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387.220091801743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100.0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18925.0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0.0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1839.24072448623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1737.84072448623</v>
      </c>
      <c r="B36" s="102" t="n">
        <f aca="false">IF(B26="YES",H42,"")</f>
        <v>101.4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48538.4114614462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n">
        <f aca="false">IF(B26="YES",H42,"0")</f>
        <v>101.4</v>
      </c>
      <c r="C40" s="106"/>
      <c r="D40" s="183" t="n">
        <f aca="false">I32</f>
        <v>2230.8</v>
      </c>
      <c r="E40" s="215"/>
      <c r="F40" s="62"/>
      <c r="G40" s="62" t="s">
        <v>107</v>
      </c>
      <c r="H40" s="237" t="n">
        <f aca="false">A40/1.2</f>
        <v>24541.6666666667</v>
      </c>
      <c r="I40" s="237" t="n">
        <f aca="false">H39-I39</f>
        <v>9086.5785385538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101.4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35950.733504986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1737.84072448623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1839.24072448623</v>
      </c>
      <c r="I48" s="237" t="n">
        <f aca="false">I49-H42</f>
        <v>1298.6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1839.24072448623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5784.1009848</v>
      </c>
      <c r="C64" s="461" t="n">
        <v>10000.0</v>
      </c>
      <c r="D64" s="290" t="n">
        <f aca="false">B64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468" t="n">
        <f aca="false">B73+B71</f>
        <v>310</v>
      </c>
      <c r="E73" s="215" t="s">
        <v>228</v>
      </c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469"/>
      <c r="D81" s="470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469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1737.84072448623</v>
      </c>
      <c r="C83" s="469"/>
      <c r="D83" s="214"/>
      <c r="E83" s="462" t="n">
        <f aca="false">B83+E80+E77+E64</f>
        <v>2074.89581975491</v>
      </c>
      <c r="F83" s="62"/>
      <c r="G83" s="304" t="s">
        <v>105</v>
      </c>
      <c r="H83" s="305" t="n">
        <f aca="false">H47</f>
        <v>1737.84072448623</v>
      </c>
      <c r="I83" s="214"/>
      <c r="J83" s="214"/>
      <c r="K83" s="215"/>
      <c r="L83" s="62"/>
      <c r="M83" s="304" t="s">
        <v>105</v>
      </c>
      <c r="N83" s="305" t="n">
        <f aca="false">H47</f>
        <v>1737.84072448623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45869.9302568303</v>
      </c>
      <c r="C85" s="469"/>
      <c r="D85" s="469"/>
      <c r="E85" s="462" t="n">
        <f aca="false">B85/(B58+B57)</f>
        <v>2084.99682985592</v>
      </c>
      <c r="F85" s="62"/>
      <c r="G85" s="287" t="s">
        <v>115</v>
      </c>
      <c r="H85" s="130" t="n">
        <f aca="false">((H83*H29)+H81)*1.2</f>
        <v>53790.8489084364</v>
      </c>
      <c r="I85" s="214"/>
      <c r="J85" s="214"/>
      <c r="K85" s="215"/>
      <c r="L85" s="62"/>
      <c r="M85" s="287" t="s">
        <v>115</v>
      </c>
      <c r="N85" s="130" t="n">
        <f aca="false">((N83*H29)+N81)</f>
        <v>44674.457423697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388.571414035271</v>
      </c>
      <c r="C86" s="469" t="s">
        <v>231</v>
      </c>
      <c r="D86" s="214"/>
      <c r="E86" s="462" t="n">
        <f aca="false">B86/(B58+B57)</f>
        <v>17.6623370016032</v>
      </c>
      <c r="F86" s="62"/>
      <c r="G86" s="213" t="s">
        <v>116</v>
      </c>
      <c r="H86" s="299" t="n">
        <f aca="false">((((H83*H29)+H81))/(1-H70))*H70</f>
        <v>379.725637715868</v>
      </c>
      <c r="I86" s="214"/>
      <c r="J86" s="214"/>
      <c r="K86" s="215"/>
      <c r="L86" s="62"/>
      <c r="M86" s="213" t="s">
        <v>116</v>
      </c>
      <c r="N86" s="299" t="n">
        <f aca="false">(N85/(1-N70))*N70</f>
        <v>378.444375109978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46258.5016708656</v>
      </c>
      <c r="C87" s="469"/>
      <c r="D87" s="471"/>
      <c r="E87" s="462" t="n">
        <f aca="false">E86+E85</f>
        <v>2102.65916685753</v>
      </c>
      <c r="F87" s="62"/>
      <c r="G87" s="284" t="s">
        <v>117</v>
      </c>
      <c r="H87" s="132" t="n">
        <f aca="false">IF(H110="YES",((H85+H86)-K114),(H85+H86))</f>
        <v>54170.5745461522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45052.901798807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131.82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118.976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99.1466666666667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2102.65916685753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2006.31757578342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1668.62599254841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2234.47916685753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2125.29357578342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1767.77265921507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0.0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2006.31757578342</v>
      </c>
      <c r="H127" s="176" t="n">
        <f aca="false">IF(G105="YES",H89*H57,0)</f>
        <v>713.856</v>
      </c>
      <c r="I127" s="176"/>
      <c r="J127" s="333" t="n">
        <f aca="false">H91</f>
        <v>2125.29357578342</v>
      </c>
      <c r="K127" s="215"/>
      <c r="L127" s="62"/>
      <c r="M127" s="332" t="n">
        <f aca="false">N90</f>
        <v>1668.62599254841</v>
      </c>
      <c r="N127" s="176" t="n">
        <f aca="false">IF(M105="YES",N89*N57,0)</f>
        <v>594.88</v>
      </c>
      <c r="O127" s="176"/>
      <c r="P127" s="176" t="n">
        <f aca="false">N91</f>
        <v>1767.77265921507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2102.65916685753</v>
      </c>
      <c r="B128" s="320" t="n">
        <f aca="false">IF(A105="YES",B89,0)</f>
        <v>131.82</v>
      </c>
      <c r="C128" s="324"/>
      <c r="D128" s="320" t="n">
        <f aca="false">B91</f>
        <v>2234.47916685753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2102.65916685753</v>
      </c>
      <c r="C131" s="316"/>
      <c r="D131" s="37" t="n">
        <f aca="false">IF(A105="YES",B89*B57,0)</f>
        <v>131.82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12037.9054547005</v>
      </c>
      <c r="H133" s="102" t="n">
        <f aca="false">IF(G105="YES",H89*H57,0)</f>
        <v>713.856</v>
      </c>
      <c r="I133" s="220"/>
      <c r="J133" s="183" t="n">
        <f aca="false">H91*H57</f>
        <v>12751.7614547005</v>
      </c>
      <c r="K133" s="215"/>
      <c r="L133" s="62"/>
      <c r="M133" s="184" t="n">
        <f aca="false">N90*N57</f>
        <v>10011.7559552904</v>
      </c>
      <c r="N133" s="102" t="n">
        <f aca="false">IF(M105="YES",N89*N57,0)</f>
        <v>594.88</v>
      </c>
      <c r="O133" s="220"/>
      <c r="P133" s="183" t="n">
        <f aca="false">N91*N57</f>
        <v>10606.6359552904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2234.47916685753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2102.65916685753</v>
      </c>
      <c r="B137" s="37" t="n">
        <f aca="false">IF(A105="YES",B89,0)</f>
        <v>131.82</v>
      </c>
      <c r="C137" s="316"/>
      <c r="D137" s="37" t="n">
        <f aca="false">B91</f>
        <v>2234.47916685753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44.616</v>
      </c>
      <c r="H142" s="102" t="n">
        <f aca="false">G102-100</f>
        <v>99.99</v>
      </c>
      <c r="I142" s="102"/>
      <c r="J142" s="102" t="n">
        <f aca="false">(H139+J139+G142+H142)-H145</f>
        <v>951.751691666667</v>
      </c>
      <c r="K142" s="104"/>
      <c r="L142" s="62"/>
      <c r="M142" s="110" t="n">
        <f aca="false">IF(M105="YES",((B36*N105)*0.1)*(M130),0)</f>
        <v>44.616</v>
      </c>
      <c r="N142" s="102" t="n">
        <f aca="false">M102-100</f>
        <v>99.99</v>
      </c>
      <c r="O142" s="102"/>
      <c r="P142" s="102" t="n">
        <f aca="false">(N139+P139+M142+N142)-N145</f>
        <v>951.751691666667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102" t="n">
        <f aca="false">B102</f>
        <v>400</v>
      </c>
      <c r="C148" s="37"/>
      <c r="D148" s="37" t="n">
        <f aca="false">IF(A105="YES",(B40*B105)*B125,0)*0.1</f>
        <v>66.924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1535.48883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2125.29357578342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1767.77265921507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2234.47916685753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2102.65916685753</v>
      </c>
      <c r="B177" s="354" t="n">
        <f aca="false">IF(A105="YES",B89,0)</f>
        <v>131.82</v>
      </c>
      <c r="C177" s="356"/>
      <c r="D177" s="354" t="n">
        <f aca="false">B91</f>
        <v>2234.47916685753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2102.65916685753</v>
      </c>
      <c r="C180" s="352"/>
      <c r="D180" s="102" t="n">
        <f aca="false">IF(A105="YES",B89*B57,0)</f>
        <v>131.82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2234.47916685753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2102.65916685753</v>
      </c>
      <c r="B186" s="102" t="n">
        <f aca="false">IF(A105="YES",B89,0)</f>
        <v>131.82</v>
      </c>
      <c r="C186" s="352"/>
      <c r="D186" s="102" t="n">
        <f aca="false">B91</f>
        <v>2234.47916685753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66.924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1535.48883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1009.23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5824.7561548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5824.7561548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669.24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388.571414035271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389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10000.0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14549.478992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14652.1881014635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1221.01567512196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1221.01567512196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1221.01567512196</v>
      </c>
      <c r="B128" s="320" t="n">
        <f aca="false">IF(A105="YES",B89,0)</f>
        <v>0</v>
      </c>
      <c r="C128" s="325"/>
      <c r="D128" s="320" t="n">
        <f aca="false">B91</f>
        <v>1221.01567512196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1221.01567512196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1221.01567512196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1221.01567512196</v>
      </c>
      <c r="B137" s="37" t="n">
        <f aca="false">IF(A105="YES",B89,0)</f>
        <v>0</v>
      </c>
      <c r="C137" s="316"/>
      <c r="D137" s="37" t="n">
        <f aca="false">B91</f>
        <v>1221.01567512196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G18*0.000002*1.2*100</f>
        <v>16.40879712</v>
      </c>
      <c r="C140" s="316"/>
      <c r="D140" s="342" t="n">
        <f aca="false">A140+B140</f>
        <v>65.63518848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1221.01567512196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1221.01567512196</v>
      </c>
      <c r="B171" s="354" t="n">
        <f aca="false">IF(A105="YES",B89,0)</f>
        <v>0</v>
      </c>
      <c r="C171" s="357"/>
      <c r="D171" s="354" t="n">
        <f aca="false">B91</f>
        <v>1221.01567512196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1221.01567512196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1221.01567512196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1221.01567512196</v>
      </c>
      <c r="B180" s="102" t="n">
        <f aca="false">IF(A105="YES",B89,0)</f>
        <v>0</v>
      </c>
      <c r="C180" s="352"/>
      <c r="D180" s="102" t="n">
        <f aca="false">B91</f>
        <v>1221.01567512196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49.22639136</v>
      </c>
      <c r="B183" s="364" t="n">
        <f aca="false">G18*0.000002*1.2*100</f>
        <v>16.40879712</v>
      </c>
      <c r="C183" s="352"/>
      <c r="D183" s="364" t="n">
        <f aca="false">A183+B183</f>
        <v>65.63518848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550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10000.0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1078.93957801085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1317.60562200914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0.0</v>
      </c>
      <c r="C105" s="311"/>
      <c r="D105" s="106" t="s">
        <v>397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60</v>
      </c>
      <c r="C128" s="325"/>
      <c r="D128" s="320" t="n">
        <f aca="false">B91</f>
        <v>1078.93957801085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72</v>
      </c>
      <c r="I130" s="176"/>
      <c r="J130" s="333" t="n">
        <f aca="false">H91</f>
        <v>1317.60562200914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1018.93957801085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72</v>
      </c>
      <c r="I133" s="220"/>
      <c r="J133" s="183" t="n">
        <f aca="false">H91*H57</f>
        <v>1317.60562200914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1078.93957801085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60</v>
      </c>
      <c r="C137" s="316"/>
      <c r="D137" s="37" t="n">
        <f aca="false">B91</f>
        <v>1078.93957801085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1569.03794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1195.68988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1317.60562200914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1078.93957801085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60</v>
      </c>
      <c r="C171" s="357"/>
      <c r="D171" s="354" t="n">
        <f aca="false">B91</f>
        <v>1078.93957801085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1018.93957801085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1078.93957801085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60</v>
      </c>
      <c r="C180" s="352"/>
      <c r="D180" s="102" t="n">
        <f aca="false">B91</f>
        <v>1078.93957801085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1195.68988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4562.18928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4562.18928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2024-05-16T21:10:02Z</dcterms:modified>
  <cp:revision>942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