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<sst xmlns="http://schemas.openxmlformats.org/spreadsheetml/2006/main" count="11930" uniqueCount="378">
  <si>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</si>
  <si>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</si>
  <si>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</si>
  <si>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</si>
  <si>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</si>
  <si>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</si>
  <si>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</si>
  <si>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</si>
  <si>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</si>
  <si>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</si>
  <si>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</si>
  <si>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</si>
  <si>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</si>
  <si>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</si>
  <si>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</si>
  <si>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</si>
  <si>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</si>
  <si>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</si>
  <si>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</si>
  <si>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</si>
  <si>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</si>
  <si>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</si>
  <si>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</si>
  <si>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</si>
  <si>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</si>
  <si>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</si>
  <si>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</si>
  <si>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</si>
  <si>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</si>
  <si>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</si>
  <si>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</si>
  <si>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</si>
  <si>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</si>
  <si>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</si>
  <si>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</si>
  <si>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</si>
  <si>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</si>
  <si>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</si>
  <si>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</si>
  <si>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</si>
  <si>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</si>
  <si>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</si>
  <si>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</si>
  <si>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</si>
  <si>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</si>
  <si>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</si>
  <si>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</si>
  <si>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</si>
  <si>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</si>
  <si>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</si>
  <si>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</si>
  <si>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</si>
  <si>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</si>
  <si>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</si>
  <si>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</si>
  <si>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</si>
  <si>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</si>
  <si>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</si>
  <si>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</si>
  <si>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</si>
  <si>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</si>
  <si>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</si>
  <si>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</si>
  <si>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</si>
  <si>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</si>
  <si>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</si>
  <si>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</si>
  <si>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</si>
  <si>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</si>
  <si>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</si>
  <si>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</si>
  <si>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</si>
  <si>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</si>
  <si>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</si>
  <si>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</si>
  <si>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</si>
  <si>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</si>
  <si>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</si>
  <si>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</si>
  <si>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</si>
  <si>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</si>
  <si>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</si>
  <si>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</si>
  <si>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</si>
  <si>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</si>
  <si>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</si>
  <si>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</si>
  <si>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</si>
  <si>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</si>
  <si>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</si>
  <si>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</si>
  <si>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</si>
  <si>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</si>
  <si>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</si>
  <si>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</si>
  <si>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</si>
  <si>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</si>
  <si>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</si>
  <si>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</si>
  <si>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</si>
  <si>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</si>
  <si>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</si>
  <si>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</si>
  <si>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</si>
  <si>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</si>
  <si>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</si>
  <si>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</si>
  <si>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</si>
  <si>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</si>
  <si>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</si>
  <si>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</si>
  <si>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</si>
  <si>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</si>
  <si>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</si>
  <si>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</si>
  <si>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</si>
  <si>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</si>
  <si>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</si>
  <si>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</si>
  <si>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</si>
  <si>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</si>
  <si>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</si>
  <si>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</si>
  <si>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</si>
  <si>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</si>
  <si>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</si>
  <si>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</si>
  <si>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</si>
  <si>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</si>
  <si>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</si>
  <si>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</si>
  <si>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</si>
  <si>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</si>
  <si>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</si>
  <si>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</si>
  <si>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</si>
  <si>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</si>
  <si>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</si>
  <si>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</si>
  <si>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</si>
  <si>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</si>
  <si>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</si>
  <si>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</si>
  <si>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</si>
  <si>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</si>
  <si>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</si>
  <si>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</si>
  <si>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</si>
  <si>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</si>
  <si>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</si>
  <si>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</si>
  <si>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</si>
  <si>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</si>
  <si>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</si>
  <si>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</si>
  <si>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</si>
  <si>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</si>
  <si>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</si>
  <si>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</si>
  <si>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</si>
  <si>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</si>
  <si>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</si>
  <si>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</si>
  <si>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</si>
  <si>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</si>
  <si>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</si>
  <si>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</si>
  <si>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</si>
  <si>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</si>
  <si>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</si>
  <si>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</si>
  <si>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</si>
  <si>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</si>
  <si>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</si>
  <si>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</si>
  <si>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</si>
  <si>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</si>
  <si>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</si>
  <si>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</si>
  <si>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</si>
  <si>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</si>
  <si>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</si>
  <si>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</si>
  <si>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</si>
  <si>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</si>
  <si>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</si>
  <si>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</si>
  <si>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</si>
  <si>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</si>
  <si>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</si>
  <si>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</si>
  <si>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</si>
  <si>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</si>
  <si>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</si>
  <si>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</si>
  <si>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</si>
  <si>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</si>
  <si>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</si>
  <si>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</si>
  <si>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</si>
  <si>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</si>
  <si>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</si>
  <si>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</si>
  <si>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</si>
  <si>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</si>
  <si>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</si>
  <si>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</si>
  <si>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</si>
  <si>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</si>
  <si>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</si>
  <si>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</si>
  <si>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</si>
  <si>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</si>
  <si>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</si>
  <si>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</si>
  <si>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</si>
  <si>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</si>
  <si>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</si>
  <si>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</si>
  <si>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</si>
  <si>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</si>
  <si>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</si>
  <si>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</si>
  <si>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</si>
  <si>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</si>
  <si>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</si>
  <si>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</si>
  <si>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</si>
  <si>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</si>
  <si>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</si>
  <si>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</si>
  <si>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</si>
  <si>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</si>
  <si>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</si>
  <si>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</si>
  <si>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</si>
  <si>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</si>
  <si>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</si>
  <si>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</si>
  <si>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</si>
  <si>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</si>
  <si>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</si>
  <si>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</si>
  <si>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</si>
  <si>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</si>
  <si>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</si>
  <si>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</si>
  <si>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</si>
  <si>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</si>
  <si>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</si>
  <si>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</si>
  <si>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</si>
  <si>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</si>
  <si>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</si>
  <si>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</si>
  <si>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</si>
  <si>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</si>
  <si>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</si>
  <si>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</si>
  <si>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</si>
  <si>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</si>
  <si>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</si>
  <si>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</si>
  <si>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</si>
  <si>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</si>
  <si>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</si>
  <si>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</si>
  <si>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</si>
  <si>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</si>
  <si>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</si>
  <si>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</si>
  <si>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</si>
  <si>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</si>
  <si>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</si>
  <si>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</si>
  <si>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</si>
  <si>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</si>
  <si>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</si>
  <si>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</si>
  <si>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</si>
  <si>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</si>
  <si>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</si>
  <si>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</si>
  <si>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</si>
  <si>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</si>
  <si>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</si>
  <si>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</si>
  <si>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</si>
  <si>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</si>
  <si>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</si>
  <si>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</si>
  <si>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</si>
  <si>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</si>
  <si>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</si>
  <si>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</si>
  <si>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</si>
  <si>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</si>
  <si>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</si>
  <si>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</si>
  <si>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</si>
  <si>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</si>
  <si>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</si>
  <si>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</si>
  <si>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</si>
  <si>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</si>
  <si>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</si>
  <si>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</si>
  <si>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</si>
  <si>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</si>
  <si>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</si>
  <si>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</si>
  <si>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</si>
  <si>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</si>
  <si>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</si>
  <si>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</si>
  <si>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</si>
  <si>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</si>
  <si>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</si>
  <si>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</si>
  <si>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</si>
  <si>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</si>
  <si>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</si>
  <si>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</si>
  <si>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</si>
  <si>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</si>
  <si>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</si>
  <si>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</si>
  <si>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</si>
  <si>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</si>
  <si>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</si>
  <si>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</si>
  <si>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</si>
  <si>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</si>
  <si>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</si>
  <si>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</si>
  <si>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</si>
  <si>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</si>
  <si>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</si>
  <si>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</si>
  <si>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</si>
  <si>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</si>
  <si>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</si>
  <si>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</si>
  <si>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</si>
  <si>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</si>
  <si>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</si>
  <si>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</si>
  <si>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</si>
  <si>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</si>
  <si>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</si>
  <si>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</si>
  <si>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</si>
  <si>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</si>
  <si>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</si>
  <si>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</si>
  <si>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</si>
  <si>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</si>
  <si>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</si>
  <si>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</si>
  <si>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</si>
  <si>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</si>
  <si>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</si>
  <si>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</si>
  <si>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</si>
  <si>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</si>
  <si>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A1 Credit</t>
  </si>
  <si>
    <t>YES</t>
  </si>
  <si>
    <t>500</t>
  </si>
  <si>
    <t>5.28</t>
  </si>
  <si>
    <t>12</t>
  </si>
  <si>
    <t>48877.50</t>
  </si>
  <si>
    <t>1000</t>
  </si>
  <si>
    <t>33</t>
  </si>
  <si>
    <t>5000</t>
  </si>
  <si>
    <t>0</t>
  </si>
  <si>
    <t>199.99</t>
  </si>
  <si>
    <t>28.61</t>
  </si>
  <si>
    <t>46877.50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</si>
</sst>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\£#,##0.00"/>
    <numFmt numFmtId="166" formatCode="0.00%"/>
    <numFmt numFmtId="167" formatCode="M/D/YYYY"/>
    <numFmt numFmtId="168" formatCode="0%"/>
    <numFmt numFmtId="169" formatCode="0.00"/>
    <numFmt numFmtId="170" formatCode="#,##0.00"/>
    <numFmt numFmtId="171" formatCode="#,##0.0000000"/>
    <numFmt numFmtId="172" formatCode="_(* #,##0.00_);_(* \(#,##0.00\);_(* \-??_);_(@_)"/>
    <numFmt numFmtId="173" formatCode="_(* #,##0_);_(* \(#,##0\);_(* \-??_);_(@_)"/>
    <numFmt numFmtId="174" formatCode="\£#,##0.00000"/>
    <numFmt numFmtId="175" formatCode="\£#,##0.0000"/>
    <numFmt numFmtId="176" formatCode="0.0000%"/>
    <numFmt numFmtId="177" formatCode="&quot;TRUE&quot;;&quot;TRUE&quot;;&quot;FALSE&quot;"/>
    <numFmt numFmtId="178" formatCode="#,##0.000000000"/>
    <numFmt numFmtId="179" formatCode="#,##0.0"/>
    <numFmt numFmtId="180" formatCode="0.0000000000000"/>
    <numFmt numFmtId="181" formatCode="0.0000"/>
    <numFmt numFmtId="182" formatCode="0.000%"/>
    <numFmt numFmtId="183" formatCode="#,##0.00000"/>
    <numFmt numFmtId="184" formatCode="#,##0.000"/>
    <numFmt numFmtId="185" formatCode="#,##0.0000000000"/>
    <numFmt numFmtId="186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e">
        <f aca="false">H49</f>
        <v>#NAME?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((B89*H29)+B87)*1.2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72</v>
      </c>
      <c r="C134" s="125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72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(A44/100*B111)*B131, 0)*0.1</f>
        <v>12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72</v>
      </c>
      <c r="C177" s="161"/>
      <c r="D177" s="159" t="e">
        <f aca="false">A177+B177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72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12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750.995946282103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28</v>
      </c>
      <c r="B111" s="110" t="n">
        <v>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88"/>
      <c r="D134" s="120" t="n">
        <f aca="false">B97</f>
        <v>750.995946282103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6758.96351653893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0</v>
      </c>
      <c r="C143" s="13"/>
      <c r="D143" s="135" t="n">
        <f aca="false">B97</f>
        <v>750.995946282103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678.841666666667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0</v>
      </c>
      <c r="C177" s="189"/>
      <c r="D177" s="159" t="n">
        <f aca="false">B91</f>
        <v>12920.74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6758.96351653893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0</v>
      </c>
      <c r="C186" s="31"/>
      <c r="D186" s="163" t="n">
        <f aca="false">B97</f>
        <v>750.995946282103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678.841666666667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99.9916666666667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44854.17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366</v>
      </c>
      <c r="C38" s="40"/>
      <c r="D38" s="45" t="s">
        <v>367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376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200.0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5.0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165.0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355.0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0.0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200.0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200.0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571.541224059881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1000.0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0.0</v>
      </c>
      <c r="C108" s="113"/>
      <c r="D108" s="113" t="n">
        <v>0.0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366</v>
      </c>
      <c r="B111" s="110" t="n">
        <v>20.0</v>
      </c>
      <c r="C111" s="110"/>
      <c r="D111" s="113" t="n">
        <v>200.0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364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10000.0</v>
      </c>
      <c r="E118" s="113" t="n">
        <v>6000.0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2000.0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88"/>
      <c r="D134" s="120" t="n">
        <f aca="false">B97</f>
        <v>571.541224059881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5143.87101653893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0</v>
      </c>
      <c r="C143" s="13"/>
      <c r="D143" s="135" t="n">
        <f aca="false">B97</f>
        <v>571.541224059881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0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5143.87101653893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0</v>
      </c>
      <c r="C186" s="31"/>
      <c r="D186" s="163" t="n">
        <f aca="false">B97</f>
        <v>571.541224059881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333" t="s">
        <v>377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371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372</v>
      </c>
      <c r="C35" s="40"/>
      <c r="D35" s="40" t="s">
        <v>373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n">
        <v>0.0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364</v>
      </c>
      <c r="C38" s="40"/>
      <c r="D38" s="45" t="s">
        <v>367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468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10.0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0.0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27831.6309080541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0.0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0.0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0.0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0.0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0.0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0.0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0.115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0.00958333333333333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4379.8532592462</v>
      </c>
      <c r="C86" s="294" t="n">
        <f aca="false">(B82/((1+B84)^(B85+1)))</f>
        <v>4379.8532592462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27.4464895133802</v>
      </c>
      <c r="C87" s="294" t="n">
        <f aca="false">((1-(1/((1+B84)^B85)))/B84)</f>
        <v>27.4464895133802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24312.6467407538</v>
      </c>
      <c r="C88" s="294" t="n">
        <f aca="false">B81-B86</f>
        <v>24312.6467407538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885.81990527063</v>
      </c>
      <c r="C89" s="294" t="n">
        <f aca="false">(B88/B87)</f>
        <v>885.81990527063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28346.2369686602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28346.2369686602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19.09375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885.81990527063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904.91365527063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364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365</v>
      </c>
      <c r="C108" s="113"/>
      <c r="D108" s="113"/>
      <c r="E108" s="257" t="n">
        <f aca="false">B83</f>
        <v>0.115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885.81990527063</v>
      </c>
      <c r="B167" s="299" t="n">
        <f aca="false">B94</f>
        <v>19.09375</v>
      </c>
      <c r="C167" s="296"/>
      <c r="D167" s="296"/>
      <c r="E167" s="299" t="n">
        <f aca="false">B96</f>
        <v>904.91365527063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6000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239.988</v>
      </c>
      <c r="C185" s="163"/>
      <c r="D185" s="210"/>
      <c r="E185" s="163" t="n">
        <f aca="false">E170+A185</f>
        <v>6010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="YES" , (H36*A108)*0.1 , 0)</f>
        <v>14.1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904.91365527063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885.81990527063</v>
      </c>
      <c r="B212" s="299" t="n">
        <f aca="false">B167</f>
        <v>19.09375</v>
      </c>
      <c r="C212" s="296"/>
      <c r="D212" s="296"/>
      <c r="E212" s="299" t="n">
        <f aca="false">E167</f>
        <v>904.91365527063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885.81990527063</v>
      </c>
      <c r="B230" s="163" t="n">
        <f aca="false">B167</f>
        <v>19.09375</v>
      </c>
      <c r="C230" s="304"/>
      <c r="D230" s="304"/>
      <c r="E230" s="163" t="n">
        <f aca="false">E167</f>
        <v>904.91365527063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6000</v>
      </c>
      <c r="B233" s="163" t="n">
        <f aca="false">E185</f>
        <v>6010</v>
      </c>
      <c r="C233" s="294"/>
      <c r="D233" s="294"/>
      <c r="E233" s="163" t="n">
        <f aca="false">A188</f>
        <v>11.577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14.1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0.115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240.99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0.05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0.115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0.3</v>
      </c>
      <c r="C262" s="12"/>
      <c r="D262" s="164" t="s">
        <v>305</v>
      </c>
      <c r="E262" s="164"/>
      <c r="F262" s="276" t="n">
        <f aca="false">E240*10</f>
        <v>141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60</v>
      </c>
      <c r="E32" s="430"/>
      <c r="F32" s="170"/>
      <c r="G32" s="431" t="s">
        <v>333</v>
      </c>
      <c r="H32" s="429" t="str">
        <f aca="false">A41</f>
        <v>60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560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0"/>
      <c r="G44" s="170" t="s">
        <v>345</v>
      </c>
      <c r="H44" s="363" t="str">
        <f aca="false">H32</f>
        <v>60</v>
      </c>
      <c r="I44" s="65" t="n">
        <f aca="false">((A41*(B35-1))+D32)/B35</f>
        <v>60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561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76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6814.79427188382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567.899522656985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639.899522656985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20</v>
      </c>
      <c r="C111" s="114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88"/>
      <c r="D134" s="120" t="n">
        <f aca="false">B97</f>
        <v>639.899522656985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5111.09570391287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5759.09570391287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567.899522656985</v>
      </c>
      <c r="B143" s="135" t="n">
        <f aca="false">IF(A111="YES", B95, 0)</f>
        <v>72</v>
      </c>
      <c r="C143" s="13"/>
      <c r="D143" s="135" t="n">
        <f aca="false">B97</f>
        <v>639.899522656985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14.4</v>
      </c>
      <c r="H148" s="163" t="n">
        <f aca="false">G108-100</f>
        <v>139.988</v>
      </c>
      <c r="I148" s="163"/>
      <c r="J148" s="163" t="n">
        <f aca="false">(H145+J145+G148+H148)-H151</f>
        <v>1475.5755</v>
      </c>
      <c r="K148" s="145"/>
      <c r="L148" s="170"/>
      <c r="M148" s="140" t="n">
        <f aca="false">IF(M111="YES", ((A41*N111)*0.1)*(M133), 0)</f>
        <v>14.4</v>
      </c>
      <c r="N148" s="163" t="n">
        <f aca="false">M108-100</f>
        <v>99.99</v>
      </c>
      <c r="O148" s="163"/>
      <c r="P148" s="163" t="n">
        <f aca="false">(N145+P145+M148+N148)-N151</f>
        <v>1435.5775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B65</f>
        <v>0</v>
      </c>
      <c r="C154" s="135"/>
      <c r="D154" s="135" t="n">
        <f aca="false">IF(A111="YES", (A41/100*B111)*B131, 0)*0.1</f>
        <v>14.4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693.24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567.899522656985</v>
      </c>
      <c r="B177" s="159" t="n">
        <f aca="false">IF(A111="YES", B95, 0)</f>
        <v>72</v>
      </c>
      <c r="C177" s="189"/>
      <c r="D177" s="159" t="n">
        <f aca="false">B91</f>
        <v>10723.95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5111.09570391287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5759.09570391287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567.899522656985</v>
      </c>
      <c r="B186" s="163" t="n">
        <f aca="false">IF(A111="YES", B95, 0)</f>
        <v>72</v>
      </c>
      <c r="C186" s="31"/>
      <c r="D186" s="163" t="n">
        <f aca="false">B97</f>
        <v>639.899522656985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14.4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693.24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243.99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3717.09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144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90.8442718838241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77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822.995946282103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20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88"/>
      <c r="D134" s="120" t="n">
        <f aca="false">B97</f>
        <v>822.995946282103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7406.96351653893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72</v>
      </c>
      <c r="C143" s="13"/>
      <c r="D143" s="135" t="n">
        <f aca="false">B97</f>
        <v>822.995946282103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12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72</v>
      </c>
      <c r="C177" s="189"/>
      <c r="D177" s="159" t="n">
        <f aca="false">B97</f>
        <v>822.995946282103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7406.96351653893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72</v>
      </c>
      <c r="C186" s="31"/>
      <c r="D186" s="163" t="n">
        <f aca="false">B97</f>
        <v>822.995946282103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12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65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636.541224059881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88"/>
      <c r="D134" s="120" t="n">
        <f aca="false">B97</f>
        <v>636.541224059881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585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5728.87101653893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65</v>
      </c>
      <c r="C143" s="13"/>
      <c r="D143" s="135" t="n">
        <f aca="false">B97</f>
        <v>636.541224059881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696.84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65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585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5728.87101653893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65</v>
      </c>
      <c r="C186" s="31"/>
      <c r="D186" s="163" t="n">
        <f aca="false">B97</f>
        <v>636.541224059881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</f>
        <v>0</v>
      </c>
      <c r="C197" s="163"/>
      <c r="D197" s="163" t="n">
        <f aca="false">IF(A111="YES", (A41/100*B111)*B131, 0)*0.1</f>
        <v>18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696.84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279.99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3753.09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180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E105" activeCellId="0" sqref="E105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K9" s="190" t="s">
        <v>27</v>
      </c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K10" s="190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(H9+H10)*0.2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364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35.0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35000.0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18300.0</v>
      </c>
      <c r="P31" s="427"/>
    </row>
    <row r="32" customFormat="false" ht="34.3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/>
      <c r="J32" s="33" t="s">
        <v>46</v>
      </c>
      <c r="K32" s="355" t="n">
        <v>0.0</v>
      </c>
      <c r="P32" s="427"/>
    </row>
    <row r="33" customFormat="false" ht="34.8" hidden="false" customHeight="false" outlineLevel="0" collapsed="false">
      <c r="A33" s="300" t="n">
        <f aca="false">A52</f>
        <v>36</v>
      </c>
      <c r="B33" s="52" t="n">
        <f aca="false">B51</f>
        <v>10000</v>
      </c>
      <c r="C33" s="294"/>
      <c r="D33" s="294"/>
      <c r="E33" s="52" t="n">
        <f aca="false">K48</f>
        <v>334.919744375181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334.919744375181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0"/>
      <c r="I36" s="53"/>
      <c r="J36" s="53" t="s">
        <v>53</v>
      </c>
      <c r="K36" s="53" t="n">
        <f aca="false">K29</f>
        <v>36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44866.9008605665</v>
      </c>
      <c r="N39" s="190" t="n">
        <f aca="false">K39-L39</f>
        <v>-15174.4008605665</v>
      </c>
      <c r="P39" s="427"/>
    </row>
    <row r="40" customFormat="false" ht="17.35" hidden="false" customHeight="false" outlineLevel="0" collapsed="false">
      <c r="A40" s="113" t="n">
        <f aca="false">E36*A45/100</f>
        <v>27250.0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22916.6666666667</v>
      </c>
      <c r="L40" s="53" t="n">
        <f aca="false">K39-L39</f>
        <v>-15174.4008605665</v>
      </c>
      <c r="N40" s="190" t="n">
        <f aca="false">N38-N39</f>
        <v>18086.0808605665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(K32/K36)*C45/100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18764.9097705681</v>
      </c>
      <c r="L44" s="53"/>
      <c r="P44" s="427"/>
    </row>
    <row r="45" customFormat="false" ht="17.35" hidden="false" customHeight="false" outlineLevel="0" collapsed="false">
      <c r="A45" s="471" t="n">
        <v>100.0</v>
      </c>
      <c r="B45" s="294"/>
      <c r="C45" s="227" t="n">
        <v>100.0</v>
      </c>
      <c r="D45" s="227"/>
      <c r="E45" s="227"/>
      <c r="F45" s="294"/>
      <c r="G45" s="294"/>
      <c r="H45" s="11"/>
      <c r="J45" s="53" t="s">
        <v>358</v>
      </c>
      <c r="K45" s="53" t="n">
        <f aca="false">(K39-K44)</f>
        <v>10927.5902294319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32.627488862498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334.919744375181</v>
      </c>
      <c r="L47" s="53" t="n">
        <f aca="false">L49-K42</f>
        <v>800</v>
      </c>
      <c r="M47" s="190" t="n">
        <f aca="false">K47-L47</f>
        <v>-465.080255624819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334.919744375181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10000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36</v>
      </c>
      <c r="B52" s="71" t="n">
        <f aca="false">K48</f>
        <v>334.919744375181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35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35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35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35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10.0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0.0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n">
        <f aca="false">(B89*B59)-(K47*K29)</f>
        <v>9284.93001514131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0.02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0.075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0.01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0.01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n">
        <f aca="false">(G158*B67)/1.2</f>
        <v>596.449973333333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4341.375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578.85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B73*K29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294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334.919744375181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334.919744375181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334.919744375181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334.919744375181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n">
        <f aca="false">G158</f>
        <v>35786.9984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27500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27500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27500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35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36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35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35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18274.642159497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28.719487222345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25.4888424823874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n">
        <f aca="false">B81-B86</f>
        <v>17512.356240503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n">
        <f aca="false">(B88/B87)</f>
        <v>609.772594647081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21342.0408126478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n">
        <f aca="false">(B90+B91)</f>
        <v>21342.0408126478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451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n">
        <f aca="false">B92/(B85)</f>
        <v>609.772594647081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n">
        <f aca="false">B94+B95</f>
        <v>609.772594647081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72" t="s">
        <v>364</v>
      </c>
      <c r="F105" s="472"/>
      <c r="G105" s="472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365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0.0</v>
      </c>
      <c r="D122" s="455" t="n">
        <f aca="false">D4</f>
        <v>0</v>
      </c>
      <c r="E122" s="424" t="n">
        <v>0.0</v>
      </c>
      <c r="F122" s="455" t="n">
        <f aca="false">F4</f>
        <v>40</v>
      </c>
      <c r="G122" s="456" t="n">
        <v>0.0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-1000.0</v>
      </c>
      <c r="D123" s="457" t="n">
        <f aca="false">D5</f>
        <v>0</v>
      </c>
      <c r="E123" s="454" t="n">
        <v>0.0</v>
      </c>
      <c r="F123" s="457" t="n">
        <f aca="false">F5</f>
        <v>70</v>
      </c>
      <c r="G123" s="454" t="n">
        <v>0.0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18781.668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(U121*U122)+U123</f>
        <v>11713.5425</v>
      </c>
      <c r="V124" s="457" t="n">
        <f aca="false">(V121*V122)+V123</f>
        <v>0</v>
      </c>
      <c r="W124" s="401" t="n">
        <f aca="false">(W121*W122)+W123</f>
        <v>0</v>
      </c>
      <c r="X124" s="457" t="n">
        <f aca="false">(X121*X122)+X123</f>
        <v>33403.2</v>
      </c>
      <c r="Y124" s="401" t="n">
        <f aca="false">(Y121*Y122)+Y123</f>
        <v>33403.2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28072.502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35140.6275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-32569.87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28905.832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2570.7575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5810.5</v>
      </c>
      <c r="H137" s="11" t="n">
        <f aca="false">(H135+H136)*0.2</f>
        <v>5891.1664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5810.5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5810.5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5810.5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35503</v>
      </c>
      <c r="H141" s="284" t="n">
        <f aca="false">(H135+H136+H139+H140+H137)-H138</f>
        <v>35986.9984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35503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35503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35503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35503</v>
      </c>
      <c r="H147" s="288" t="n">
        <f aca="false">H141-((H144*1.2)+(H145*1.2)+(H146*1.2)+(H142*1.2))</f>
        <v>35986.9984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35503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35503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35503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n">
        <f aca="false">((H147-G147)-(H137-G137))+((I146-I145)*0.2)</f>
        <v>403.332000000003</v>
      </c>
      <c r="I148" s="190" t="n">
        <f aca="false">(H148-G81)/1.2</f>
        <v>336.110000000003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n">
        <f aca="false">H147-G154-G157</f>
        <v>35786.9984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461" t="n">
        <f aca="false">B95</f>
        <v>609.772594647081</v>
      </c>
      <c r="B167" s="299" t="str">
        <f aca="false">B94</f>
        <v>0</v>
      </c>
      <c r="C167" s="296"/>
      <c r="D167" s="296"/>
      <c r="E167" s="299" t="n">
        <f aca="false">B96</f>
        <v>609.772594647081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36</v>
      </c>
      <c r="B170" s="126" t="n">
        <f aca="false">K30</f>
        <v>10000</v>
      </c>
      <c r="C170" s="302"/>
      <c r="D170" s="210"/>
      <c r="E170" s="63" t="n">
        <f aca="false">IF(A111="YES", A40, 0)</f>
        <v>27500</v>
      </c>
      <c r="F170" s="210"/>
      <c r="G170" s="210"/>
      <c r="H170" s="11"/>
      <c r="J170" s="300" t="n">
        <f aca="false">K29</f>
        <v>36</v>
      </c>
      <c r="K170" s="301" t="n">
        <f aca="false">K30</f>
        <v>10000</v>
      </c>
      <c r="L170" s="302"/>
      <c r="M170" s="210"/>
      <c r="N170" s="63" t="n">
        <f aca="false">IF(A111="YES", A40, 0)</f>
        <v>27500</v>
      </c>
      <c r="O170" s="210"/>
      <c r="P170" s="210"/>
      <c r="Q170" s="11"/>
      <c r="S170" s="300" t="n">
        <f aca="false">K29</f>
        <v>36</v>
      </c>
      <c r="T170" s="301" t="n">
        <f aca="false">K30</f>
        <v>10000</v>
      </c>
      <c r="U170" s="302"/>
      <c r="V170" s="210"/>
      <c r="W170" s="63" t="n">
        <f aca="false">IF(A111="YES", A40, 0)</f>
        <v>27500</v>
      </c>
      <c r="X170" s="210"/>
      <c r="Y170" s="210"/>
      <c r="Z170" s="11"/>
      <c r="AB170" s="300" t="n">
        <f aca="false">K29</f>
        <v>36</v>
      </c>
      <c r="AC170" s="301" t="n">
        <f aca="false">K30</f>
        <v>10000</v>
      </c>
      <c r="AD170" s="302"/>
      <c r="AE170" s="210"/>
      <c r="AF170" s="63" t="n">
        <f aca="false">IF(A111="YES", A40, 0)</f>
        <v>27500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n">
        <f aca="false">H141-H137-H139-H140</f>
        <v>29455.832</v>
      </c>
      <c r="B173" s="163" t="n">
        <f aca="false">H137</f>
        <v>5891.1664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n">
        <f aca="false">H147</f>
        <v>35986.9984</v>
      </c>
      <c r="B176" s="163" t="n">
        <f aca="false">B111</f>
        <v>100</v>
      </c>
      <c r="C176" s="163"/>
      <c r="D176" s="210"/>
      <c r="E176" s="163" t="n">
        <f aca="false">E111</f>
        <v>100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</v>
      </c>
      <c r="B179" s="163" t="n">
        <f aca="false">G154</f>
        <v>0</v>
      </c>
      <c r="C179" s="163"/>
      <c r="D179" s="210"/>
      <c r="E179" s="163" t="n">
        <f aca="false">A176-A179-B179</f>
        <v>35786.9984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n">
        <f aca="false">(A167*B59)+E185-E179-A185</f>
        <v>13055.0424126478</v>
      </c>
      <c r="B182" s="163" t="str">
        <f aca="false">B114</f>
        <v>199.99</v>
      </c>
      <c r="C182" s="163"/>
      <c r="D182" s="210"/>
      <c r="E182" s="163" t="n">
        <f aca="false">E179+A182+B182+A185</f>
        <v>49052.0308126478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439.988</v>
      </c>
      <c r="C185" s="163"/>
      <c r="D185" s="210"/>
      <c r="E185" s="163" t="n">
        <f aca="false">E170+A185</f>
        <v>27510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27520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27510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27510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n">
        <f aca="false">(G158*B67)/1.2</f>
        <v>596.449973333333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n">
        <f aca="false">IF(N105="YES", H15*0.000002, 0)</f>
        <v>0.071006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n">
        <f aca="false">B188+E188+A191</f>
        <v>696.439973333333</v>
      </c>
      <c r="C191" s="294"/>
      <c r="D191" s="294"/>
      <c r="E191" s="163" t="n">
        <f aca="false">H148</f>
        <v>403.332000000003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10000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10000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10000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10000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36</v>
      </c>
      <c r="B197" s="71" t="n">
        <f aca="false">B96</f>
        <v>609.772594647081</v>
      </c>
      <c r="C197" s="71"/>
      <c r="D197" s="71"/>
      <c r="E197" s="210"/>
      <c r="F197" s="210"/>
      <c r="G197" s="210"/>
      <c r="H197" s="11"/>
      <c r="J197" s="236" t="n">
        <f aca="false">K29</f>
        <v>36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36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36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36</v>
      </c>
      <c r="C209" s="296"/>
      <c r="D209" s="296"/>
      <c r="E209" s="296" t="n">
        <f aca="false">B196</f>
        <v>10000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609.772594647081</v>
      </c>
      <c r="B212" s="299" t="str">
        <f aca="false">B167</f>
        <v>0</v>
      </c>
      <c r="C212" s="296"/>
      <c r="D212" s="296"/>
      <c r="E212" s="299" t="n">
        <f aca="false">E167</f>
        <v>609.772594647081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n">
        <f aca="false">A173</f>
        <v>29455.832</v>
      </c>
      <c r="B215" s="163" t="n">
        <f aca="false">B173</f>
        <v>5891.1664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n">
        <f aca="false">A176</f>
        <v>35986.9984</v>
      </c>
      <c r="B218" s="163" t="n">
        <f aca="false">B176</f>
        <v>100</v>
      </c>
      <c r="C218" s="163"/>
      <c r="D218" s="309"/>
      <c r="E218" s="163" t="n">
        <f aca="false">E176</f>
        <v>100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</v>
      </c>
      <c r="B221" s="163" t="n">
        <f aca="false">B179</f>
        <v>0</v>
      </c>
      <c r="C221" s="163"/>
      <c r="D221" s="309"/>
      <c r="E221" s="163" t="n">
        <f aca="false">E179</f>
        <v>35786.9984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n">
        <f aca="false">A182</f>
        <v>13055.0424126478</v>
      </c>
      <c r="B224" s="163" t="str">
        <f aca="false">B182</f>
        <v>199.99</v>
      </c>
      <c r="C224" s="163"/>
      <c r="D224" s="309"/>
      <c r="E224" s="163" t="n">
        <f aca="false">E182</f>
        <v>49052.0308126478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439.988</v>
      </c>
      <c r="C227" s="163"/>
      <c r="D227" s="309"/>
      <c r="E227" s="163" t="n">
        <f aca="false">B59</f>
        <v>35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609.772594647081</v>
      </c>
      <c r="B230" s="163" t="str">
        <f aca="false">B167</f>
        <v>0</v>
      </c>
      <c r="C230" s="304"/>
      <c r="D230" s="304"/>
      <c r="E230" s="163" t="n">
        <f aca="false">E167</f>
        <v>609.772594647081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27500</v>
      </c>
      <c r="B233" s="163" t="n">
        <f aca="false">E185</f>
        <v>27510</v>
      </c>
      <c r="C233" s="294"/>
      <c r="D233" s="294"/>
      <c r="E233" s="163" t="n">
        <f aca="false">A188</f>
        <v>0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n">
        <f aca="false">H148</f>
        <v>403.332000000003</v>
      </c>
      <c r="B240" s="163" t="n">
        <f aca="false">B68</f>
        <v>596.449973333333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n">
        <f aca="false">B240+E240+A243+A240</f>
        <v>1099.77197333334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n">
        <f aca="false">F261+F267+F269+B270+B271</f>
        <v>715.739968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n">
        <f aca="false">(B254-F254)+B255</f>
        <v>-615.749968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21342.0408126478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0.02</v>
      </c>
      <c r="C261" s="12"/>
      <c r="D261" s="164" t="s">
        <v>201</v>
      </c>
      <c r="E261" s="164"/>
      <c r="F261" s="150" t="n">
        <f aca="false">B68*1.2</f>
        <v>715.739968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n">
        <f aca="false">(B254-F254)+B255</f>
        <v>-615.749968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  <c r="J271" s="190" t="n">
        <v>4</v>
      </c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89" activeCellId="0" sqref="B8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(H9+H10)*0.002</f>
        <v>58.105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29750.605</v>
      </c>
      <c r="I15" s="53"/>
      <c r="J15" s="22" t="n">
        <f aca="false">H15</f>
        <v>29750.605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29750.605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27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7200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1875.65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n">
        <f aca="false">K48</f>
        <v>831.879564614683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0" t="n">
        <f aca="false">K39-L39</f>
        <v>1013.90472138064</v>
      </c>
      <c r="P39" s="427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4"/>
      <c r="G40" s="304"/>
      <c r="H40" s="220"/>
      <c r="J40" s="53" t="s">
        <v>239</v>
      </c>
      <c r="K40" s="53" t="n">
        <f aca="false">(A40)/1.2</f>
        <v>6000</v>
      </c>
      <c r="L40" s="53" t="n">
        <f aca="false">K39-L39</f>
        <v>1013.90472138064</v>
      </c>
      <c r="N40" s="190" t="n">
        <f aca="false">N38-N39</f>
        <v>1897.77527861936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53.59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4939.60661196881</v>
      </c>
      <c r="L44" s="53"/>
      <c r="P44" s="427"/>
    </row>
    <row r="45" customFormat="false" ht="17.35" hidden="false" customHeight="false" outlineLevel="0" collapsed="false">
      <c r="A45" s="473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n">
        <f aca="false">(K39-K44)</f>
        <v>24752.8933880312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778.289564614683</v>
      </c>
      <c r="L47" s="53" t="n">
        <f aca="false">L49-K42</f>
        <v>746.41</v>
      </c>
      <c r="M47" s="190" t="n">
        <f aca="false">K47-L47</f>
        <v>31.8795646146834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831.879564614683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n">
        <f aca="false">K48</f>
        <v>831.879564614683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778.289564614683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778.289564614683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831.879564614683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831.879564614683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7200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7200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7200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0.089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0.00741666666666667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5559.20760437441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29.9543371890103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n">
        <f aca="false">IF(B26="YES",((E40/B85)*(1+A108)*1.2),"0")</f>
        <v>79.4392941176471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83.6004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66.1994117647059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79.4392941176471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249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360</v>
      </c>
      <c r="C108" s="113"/>
      <c r="D108" s="113"/>
      <c r="E108" s="257" t="n">
        <f aca="false">B83</f>
        <v>0.089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-482.13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17790.9963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29063.1737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29502.505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58.105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58.105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58.105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58.105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29750.605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29750.605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29750.605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29750.605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29750.605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29750.605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29750.605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29750.605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n">
        <f aca="false">B94</f>
        <v>79.4392941176471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83.6004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66.1994117647059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79.4392941176471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126" t="n">
        <f aca="false">K30</f>
        <v>35000</v>
      </c>
      <c r="C170" s="302"/>
      <c r="D170" s="210"/>
      <c r="E170" s="63" t="n">
        <f aca="false">IF(A111="YES", A40, 0)</f>
        <v>7200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7200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7200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7200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A179+(B182)</f>
        <v>2239.99</v>
      </c>
      <c r="C185" s="163"/>
      <c r="D185" s="210"/>
      <c r="E185" s="163" t="n">
        <f aca="false">E170+A185</f>
        <v>7210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7220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7210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7210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 *1.2</f>
        <v>13.8924</v>
      </c>
      <c r="B188" s="163" t="e">
        <f aca="false">(G158*B67)</f>
        <v>#NAME?</v>
      </c>
      <c r="C188" s="294"/>
      <c r="D188" s="294"/>
      <c r="E188" s="163" t="n">
        <f aca="false">(E40*A108)*0.1</f>
        <v>37.513</v>
      </c>
      <c r="F188" s="210"/>
      <c r="G188" s="210"/>
      <c r="H188" s="11"/>
      <c r="J188" s="140" t="n">
        <f aca="false">IF(N105="YES", H15*0.000002, 0)</f>
        <v>0.05950121</v>
      </c>
      <c r="K188" s="163" t="e">
        <f aca="false">(P158*K67)/1.2</f>
        <v>#NAME?</v>
      </c>
      <c r="L188" s="294"/>
      <c r="M188" s="294"/>
      <c r="N188" s="163" t="n">
        <f aca="false">(E40*J108)*0.1</f>
        <v>56.2695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37.513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B182/1.2-100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n">
        <f aca="false">B167</f>
        <v>79.4392941176471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n">
        <f aca="false">B167</f>
        <v>79.4392941176471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7200</v>
      </c>
      <c r="B233" s="163" t="n">
        <f aca="false">E185</f>
        <v>7210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37.513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0.089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475.121666666667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0.024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0.089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375.13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operator="between" showDropDown="false" showErrorMessage="true" showInputMessage="true" sqref="B105 K105 T105 AC105" type="list">
      <formula1>$Y$127:$Y$136</formula1>
      <formula2>0</formula2>
    </dataValidation>
    <dataValidation allowBlank="true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555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5400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29148.0818340459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4500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3704.70495897661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0.05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5400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5400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5400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3629.44361274243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IF(B26="YES",((E40/B85)*(1+A108)*1.2),"0")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251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-5399.3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12873.8263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33980.3437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34419.675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5400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5400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5400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5400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2239.99</v>
      </c>
      <c r="C185" s="163"/>
      <c r="D185" s="210"/>
      <c r="E185" s="163" t="n">
        <f aca="false">E170+A185</f>
        <v>5410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5420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5410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5410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H15*0.000002, 0)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5400</v>
      </c>
      <c r="B233" s="163" t="n">
        <f aca="false">E185</f>
        <v>5410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0)*100*1.2</f>
        <v>0</v>
      </c>
      <c r="B236" s="163" t="n">
        <f aca="false">E233+A236</f>
        <v>41.6772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99.9916666666667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10800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32852.7867930225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9000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7409.40991795322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10800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10800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10800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7258.88722548487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n">
        <v>0.3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39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18312.1263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28542.0437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28981.375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10800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10800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10800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10800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10810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10820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10810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10810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10800</v>
      </c>
      <c r="B233" s="163" t="n">
        <f aca="false">E185</f>
        <v>10810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</f>
        <v>0</v>
      </c>
      <c r="B236" s="163" t="n">
        <f aca="false">E233+A236</f>
        <v>34.731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A111 J111 S111 AB111" type="list">
      <formula1>#ref!</formula1>
      <formula2>0</formula2>
    </dataValidation>
    <dataValidation allowBlank="true" operator="between" showDropDown="false" showErrorMessage="true" showInputMessage="true" sqref="B26" type="list">
      <formula1>ContractPurchase!$Z$19:$Z$20</formula1>
      <formula2>0</formula2>
    </dataValidation>
    <dataValidation allowBlank="true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187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0</v>
      </c>
      <c r="C134" s="188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0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B108</f>
        <v>0</v>
      </c>
      <c r="C154" s="135"/>
      <c r="D154" s="135" t="n">
        <f aca="false">IF(A111="YES", (A44/100*B111)*B131, 0)*0.1</f>
        <v>0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0</v>
      </c>
      <c r="C177" s="189"/>
      <c r="D177" s="159" t="e">
        <f aca="false">B91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0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0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0"/>
      <c r="B244" s="135"/>
      <c r="C244" s="135"/>
      <c r="D244" s="135"/>
      <c r="E244" s="145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0"/>
      <c r="B247" s="135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 t="s">
        <v>27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28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150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35323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27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363" t="n">
        <f aca="false">IF(C107="YES",H31,0)</f>
        <v>28900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1663.42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n">
        <f aca="false">IF(B26="YES", H42, "")</f>
        <v>75.61</v>
      </c>
      <c r="C36" s="361"/>
      <c r="D36" s="139" t="n">
        <f aca="false">I31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48667.1471450615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39" t="n">
        <f aca="false">I32</f>
        <v>1663.42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75.61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370" t="n">
        <v>100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1324.39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1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21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41"/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1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95" t="s">
        <v>99</v>
      </c>
      <c r="B74" s="396" t="n">
        <v>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97" t="s">
        <v>100</v>
      </c>
      <c r="B75" s="398" t="n">
        <v>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99" t="s">
        <v>101</v>
      </c>
      <c r="B76" s="400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444.444444444444</v>
      </c>
      <c r="C77" s="340"/>
      <c r="D77" s="338" t="n">
        <f aca="false">B77</f>
        <v>444.444444444444</v>
      </c>
      <c r="E77" s="341"/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6272.77291666667</v>
      </c>
      <c r="C81" s="340"/>
      <c r="D81" s="340"/>
      <c r="E81" s="341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285.126041666667</v>
      </c>
      <c r="C82" s="340"/>
      <c r="D82" s="340"/>
      <c r="E82" s="341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41"/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340"/>
      <c r="D85" s="340"/>
      <c r="E85" s="341"/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(B85/(1-B70))*B70</f>
        <v>#NAME?</v>
      </c>
      <c r="C86" s="340"/>
      <c r="D86" s="340"/>
      <c r="E86" s="341"/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41"/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(D40+(D40*B105))/(B57+B58))*(C45/100)</f>
        <v>90.732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88.7157333333333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73.9297777777778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27</v>
      </c>
      <c r="B105" s="114" t="n">
        <v>0.2</v>
      </c>
      <c r="C105" s="114"/>
      <c r="D105" s="113" t="n">
        <v>200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 t="s">
        <v>139</v>
      </c>
      <c r="C107" s="350" t="s">
        <v>27</v>
      </c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532.2944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443.578666666667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90.732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Monthly in advance</v>
      </c>
      <c r="B131" s="135" t="e">
        <f aca="false">B90*B57</f>
        <v>#NAME?</v>
      </c>
      <c r="C131" s="13"/>
      <c r="D131" s="135" t="n">
        <f aca="false">IF(A105="YES", B89*B57, 0)</f>
        <v>90.732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532.2944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443.578666666667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21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90.732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((B36*H105)*0.1)*(G130), 0)</f>
        <v>33.2684</v>
      </c>
      <c r="H142" s="163" t="n">
        <f aca="false">G102-100</f>
        <v>99.99</v>
      </c>
      <c r="I142" s="163"/>
      <c r="J142" s="163" t="n">
        <f aca="false">(H139+J139+G142+H142)-H145</f>
        <v>816.622983333333</v>
      </c>
      <c r="K142" s="145"/>
      <c r="L142" s="170"/>
      <c r="M142" s="140" t="n">
        <f aca="false">IF(M105="YES", ((B36*N105)*0.1)*(M130), 0)</f>
        <v>33.2684</v>
      </c>
      <c r="N142" s="163" t="n">
        <f aca="false">M102-100</f>
        <v>99.99</v>
      </c>
      <c r="O142" s="163"/>
      <c r="P142" s="163" t="n">
        <f aca="false">(N139+P139+M142+N142)-N145</f>
        <v>816.622983333333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400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40" t="n">
        <v>0</v>
      </c>
      <c r="N145" s="163" t="n">
        <f aca="false">(N139+P139+M142+N142)*(M145/N64)</f>
        <v>0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400</v>
      </c>
      <c r="C148" s="135"/>
      <c r="D148" s="135" t="n">
        <f aca="false">IF(A105="YES", (B40*B105)*B125, 0)*0.1</f>
        <v>33.2684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1353.2959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90.732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Monthly in advance</v>
      </c>
      <c r="B180" s="163" t="e">
        <f aca="false">B90*B57</f>
        <v>#NAME?</v>
      </c>
      <c r="C180" s="31"/>
      <c r="D180" s="163" t="n">
        <f aca="false">IF(A105="YES", B89*B57, 0)</f>
        <v>90.732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21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90.732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400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400</v>
      </c>
      <c r="C197" s="163"/>
      <c r="D197" s="163" t="n">
        <f aca="false">IF(A105="YES", (B40*B105)*B125, 0)*0.1</f>
        <v>33.2684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1353.2959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672.674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40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4748.74275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332.684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'Formula1-FL'!$Y$97:$Y$105</formula1>
      <formula2>0</formula2>
    </dataValidation>
    <dataValidation allowBlank="true" operator="between" showDropDown="false" showErrorMessage="true" showInputMessage="false" sqref="C107" type="list">
      <formula1>"YES,NO"</formula1>
      <formula2>0</formula2>
    </dataValidation>
    <dataValidation allowBlank="true" operator="between" showDropDown="false" showErrorMessage="true" showInputMessage="false" sqref="B26" type="list">
      <formula1>'Formula1-FL'!$I$2:$I$3</formula1>
      <formula2>0</formula2>
    </dataValidation>
    <dataValidation allowBlank="true" operator="between" showDropDown="false" showErrorMessage="true" showInputMessage="false" sqref="A105" type="list">
      <formula1>'Formula1-FL'!$I$2:$I$3</formula1>
      <formula2>0</formula2>
    </dataValidation>
    <dataValidation allowBlank="true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28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476" t="n">
        <v>100</v>
      </c>
      <c r="D45" s="476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222.222222222222</v>
      </c>
      <c r="C77" s="340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340"/>
      <c r="D81" s="340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340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((B83*H29)+B81)*1.2</f>
        <v>#NAME?</v>
      </c>
      <c r="C85" s="340"/>
      <c r="D85" s="340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((((B83*H29)+B81))/(1-B70))*B70</f>
        <v>#NAME?</v>
      </c>
      <c r="C86" s="340"/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(D40+(D40*B105))/(B57+B58))*1.2*(C45/100)</f>
        <v>0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239.99</v>
      </c>
      <c r="B102" s="113" t="n">
        <v>200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28</v>
      </c>
      <c r="B105" s="114" t="n">
        <v>0</v>
      </c>
      <c r="C105" s="114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((E118/1.2)+E117)-(D115-E113)</f>
        <v>-800.008333333333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E118/1.2-100</f>
        <v>99.9916666666667</v>
      </c>
      <c r="B151" s="135" t="n">
        <f aca="false">(A148+B148+D148+A151)*(A143/B64)</f>
        <v>0</v>
      </c>
      <c r="C151" s="135"/>
      <c r="D151" s="135" t="n">
        <f aca="false">(A148+B148+D148+A151)-B151</f>
        <v>1120.02916666667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239.99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(E118/1.2)-100</f>
        <v>99.9916666666667</v>
      </c>
      <c r="B200" s="163" t="n">
        <f aca="false">(A148+B148+D148+A151)*(A143/B64)</f>
        <v>0</v>
      </c>
      <c r="C200" s="163"/>
      <c r="D200" s="163" t="n">
        <f aca="false">(A148+B148+D148+A151)-B151</f>
        <v>1120.02916666667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4396.06041666667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'Formula1-PCH'!$Y$97:$Y$105</formula1>
      <formula2>0</formula2>
    </dataValidation>
    <dataValidation allowBlank="true" operator="between" showDropDown="false" showErrorMessage="true" showInputMessage="false" sqref="B26" type="list">
      <formula1>'Formula1-PCH'!$I$3:$I$4</formula1>
      <formula2>0</formula2>
    </dataValidation>
    <dataValidation allowBlank="true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n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0"/>
      <c r="G44" s="170" t="s">
        <v>345</v>
      </c>
      <c r="H44" s="363" t="n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n">
        <v>0.01</v>
      </c>
      <c r="C47" s="469"/>
      <c r="D47" s="45" t="n">
        <v>1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350" t="s">
        <v>28</v>
      </c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362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233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12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/>
      <c r="D70" s="338" t="n">
        <f aca="false">B70-A151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10814.7942718838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((H44*B35)+((H44*B35)*B111))/(B63+B64)</f>
        <v>31.304347826087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IF(B105=Y104, (B93-D111)/(B64), B93/(B63+B64))</f>
        <v>470.208446603645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501.512794429732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 t="s">
        <v>124</v>
      </c>
      <c r="B105" s="110" t="s">
        <v>126</v>
      </c>
      <c r="C105" s="110"/>
      <c r="D105" s="111" t="n">
        <v>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0.2</v>
      </c>
      <c r="C111" s="114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/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28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0</v>
      </c>
      <c r="E118" s="113" t="n">
        <v>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0</v>
      </c>
      <c r="E119" s="113" t="n">
        <v>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0</v>
      </c>
      <c r="E120" s="116" t="n">
        <f aca="false">E118-E119</f>
        <v>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199.99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332"/>
      <c r="B129" s="340"/>
      <c r="C129" s="340"/>
      <c r="D129" s="340"/>
      <c r="E129" s="341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332" t="s">
        <v>149</v>
      </c>
      <c r="B130" s="122" t="n">
        <v>1200</v>
      </c>
      <c r="C130" s="122"/>
      <c r="D130" s="340"/>
      <c r="E130" s="34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332"/>
      <c r="B131" s="340"/>
      <c r="C131" s="340"/>
      <c r="D131" s="340"/>
      <c r="E131" s="34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332" t="s">
        <v>82</v>
      </c>
      <c r="B132" s="340" t="s">
        <v>83</v>
      </c>
      <c r="C132" s="340"/>
      <c r="D132" s="340" t="s">
        <v>86</v>
      </c>
      <c r="E132" s="34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1"/>
      <c r="F133" s="170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332"/>
      <c r="B134" s="340"/>
      <c r="C134" s="340"/>
      <c r="D134" s="340"/>
      <c r="E134" s="34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421" t="s">
        <v>155</v>
      </c>
      <c r="B135" s="422" t="s">
        <v>156</v>
      </c>
      <c r="C135" s="422"/>
      <c r="D135" s="422" t="s">
        <v>114</v>
      </c>
      <c r="E135" s="341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2" t="n">
        <f aca="false">B96</f>
        <v>470.208446603645</v>
      </c>
      <c r="B136" s="299" t="n">
        <f aca="false">IF(A111="YES", B95*B63, 0)</f>
        <v>375.652173913043</v>
      </c>
      <c r="C136" s="299"/>
      <c r="D136" s="299" t="n">
        <f aca="false">B97</f>
        <v>501.512794429732</v>
      </c>
      <c r="E136" s="341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332"/>
      <c r="B137" s="340"/>
      <c r="C137" s="340"/>
      <c r="D137" s="340"/>
      <c r="E137" s="341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332" t="s">
        <v>162</v>
      </c>
      <c r="B138" s="340" t="s">
        <v>163</v>
      </c>
      <c r="C138" s="340"/>
      <c r="D138" s="340" t="s">
        <v>164</v>
      </c>
      <c r="E138" s="341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38" t="n">
        <f aca="false">B96*B63</f>
        <v>5642.50135924373</v>
      </c>
      <c r="B139" s="163" t="n">
        <f aca="false">IF(A111="YES", B95*B63, 0)</f>
        <v>375.652173913043</v>
      </c>
      <c r="C139" s="361"/>
      <c r="D139" s="139" t="n">
        <f aca="false">B97*B63</f>
        <v>6018.15353315678</v>
      </c>
      <c r="E139" s="341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332"/>
      <c r="B140" s="340"/>
      <c r="C140" s="340"/>
      <c r="D140" s="340"/>
      <c r="E140" s="341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332" t="s">
        <v>171</v>
      </c>
      <c r="B141" s="340" t="s">
        <v>172</v>
      </c>
      <c r="C141" s="340"/>
      <c r="D141" s="340" t="s">
        <v>173</v>
      </c>
      <c r="E141" s="341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0" t="e">
        <f aca="false">E15*0.000006</f>
        <v>#NAME?</v>
      </c>
      <c r="B142" s="163" t="e">
        <f aca="false">IF(A111="YES", E15*0.000002, 0)</f>
        <v>#NAME?</v>
      </c>
      <c r="C142" s="163"/>
      <c r="D142" s="163" t="e">
        <f aca="false">A142+B142</f>
        <v>#NAME?</v>
      </c>
      <c r="E142" s="145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332"/>
      <c r="B143" s="340"/>
      <c r="C143" s="340"/>
      <c r="D143" s="340"/>
      <c r="E143" s="341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332" t="s">
        <v>177</v>
      </c>
      <c r="B144" s="340" t="s">
        <v>175</v>
      </c>
      <c r="C144" s="340"/>
      <c r="D144" s="340" t="s">
        <v>176</v>
      </c>
      <c r="E144" s="341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0" t="n">
        <f aca="false">A108</f>
        <v>199.99</v>
      </c>
      <c r="B145" s="163" t="n">
        <f aca="false">B73/1.2</f>
        <v>482.375</v>
      </c>
      <c r="C145" s="163"/>
      <c r="D145" s="163" t="n">
        <f aca="false">B108*0.9</f>
        <v>0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332"/>
      <c r="B146" s="340"/>
      <c r="C146" s="340"/>
      <c r="D146" s="340"/>
      <c r="E146" s="341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332" t="s">
        <v>180</v>
      </c>
      <c r="B147" s="340" t="s">
        <v>181</v>
      </c>
      <c r="C147" s="340"/>
      <c r="D147" s="340" t="s">
        <v>182</v>
      </c>
      <c r="E147" s="341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IF(A111="YES", ((A41*B111)*0.1)*(A133), 0)</f>
        <v>12</v>
      </c>
      <c r="B148" s="163" t="n">
        <f aca="false">A108-100</f>
        <v>99.99</v>
      </c>
      <c r="C148" s="163"/>
      <c r="D148" s="163" t="n">
        <f aca="false">(B145+D145+A148+B148)-B151</f>
        <v>594.365</v>
      </c>
      <c r="E148" s="145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332"/>
      <c r="B149" s="340"/>
      <c r="C149" s="340"/>
      <c r="D149" s="340"/>
      <c r="E149" s="341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332" t="s">
        <v>184</v>
      </c>
      <c r="B150" s="340" t="s">
        <v>185</v>
      </c>
      <c r="C150" s="340"/>
      <c r="D150" s="340"/>
      <c r="E150" s="341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v>0</v>
      </c>
      <c r="B151" s="163" t="n">
        <f aca="false">(B145+D145+A148+B148)*(A151/B70)</f>
        <v>0</v>
      </c>
      <c r="C151" s="340"/>
      <c r="D151" s="340"/>
      <c r="E151" s="341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332"/>
      <c r="B152" s="340"/>
      <c r="C152" s="340"/>
      <c r="D152" s="340"/>
      <c r="E152" s="341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332"/>
      <c r="B153" s="340"/>
      <c r="C153" s="340"/>
      <c r="D153" s="340"/>
      <c r="E153" s="341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374" t="s">
        <v>192</v>
      </c>
      <c r="B154" s="340"/>
      <c r="C154" s="340"/>
      <c r="D154" s="375"/>
      <c r="E154" s="376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332"/>
      <c r="B155" s="378"/>
      <c r="C155" s="378"/>
      <c r="D155" s="340"/>
      <c r="E155" s="341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0"/>
      <c r="E156" s="341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0"/>
      <c r="E157" s="341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0"/>
      <c r="E158" s="341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332"/>
      <c r="B159" s="340"/>
      <c r="C159" s="340"/>
      <c r="D159" s="340"/>
      <c r="E159" s="341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332"/>
      <c r="B160" s="340"/>
      <c r="C160" s="340"/>
      <c r="D160" s="340"/>
      <c r="E160" s="341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332"/>
      <c r="B161" s="340"/>
      <c r="C161" s="340"/>
      <c r="D161" s="340"/>
      <c r="E161" s="341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332"/>
      <c r="B162" s="340"/>
      <c r="C162" s="340"/>
      <c r="D162" s="340"/>
      <c r="E162" s="341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371"/>
      <c r="B163" s="372"/>
      <c r="C163" s="372"/>
      <c r="D163" s="372"/>
      <c r="E163" s="373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77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 t="s">
        <v>77</v>
      </c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</v>
      </c>
      <c r="C75" s="340" t="n">
        <f aca="false">IF(G18&gt;40000, 325, 0)</f>
        <v>325</v>
      </c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((B83*(H29)+B81))*1.2</f>
        <v>13402.0733333333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(((B83*(H29))+B81)/(1-B70))*B70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9496.682564206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IF(B99=Z102,(((H44*B35)+(H44*B35)*(B105/100))/(B58))*1.2,(((H44*B35)+(H44*B35)*(B105/100))/(B57+B58))*1.2)</f>
        <v>0</v>
      </c>
      <c r="C89" s="340"/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791.390213683833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J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791.390213683833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200</v>
      </c>
      <c r="C102" s="113"/>
      <c r="D102" s="113" t="n">
        <v>200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28</v>
      </c>
      <c r="B105" s="110" t="n">
        <v>0</v>
      </c>
      <c r="C105" s="110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27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239.988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-2760.012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88"/>
      <c r="D128" s="120" t="n">
        <f aca="false">B91</f>
        <v>791.390213683833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7122.5119231545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7122.5119231545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791.390213683833</v>
      </c>
      <c r="B137" s="135" t="n">
        <f aca="false">IF(A105="YES", B89, 0)</f>
        <v>0</v>
      </c>
      <c r="C137" s="13"/>
      <c r="D137" s="135" t="n">
        <f aca="false">B91</f>
        <v>791.390213683833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239.988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(E118/1.2)-100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791.390213683833</v>
      </c>
      <c r="B171" s="159" t="n">
        <f aca="false">IF(A105="YES", B89, 0)</f>
        <v>0</v>
      </c>
      <c r="C171" s="189"/>
      <c r="D171" s="159" t="n">
        <f aca="false">B91</f>
        <v>791.390213683833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7122.5119231545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7122.5119231545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791.390213683833</v>
      </c>
      <c r="B180" s="163" t="n">
        <f aca="false">IF(A105="YES", B89, 0)</f>
        <v>0</v>
      </c>
      <c r="C180" s="31"/>
      <c r="D180" s="163" t="n">
        <f aca="false">B91</f>
        <v>791.390213683833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239.988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(E118/1.2)-100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B209</f>
        <v>0.065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364</v>
      </c>
      <c r="C38" s="40"/>
      <c r="D38" s="45" t="n">
        <v>500.0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354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 t="n">
        <f aca="false">(A41*(B58+B57))</f>
        <v>0</v>
      </c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0.0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0.0</v>
      </c>
      <c r="C75" s="340"/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</f>
        <v>11168.3944444444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(B85/(1-B70))*B70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7263.00367531711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IF(B99=Z102,(((H44*B35)+(H44*B35)*(B105/100))/(B58)),(((H44*B35)+(H44*B35)*(B105/100))/(B57+B58)))</f>
        <v>0</v>
      </c>
      <c r="C89" s="340" t="s">
        <v>77</v>
      </c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605.250306276426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605.250306276426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364</v>
      </c>
      <c r="B105" s="110" t="n">
        <v>0.0</v>
      </c>
      <c r="C105" s="110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88"/>
      <c r="D128" s="120" t="n">
        <f aca="false">B91</f>
        <v>605.250306276426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5447.25275648783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5447.25275648783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605.250306276426</v>
      </c>
      <c r="B137" s="135" t="n">
        <f aca="false">IF(A105="YES", B89, 0)</f>
        <v>0</v>
      </c>
      <c r="C137" s="13"/>
      <c r="D137" s="135" t="n">
        <f aca="false">B91</f>
        <v>605.250306276426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0)*0.001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605.250306276426</v>
      </c>
      <c r="B171" s="159" t="n">
        <f aca="false">IF(A105="YES", B89, 0)</f>
        <v>0</v>
      </c>
      <c r="C171" s="189"/>
      <c r="D171" s="159" t="n">
        <f aca="false">B91</f>
        <v>605.250306276426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5447.25275648783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5447.25275648783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605.250306276426</v>
      </c>
      <c r="B180" s="163" t="n">
        <f aca="false">IF(A105="YES", B89, 0)</f>
        <v>0</v>
      </c>
      <c r="C180" s="31"/>
      <c r="D180" s="163" t="n">
        <f aca="false">B91</f>
        <v>605.250306276426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199.99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E118-100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H29</f>
        <v>12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G34" colorId="64" zoomScale="75" zoomScaleNormal="75" zoomScalePageLayoutView="100" workbookViewId="0">
      <selection pane="topLeft" activeCell="J53" activeCellId="0" sqref="J5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27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/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199.99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str">
        <f aca="false">K29</f>
        <v>33</v>
      </c>
      <c r="B179" s="301" t="str">
        <f aca="false">K30</f>
        <v>5000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199.99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A188+B191*1.2</f>
        <v>239.988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</f>
        <v>11.577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B191-100</f>
        <v>99.99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199.99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239.988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</f>
        <v>34.731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11.577</v>
      </c>
      <c r="B245" s="163" t="n">
        <f aca="false">E242+A245</f>
        <v>46.308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D36" colorId="64" zoomScale="75" zoomScaleNormal="75" zoomScalePageLayoutView="100" workbookViewId="0">
      <selection pane="topLeft" activeCell="A219" activeCellId="0" sqref="A21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A34)*A117))/(B68)*1.2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28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 t="s">
        <v>119</v>
      </c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239.99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n">
        <f aca="false">B38</f>
        <v>0</v>
      </c>
      <c r="B179" s="301" t="n">
        <f aca="false">B39</f>
        <v>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239.99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</f>
        <v>239.99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J18*0.000002*100*1.2</f>
        <v>13.8924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(B191/1.2)-100</f>
        <v>99.9916666666667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239.99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239.99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J18*0.000006*100*1.2</f>
        <v>41.6772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13.8924</v>
      </c>
      <c r="B245" s="163" t="n">
        <f aca="false">E242+A245</f>
        <v>55.5696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99.9916666666667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99.9916666666667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99.9916666666667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18341.67</v>
      </c>
      <c r="C3" s="334" t="n">
        <v>479.17</v>
      </c>
      <c r="D3" s="333" t="n">
        <v>500.0</v>
      </c>
      <c r="E3" s="335" t="n">
        <v>0</v>
      </c>
      <c r="F3" s="170" t="s">
        <v>77</v>
      </c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 t="s">
        <v>77</v>
      </c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 t="s">
        <v>77</v>
      </c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7.35" hidden="false" customHeight="fals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180.0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364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35.0</v>
      </c>
      <c r="I29" s="354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374</v>
      </c>
      <c r="C30" s="122"/>
      <c r="D30" s="340"/>
      <c r="E30" s="341"/>
      <c r="F30" s="170"/>
      <c r="G30" s="351" t="s">
        <v>41</v>
      </c>
      <c r="H30" s="353" t="n">
        <v>35000.0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10425.0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0.0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15225.0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A40/1.2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100.0</v>
      </c>
      <c r="B45" s="340"/>
      <c r="C45" s="370" t="n">
        <v>100.0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B62+(B62*0.25*((H29/12)-1))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83" t="n">
        <v>10000</v>
      </c>
      <c r="D64" s="338" t="n">
        <f aca="false">B64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38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85" t="s">
        <v>201</v>
      </c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86" t="s">
        <v>201</v>
      </c>
      <c r="D67" s="387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88"/>
      <c r="D68" s="338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94" t="n">
        <f aca="false">B73+B71</f>
        <v>310</v>
      </c>
      <c r="E73" s="341" t="s">
        <v>209</v>
      </c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165.0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355.0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65" t="s">
        <v>102</v>
      </c>
      <c r="B77" s="401" t="n">
        <f aca="false">B102/(1-0.1)</f>
        <v>0.0</v>
      </c>
      <c r="C77" s="402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402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402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402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402"/>
      <c r="D81" s="407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402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402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402"/>
      <c r="D84" s="402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402"/>
      <c r="D85" s="402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(((B83*H29)+B81)/(1-B70))*B70</f>
        <v>#NAME?</v>
      </c>
      <c r="C86" s="402" t="s">
        <v>212</v>
      </c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IF(B110="YES",((B85+B86)-E114),((B85+B86)))</f>
        <v>#NAME?</v>
      </c>
      <c r="C87" s="402"/>
      <c r="D87" s="41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402"/>
      <c r="D88" s="340"/>
      <c r="E88" s="384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(I32+(I32*B105))/(B58), (I32+(I32*B105))/(B57+B58))*(C45/100)</f>
        <v>0</v>
      </c>
      <c r="C89" s="402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402"/>
      <c r="D90" s="340"/>
      <c r="E90" s="413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402"/>
      <c r="D91" s="416"/>
      <c r="E91" s="417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418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 t="s">
        <v>328</v>
      </c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419"/>
      <c r="C97" s="419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329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364</v>
      </c>
      <c r="B105" s="114" t="n">
        <v>0.0</v>
      </c>
      <c r="C105" s="114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 t="s">
        <v>28</v>
      </c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IF(B110="YES",((E118*1.2)+E117)-E114,((E118*1.2)+E117))</f>
        <v>1239.988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63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1120.0275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354" t="s">
        <v>330</v>
      </c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1120.0275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(B77-(B77*(E219*100)))*0.1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4396.05875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="423" customFormat="tru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2" t="s">
        <v>77</v>
      </c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n">
        <f aca="false">B29</f>
        <v>12345</v>
      </c>
      <c r="B170" s="301" t="n">
        <f aca="false">B30</f>
        <v>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239.99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239.99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13.8924</v>
      </c>
      <c r="B236" s="163" t="n">
        <f aca="false">E233+A236</f>
        <v>55.5696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H36" activeCellId="0" sqref="H3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17.625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938.433046761748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 t="s">
        <v>27</v>
      </c>
      <c r="B120" s="262" t="n">
        <v>0</v>
      </c>
      <c r="C120" s="263" t="s">
        <v>264</v>
      </c>
      <c r="D120" s="262" t="s">
        <v>263</v>
      </c>
      <c r="E120" s="264" t="n">
        <v>0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 t="n">
        <v>0</v>
      </c>
      <c r="F161" s="210"/>
      <c r="G161" s="210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 t="n">
        <v>0</v>
      </c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17.625</v>
      </c>
      <c r="C167" s="296"/>
      <c r="D167" s="296"/>
      <c r="E167" s="299" t="n">
        <f aca="false">B96</f>
        <v>938.433046761748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301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938.433046761748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17.625</v>
      </c>
      <c r="C212" s="296"/>
      <c r="D212" s="296"/>
      <c r="E212" s="299" t="n">
        <f aca="false">E167</f>
        <v>938.433046761748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17.625</v>
      </c>
      <c r="C230" s="304"/>
      <c r="D230" s="304"/>
      <c r="E230" s="163" t="n">
        <f aca="false">E167</f>
        <v>938.433046761748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11.577</v>
      </c>
      <c r="B236" s="163" t="n">
        <f aca="false">E233+A236</f>
        <v>46.308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350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287.988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287.988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E188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5.28</v>
      </c>
      <c r="E32" s="430"/>
      <c r="F32" s="170"/>
      <c r="G32" s="431" t="s">
        <v>333</v>
      </c>
      <c r="H32" s="429" t="str">
        <f aca="false">A41</f>
        <v>5.28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505.28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str">
        <f aca="false">H32</f>
        <v>5.28</v>
      </c>
      <c r="I44" s="65" t="n">
        <f aca="false">((A41*(B35-1))+D32)/B35</f>
        <v>5.28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506.28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222.222222222222</v>
      </c>
      <c r="C83" s="340"/>
      <c r="D83" s="338" t="n">
        <f aca="false">B83</f>
        <v>222.222222222222</v>
      </c>
      <c r="E83" s="341" t="n">
        <f aca="false">D83/12</f>
        <v>18.5185185185185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333.333333333333</v>
      </c>
      <c r="C84" s="340"/>
      <c r="D84" s="338" t="n">
        <f aca="false">B84</f>
        <v>333.333333333333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5267.50555555556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438.958796296296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11279.5055555556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95.5504706198736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7375.05602617543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6.864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614.588002181286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621.452002181286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88"/>
      <c r="D134" s="120" t="n">
        <f aca="false">B97</f>
        <v>621.452002181286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Monthly in advance</v>
      </c>
      <c r="B137" s="135" t="n">
        <f aca="false">B96*B63</f>
        <v>614.588002181286</v>
      </c>
      <c r="C137" s="13"/>
      <c r="D137" s="135" t="n">
        <f aca="false">IF(A111="YES", B95*B63, 0)</f>
        <v>6.864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621.452002181286</v>
      </c>
      <c r="B140" s="135" t="n">
        <f aca="false">E120</f>
        <v>4000</v>
      </c>
      <c r="C140" s="13"/>
      <c r="D140" s="141" t="n">
        <f aca="false">B64</f>
        <v>11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614.588002181286</v>
      </c>
      <c r="B143" s="135" t="n">
        <f aca="false">IF(A111="YES", B95, 0)</f>
        <v>6.864</v>
      </c>
      <c r="C143" s="13"/>
      <c r="D143" s="135" t="n">
        <f aca="false">B97</f>
        <v>621.452002181286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1.2672</v>
      </c>
      <c r="H148" s="163" t="n">
        <f aca="false">G108-100</f>
        <v>139.988</v>
      </c>
      <c r="I148" s="163"/>
      <c r="J148" s="163" t="n">
        <f aca="false">(H145+J145+G148+H148)-H151</f>
        <v>1462.4427</v>
      </c>
      <c r="K148" s="145"/>
      <c r="L148" s="170"/>
      <c r="M148" s="140" t="n">
        <f aca="false">IF(M111="YES", ((A41*N111)*0.1)*(M133), 0)</f>
        <v>1.2672</v>
      </c>
      <c r="N148" s="163" t="n">
        <f aca="false">M108-100</f>
        <v>99.99</v>
      </c>
      <c r="O148" s="163"/>
      <c r="P148" s="163" t="n">
        <f aca="false">(N145+P145+M148+N148)-N151</f>
        <v>1422.4447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200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200</v>
      </c>
      <c r="C154" s="135"/>
      <c r="D154" s="135" t="n">
        <f aca="false">IF(A111="YES", (A41/100*B111)*B131, 0)*0.1</f>
        <v>1.9008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880.7408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300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614.588002181286</v>
      </c>
      <c r="B177" s="159" t="n">
        <f aca="false">IF(A111="YES", B95, 0)</f>
        <v>6.864</v>
      </c>
      <c r="C177" s="189"/>
      <c r="D177" s="159" t="n">
        <f aca="false">B91</f>
        <v>11279.5055555556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Monthly in advance</v>
      </c>
      <c r="B180" s="163" t="n">
        <f aca="false">B96*B63</f>
        <v>614.588002181286</v>
      </c>
      <c r="C180" s="31"/>
      <c r="D180" s="163" t="n">
        <f aca="false">IF(A111="YES", B95*B63, 0)</f>
        <v>6.864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621.452002181286</v>
      </c>
      <c r="B183" s="163" t="n">
        <f aca="false">E120</f>
        <v>4000</v>
      </c>
      <c r="C183" s="31"/>
      <c r="D183" s="165" t="n">
        <f aca="false">B64</f>
        <v>11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614.588002181286</v>
      </c>
      <c r="B186" s="163" t="n">
        <f aca="false">IF(A111="YES", B95, 0)</f>
        <v>6.864</v>
      </c>
      <c r="C186" s="31"/>
      <c r="D186" s="163" t="n">
        <f aca="false">B97</f>
        <v>621.452002181286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200</v>
      </c>
      <c r="C197" s="163"/>
      <c r="D197" s="163" t="n">
        <f aca="false">IF(A111="YES", (A41/100*B111)*B131, 0)*0.1</f>
        <v>1.9008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880.7408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300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438.998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6" t="s">
        <v>200</v>
      </c>
      <c r="D223" s="13"/>
      <c r="E223" s="11" t="n">
        <f aca="false">(B217-B211+D211)</f>
        <v>3912.098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19.008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95.5504706198736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2023-03-06T14:37:05Z</dcterms:modified>
  <cp:revision>598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